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budziszewska\Desktop\"/>
    </mc:Choice>
  </mc:AlternateContent>
  <xr:revisionPtr revIDLastSave="0" documentId="13_ncr:1_{3C0BAF3F-17B7-4051-8BBC-1ED55E839FFA}" xr6:coauthVersionLast="45" xr6:coauthVersionMax="47" xr10:uidLastSave="{00000000-0000-0000-0000-000000000000}"/>
  <bookViews>
    <workbookView xWindow="3360" yWindow="1275" windowWidth="21600" windowHeight="11385" xr2:uid="{00000000-000D-0000-FFFF-FFFF00000000}"/>
  </bookViews>
  <sheets>
    <sheet name="Zał.Nr1" sheetId="27" r:id="rId1"/>
    <sheet name="Zał.Nr2" sheetId="28" r:id="rId2"/>
    <sheet name="Zał.Nr3" sheetId="29" r:id="rId3"/>
    <sheet name="Zał.Nr4" sheetId="30" r:id="rId4"/>
    <sheet name="Zał.Nr5 " sheetId="31" r:id="rId5"/>
    <sheet name="Zał.Nr6" sheetId="32" r:id="rId6"/>
  </sheets>
  <definedNames>
    <definedName name="_xlnm._FilterDatabase" localSheetId="1" hidden="1">Zał.Nr2!$M$1:$M$34</definedName>
    <definedName name="_xlnm.Print_Area" localSheetId="1">Zał.Nr2!$A$1:$M$35</definedName>
    <definedName name="_xlnm.Print_Titles" localSheetId="0">Zał.Nr1!$7:$9</definedName>
    <definedName name="_xlnm.Print_Titles" localSheetId="1">Zał.Nr2!$11:$18</definedName>
    <definedName name="_xlnm.Print_Titles" localSheetId="3">Zał.Nr4!$10:$11</definedName>
    <definedName name="_xlnm.Print_Titles" localSheetId="5">Zał.Nr6!$10:$11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70" i="32" l="1"/>
  <c r="G69" i="32" s="1"/>
  <c r="G67" i="32" s="1"/>
  <c r="G64" i="32"/>
  <c r="G63" i="32"/>
  <c r="G62" i="32"/>
  <c r="G61" i="32"/>
  <c r="F57" i="32"/>
  <c r="G55" i="32"/>
  <c r="G54" i="32"/>
  <c r="G53" i="32"/>
  <c r="F49" i="32"/>
  <c r="G47" i="32"/>
  <c r="G46" i="32"/>
  <c r="G45" i="32"/>
  <c r="G44" i="32"/>
  <c r="G43" i="32"/>
  <c r="G40" i="32"/>
  <c r="G39" i="32" s="1"/>
  <c r="F36" i="32"/>
  <c r="G34" i="32"/>
  <c r="G33" i="32"/>
  <c r="G32" i="32"/>
  <c r="G31" i="32"/>
  <c r="G30" i="32"/>
  <c r="F26" i="32"/>
  <c r="G23" i="32"/>
  <c r="G22" i="32"/>
  <c r="G21" i="32"/>
  <c r="G19" i="32" s="1"/>
  <c r="F18" i="32"/>
  <c r="G16" i="32"/>
  <c r="G15" i="32"/>
  <c r="G13" i="32" s="1"/>
  <c r="F12" i="32"/>
  <c r="F72" i="32" l="1"/>
  <c r="G42" i="32"/>
  <c r="G37" i="32" s="1"/>
  <c r="G29" i="32"/>
  <c r="G27" i="32" s="1"/>
  <c r="G72" i="32" s="1"/>
  <c r="G52" i="32"/>
  <c r="G50" i="32" s="1"/>
  <c r="G60" i="32"/>
  <c r="G58" i="32" s="1"/>
  <c r="G33" i="31" l="1"/>
  <c r="F33" i="31"/>
  <c r="E33" i="31"/>
  <c r="D33" i="31"/>
  <c r="E141" i="30"/>
  <c r="E160" i="30" s="1"/>
  <c r="E41" i="30"/>
  <c r="E40" i="30"/>
  <c r="E36" i="30"/>
  <c r="E33" i="30"/>
  <c r="E23" i="30"/>
  <c r="E22" i="30"/>
  <c r="I20" i="29"/>
  <c r="E19" i="29"/>
  <c r="H18" i="29"/>
  <c r="H20" i="29" s="1"/>
  <c r="G18" i="29"/>
  <c r="F18" i="29"/>
  <c r="E18" i="29"/>
  <c r="D18" i="29"/>
  <c r="E17" i="29"/>
  <c r="F16" i="29"/>
  <c r="E16" i="29"/>
  <c r="D16" i="29"/>
  <c r="G15" i="29"/>
  <c r="G20" i="29" s="1"/>
  <c r="F15" i="29"/>
  <c r="F20" i="29" s="1"/>
  <c r="E15" i="29"/>
  <c r="D15" i="29"/>
  <c r="D20" i="29" s="1"/>
  <c r="E14" i="29"/>
  <c r="E20" i="29" s="1"/>
  <c r="E47" i="30" l="1"/>
  <c r="E161" i="30" s="1"/>
  <c r="H375" i="27"/>
  <c r="H374" i="27"/>
  <c r="H373" i="27"/>
  <c r="H372" i="27"/>
  <c r="H371" i="27"/>
  <c r="G370" i="27"/>
  <c r="G369" i="27" s="1"/>
  <c r="G361" i="27" s="1"/>
  <c r="G360" i="27" s="1"/>
  <c r="F370" i="27"/>
  <c r="F369" i="27" s="1"/>
  <c r="H368" i="27"/>
  <c r="H367" i="27"/>
  <c r="H366" i="27"/>
  <c r="H365" i="27"/>
  <c r="H364" i="27"/>
  <c r="G363" i="27"/>
  <c r="G362" i="27" s="1"/>
  <c r="F363" i="27"/>
  <c r="H359" i="27"/>
  <c r="H358" i="27"/>
  <c r="H357" i="27"/>
  <c r="H356" i="27"/>
  <c r="G355" i="27"/>
  <c r="F355" i="27"/>
  <c r="F354" i="27" s="1"/>
  <c r="G354" i="27"/>
  <c r="G353" i="27" s="1"/>
  <c r="H352" i="27"/>
  <c r="G351" i="27"/>
  <c r="G350" i="27" s="1"/>
  <c r="F351" i="27"/>
  <c r="F350" i="27" s="1"/>
  <c r="H349" i="27"/>
  <c r="G348" i="27"/>
  <c r="G347" i="27" s="1"/>
  <c r="F348" i="27"/>
  <c r="F347" i="27" s="1"/>
  <c r="H346" i="27"/>
  <c r="H345" i="27"/>
  <c r="G344" i="27"/>
  <c r="G343" i="27" s="1"/>
  <c r="F344" i="27"/>
  <c r="F343" i="27" s="1"/>
  <c r="H342" i="27"/>
  <c r="H341" i="27"/>
  <c r="H340" i="27"/>
  <c r="H339" i="27"/>
  <c r="H338" i="27"/>
  <c r="G337" i="27"/>
  <c r="F337" i="27"/>
  <c r="H337" i="27" s="1"/>
  <c r="H335" i="27"/>
  <c r="H334" i="27"/>
  <c r="H333" i="27"/>
  <c r="H332" i="27"/>
  <c r="H331" i="27"/>
  <c r="G330" i="27"/>
  <c r="G329" i="27" s="1"/>
  <c r="F330" i="27"/>
  <c r="F329" i="27"/>
  <c r="H327" i="27"/>
  <c r="H326" i="27"/>
  <c r="H325" i="27"/>
  <c r="H324" i="27"/>
  <c r="G323" i="27"/>
  <c r="F323" i="27"/>
  <c r="H323" i="27" s="1"/>
  <c r="H322" i="27"/>
  <c r="G321" i="27"/>
  <c r="G320" i="27" s="1"/>
  <c r="G319" i="27" s="1"/>
  <c r="F321" i="27"/>
  <c r="H317" i="27"/>
  <c r="H316" i="27"/>
  <c r="H315" i="27"/>
  <c r="G314" i="27"/>
  <c r="G313" i="27" s="1"/>
  <c r="G312" i="27" s="1"/>
  <c r="F314" i="27"/>
  <c r="F313" i="27" s="1"/>
  <c r="F312" i="27" s="1"/>
  <c r="H310" i="27"/>
  <c r="G309" i="27"/>
  <c r="F309" i="27"/>
  <c r="F308" i="27" s="1"/>
  <c r="G308" i="27"/>
  <c r="G307" i="27" s="1"/>
  <c r="H306" i="27"/>
  <c r="G305" i="27"/>
  <c r="F305" i="27"/>
  <c r="H305" i="27" s="1"/>
  <c r="H304" i="27"/>
  <c r="H303" i="27"/>
  <c r="G302" i="27"/>
  <c r="G301" i="27" s="1"/>
  <c r="F302" i="27"/>
  <c r="F301" i="27" s="1"/>
  <c r="H301" i="27" s="1"/>
  <c r="H300" i="27"/>
  <c r="G299" i="27"/>
  <c r="G298" i="27" s="1"/>
  <c r="F299" i="27"/>
  <c r="F298" i="27" s="1"/>
  <c r="H297" i="27"/>
  <c r="G296" i="27"/>
  <c r="F296" i="27"/>
  <c r="F295" i="27" s="1"/>
  <c r="H293" i="27"/>
  <c r="H292" i="27"/>
  <c r="H291" i="27"/>
  <c r="G290" i="27"/>
  <c r="F290" i="27"/>
  <c r="F289" i="27" s="1"/>
  <c r="F288" i="27" s="1"/>
  <c r="H287" i="27"/>
  <c r="G286" i="27"/>
  <c r="G285" i="27" s="1"/>
  <c r="F286" i="27"/>
  <c r="F285" i="27" s="1"/>
  <c r="H285" i="27" s="1"/>
  <c r="H284" i="27"/>
  <c r="H283" i="27"/>
  <c r="H282" i="27"/>
  <c r="H281" i="27"/>
  <c r="H280" i="27"/>
  <c r="H279" i="27"/>
  <c r="H278" i="27"/>
  <c r="G277" i="27"/>
  <c r="H277" i="27" s="1"/>
  <c r="F277" i="27"/>
  <c r="H276" i="27"/>
  <c r="H275" i="27"/>
  <c r="H274" i="27"/>
  <c r="G273" i="27"/>
  <c r="F273" i="27"/>
  <c r="F272" i="27" s="1"/>
  <c r="H270" i="27"/>
  <c r="H269" i="27"/>
  <c r="H268" i="27"/>
  <c r="H267" i="27"/>
  <c r="H266" i="27"/>
  <c r="G265" i="27"/>
  <c r="G264" i="27" s="1"/>
  <c r="F265" i="27"/>
  <c r="F264" i="27" s="1"/>
  <c r="H263" i="27"/>
  <c r="H262" i="27"/>
  <c r="G261" i="27"/>
  <c r="G260" i="27" s="1"/>
  <c r="F261" i="27"/>
  <c r="F260" i="27" s="1"/>
  <c r="H257" i="27"/>
  <c r="G256" i="27"/>
  <c r="G254" i="27" s="1"/>
  <c r="G253" i="27" s="1"/>
  <c r="F256" i="27"/>
  <c r="F254" i="27" s="1"/>
  <c r="F253" i="27" s="1"/>
  <c r="H252" i="27"/>
  <c r="H251" i="27"/>
  <c r="G250" i="27"/>
  <c r="F250" i="27"/>
  <c r="F249" i="27" s="1"/>
  <c r="G249" i="27"/>
  <c r="G248" i="27" s="1"/>
  <c r="H247" i="27"/>
  <c r="G246" i="27"/>
  <c r="F246" i="27"/>
  <c r="F245" i="27"/>
  <c r="H245" i="27" s="1"/>
  <c r="H244" i="27"/>
  <c r="H243" i="27"/>
  <c r="F243" i="27"/>
  <c r="H242" i="27"/>
  <c r="F242" i="27"/>
  <c r="H241" i="27"/>
  <c r="F241" i="27"/>
  <c r="G240" i="27"/>
  <c r="H239" i="27"/>
  <c r="G238" i="27"/>
  <c r="F238" i="27"/>
  <c r="H238" i="27" s="1"/>
  <c r="G237" i="27"/>
  <c r="F237" i="27"/>
  <c r="H236" i="27"/>
  <c r="G235" i="27"/>
  <c r="H235" i="27" s="1"/>
  <c r="F234" i="27"/>
  <c r="H234" i="27" s="1"/>
  <c r="G233" i="27"/>
  <c r="H233" i="27" s="1"/>
  <c r="F233" i="27"/>
  <c r="G232" i="27"/>
  <c r="F232" i="27"/>
  <c r="G231" i="27"/>
  <c r="H231" i="27" s="1"/>
  <c r="G230" i="27"/>
  <c r="F230" i="27"/>
  <c r="H227" i="27"/>
  <c r="H226" i="27"/>
  <c r="H225" i="27"/>
  <c r="H224" i="27"/>
  <c r="H223" i="27"/>
  <c r="H222" i="27"/>
  <c r="H221" i="27"/>
  <c r="H220" i="27"/>
  <c r="H219" i="27"/>
  <c r="H218" i="27"/>
  <c r="G217" i="27"/>
  <c r="F217" i="27"/>
  <c r="H216" i="27"/>
  <c r="H215" i="27"/>
  <c r="H214" i="27"/>
  <c r="H213" i="27"/>
  <c r="H212" i="27"/>
  <c r="G211" i="27"/>
  <c r="H211" i="27" s="1"/>
  <c r="F211" i="27"/>
  <c r="H210" i="27"/>
  <c r="H209" i="27"/>
  <c r="G208" i="27"/>
  <c r="F208" i="27"/>
  <c r="H208" i="27" s="1"/>
  <c r="F207" i="27"/>
  <c r="G206" i="27"/>
  <c r="H205" i="27"/>
  <c r="G204" i="27"/>
  <c r="F204" i="27"/>
  <c r="H202" i="27"/>
  <c r="H201" i="27"/>
  <c r="H200" i="27"/>
  <c r="G199" i="27"/>
  <c r="F199" i="27"/>
  <c r="F198" i="27" s="1"/>
  <c r="H195" i="27"/>
  <c r="H194" i="27"/>
  <c r="H193" i="27"/>
  <c r="H192" i="27"/>
  <c r="G191" i="27"/>
  <c r="G190" i="27" s="1"/>
  <c r="F191" i="27"/>
  <c r="F190" i="27" s="1"/>
  <c r="H190" i="27" s="1"/>
  <c r="H189" i="27"/>
  <c r="G188" i="27"/>
  <c r="G187" i="27" s="1"/>
  <c r="F188" i="27"/>
  <c r="F187" i="27" s="1"/>
  <c r="H186" i="27"/>
  <c r="H185" i="27"/>
  <c r="H184" i="27"/>
  <c r="G183" i="27"/>
  <c r="G182" i="27" s="1"/>
  <c r="F183" i="27"/>
  <c r="F182" i="27" s="1"/>
  <c r="H181" i="27"/>
  <c r="G180" i="27"/>
  <c r="F180" i="27"/>
  <c r="H179" i="27"/>
  <c r="H178" i="27"/>
  <c r="H177" i="27"/>
  <c r="G176" i="27"/>
  <c r="H176" i="27" s="1"/>
  <c r="F176" i="27"/>
  <c r="G175" i="27"/>
  <c r="H174" i="27"/>
  <c r="H173" i="27"/>
  <c r="H172" i="27"/>
  <c r="H171" i="27"/>
  <c r="G170" i="27"/>
  <c r="G169" i="27" s="1"/>
  <c r="F170" i="27"/>
  <c r="F169" i="27" s="1"/>
  <c r="G168" i="27"/>
  <c r="H168" i="27" s="1"/>
  <c r="G167" i="27"/>
  <c r="H167" i="27" s="1"/>
  <c r="H166" i="27"/>
  <c r="H165" i="27"/>
  <c r="H164" i="27"/>
  <c r="G163" i="27"/>
  <c r="H163" i="27" s="1"/>
  <c r="H162" i="27"/>
  <c r="H161" i="27"/>
  <c r="F160" i="27"/>
  <c r="F159" i="27" s="1"/>
  <c r="H158" i="27"/>
  <c r="H157" i="27"/>
  <c r="H156" i="27"/>
  <c r="H155" i="27"/>
  <c r="H154" i="27"/>
  <c r="H153" i="27"/>
  <c r="H152" i="27"/>
  <c r="H151" i="27"/>
  <c r="G150" i="27"/>
  <c r="F150" i="27"/>
  <c r="F149" i="27" s="1"/>
  <c r="H148" i="27"/>
  <c r="H147" i="27"/>
  <c r="H146" i="27"/>
  <c r="H145" i="27"/>
  <c r="H144" i="27"/>
  <c r="G143" i="27"/>
  <c r="G142" i="27" s="1"/>
  <c r="F143" i="27"/>
  <c r="F142" i="27" s="1"/>
  <c r="H141" i="27"/>
  <c r="H140" i="27"/>
  <c r="G139" i="27"/>
  <c r="H139" i="27" s="1"/>
  <c r="F139" i="27"/>
  <c r="H138" i="27"/>
  <c r="H137" i="27"/>
  <c r="H136" i="27"/>
  <c r="H135" i="27"/>
  <c r="H134" i="27"/>
  <c r="H133" i="27"/>
  <c r="H132" i="27"/>
  <c r="H131" i="27"/>
  <c r="H130" i="27"/>
  <c r="H129" i="27"/>
  <c r="H128" i="27"/>
  <c r="H127" i="27"/>
  <c r="G126" i="27"/>
  <c r="G125" i="27" s="1"/>
  <c r="F126" i="27"/>
  <c r="F125" i="27" s="1"/>
  <c r="H123" i="27"/>
  <c r="H122" i="27"/>
  <c r="G121" i="27"/>
  <c r="F121" i="27"/>
  <c r="H120" i="27"/>
  <c r="G119" i="27"/>
  <c r="F119" i="27"/>
  <c r="H119" i="27" s="1"/>
  <c r="H116" i="27"/>
  <c r="H115" i="27"/>
  <c r="G114" i="27"/>
  <c r="G113" i="27" s="1"/>
  <c r="G112" i="27" s="1"/>
  <c r="F114" i="27"/>
  <c r="F113" i="27" s="1"/>
  <c r="H110" i="27"/>
  <c r="H109" i="27"/>
  <c r="H108" i="27"/>
  <c r="H107" i="27"/>
  <c r="G106" i="27"/>
  <c r="F106" i="27"/>
  <c r="H105" i="27"/>
  <c r="H104" i="27"/>
  <c r="G103" i="27"/>
  <c r="F103" i="27"/>
  <c r="H103" i="27" s="1"/>
  <c r="H102" i="27"/>
  <c r="H101" i="27"/>
  <c r="H100" i="27"/>
  <c r="H99" i="27"/>
  <c r="H98" i="27"/>
  <c r="H97" i="27"/>
  <c r="H96" i="27"/>
  <c r="H95" i="27"/>
  <c r="H94" i="27"/>
  <c r="H93" i="27"/>
  <c r="G92" i="27"/>
  <c r="F92" i="27"/>
  <c r="H90" i="27"/>
  <c r="G89" i="27"/>
  <c r="G88" i="27" s="1"/>
  <c r="F89" i="27"/>
  <c r="F88" i="27" s="1"/>
  <c r="H86" i="27"/>
  <c r="G85" i="27"/>
  <c r="G84" i="27" s="1"/>
  <c r="G83" i="27" s="1"/>
  <c r="H83" i="27" s="1"/>
  <c r="F85" i="27"/>
  <c r="F84" i="27" s="1"/>
  <c r="F83" i="27"/>
  <c r="H82" i="27"/>
  <c r="H81" i="27"/>
  <c r="G80" i="27"/>
  <c r="G79" i="27" s="1"/>
  <c r="G78" i="27" s="1"/>
  <c r="F80" i="27"/>
  <c r="F79" i="27" s="1"/>
  <c r="F78" i="27" s="1"/>
  <c r="H77" i="27"/>
  <c r="G76" i="27"/>
  <c r="F76" i="27"/>
  <c r="F75" i="27" s="1"/>
  <c r="F63" i="27" s="1"/>
  <c r="H74" i="27"/>
  <c r="G73" i="27"/>
  <c r="H73" i="27" s="1"/>
  <c r="F73" i="27"/>
  <c r="H72" i="27"/>
  <c r="G71" i="27"/>
  <c r="H71" i="27" s="1"/>
  <c r="F71" i="27"/>
  <c r="F70" i="27" s="1"/>
  <c r="G70" i="27"/>
  <c r="H69" i="27"/>
  <c r="H68" i="27"/>
  <c r="H67" i="27"/>
  <c r="H66" i="27"/>
  <c r="G65" i="27"/>
  <c r="F65" i="27"/>
  <c r="F64" i="27" s="1"/>
  <c r="G64" i="27"/>
  <c r="H60" i="27"/>
  <c r="G59" i="27"/>
  <c r="F59" i="27"/>
  <c r="F58" i="27" s="1"/>
  <c r="G58" i="27"/>
  <c r="H57" i="27"/>
  <c r="G56" i="27"/>
  <c r="G55" i="27" s="1"/>
  <c r="F56" i="27"/>
  <c r="F55" i="27" s="1"/>
  <c r="H52" i="27"/>
  <c r="G51" i="27"/>
  <c r="F51" i="27"/>
  <c r="F50" i="27" s="1"/>
  <c r="F49" i="27" s="1"/>
  <c r="H48" i="27"/>
  <c r="G47" i="27"/>
  <c r="G46" i="27" s="1"/>
  <c r="F47" i="27"/>
  <c r="F46" i="27" s="1"/>
  <c r="H45" i="27"/>
  <c r="G44" i="27"/>
  <c r="G43" i="27" s="1"/>
  <c r="F44" i="27"/>
  <c r="F43" i="27" s="1"/>
  <c r="H42" i="27"/>
  <c r="G41" i="27"/>
  <c r="F41" i="27"/>
  <c r="F40" i="27"/>
  <c r="H39" i="27"/>
  <c r="H38" i="27"/>
  <c r="G38" i="27"/>
  <c r="G37" i="27" s="1"/>
  <c r="F38" i="27"/>
  <c r="F37" i="27" s="1"/>
  <c r="H35" i="27"/>
  <c r="G34" i="27"/>
  <c r="H34" i="27" s="1"/>
  <c r="F34" i="27"/>
  <c r="F33" i="27"/>
  <c r="G32" i="27"/>
  <c r="H28" i="27"/>
  <c r="G27" i="27"/>
  <c r="G26" i="27" s="1"/>
  <c r="F27" i="27"/>
  <c r="F26" i="27" s="1"/>
  <c r="F25" i="27" s="1"/>
  <c r="G25" i="27"/>
  <c r="H23" i="27"/>
  <c r="G22" i="27"/>
  <c r="G21" i="27" s="1"/>
  <c r="G20" i="27" s="1"/>
  <c r="F22" i="27"/>
  <c r="F21" i="27" s="1"/>
  <c r="F19" i="27"/>
  <c r="H19" i="27" s="1"/>
  <c r="G18" i="27"/>
  <c r="G17" i="27" s="1"/>
  <c r="G16" i="27" s="1"/>
  <c r="G11" i="27" s="1"/>
  <c r="F18" i="27"/>
  <c r="H15" i="27"/>
  <c r="G14" i="27"/>
  <c r="G13" i="27" s="1"/>
  <c r="F14" i="27"/>
  <c r="H14" i="27" s="1"/>
  <c r="G12" i="27" l="1"/>
  <c r="H46" i="27"/>
  <c r="H64" i="27"/>
  <c r="H70" i="27"/>
  <c r="H85" i="27"/>
  <c r="H249" i="27"/>
  <c r="H330" i="27"/>
  <c r="H78" i="27"/>
  <c r="F91" i="27"/>
  <c r="H314" i="27"/>
  <c r="H329" i="27"/>
  <c r="H18" i="27"/>
  <c r="H65" i="27"/>
  <c r="H142" i="27"/>
  <c r="H170" i="27"/>
  <c r="F320" i="27"/>
  <c r="F319" i="27" s="1"/>
  <c r="H319" i="27" s="1"/>
  <c r="H347" i="27"/>
  <c r="F258" i="27"/>
  <c r="H260" i="27"/>
  <c r="H21" i="27"/>
  <c r="F20" i="27"/>
  <c r="H20" i="27" s="1"/>
  <c r="H272" i="27"/>
  <c r="H58" i="27"/>
  <c r="H106" i="27"/>
  <c r="G160" i="27"/>
  <c r="G159" i="27" s="1"/>
  <c r="H159" i="27" s="1"/>
  <c r="H169" i="27"/>
  <c r="H187" i="27"/>
  <c r="F229" i="27"/>
  <c r="H237" i="27"/>
  <c r="H264" i="27"/>
  <c r="H308" i="27"/>
  <c r="H321" i="27"/>
  <c r="H354" i="27"/>
  <c r="H363" i="27"/>
  <c r="H369" i="27"/>
  <c r="H55" i="27"/>
  <c r="H182" i="27"/>
  <c r="F248" i="27"/>
  <c r="H248" i="27" s="1"/>
  <c r="H351" i="27"/>
  <c r="F13" i="27"/>
  <c r="F17" i="27"/>
  <c r="H17" i="27" s="1"/>
  <c r="G31" i="27"/>
  <c r="G30" i="27" s="1"/>
  <c r="H43" i="27"/>
  <c r="G54" i="27"/>
  <c r="G53" i="27" s="1"/>
  <c r="H88" i="27"/>
  <c r="H113" i="27"/>
  <c r="F118" i="27"/>
  <c r="F117" i="27" s="1"/>
  <c r="H180" i="27"/>
  <c r="H217" i="27"/>
  <c r="H246" i="27"/>
  <c r="H254" i="27"/>
  <c r="G272" i="27"/>
  <c r="H298" i="27"/>
  <c r="H343" i="27"/>
  <c r="F362" i="27"/>
  <c r="H362" i="27" s="1"/>
  <c r="H13" i="27"/>
  <c r="H51" i="27"/>
  <c r="G50" i="27"/>
  <c r="F12" i="27"/>
  <c r="F16" i="27"/>
  <c r="H16" i="27" s="1"/>
  <c r="H26" i="27"/>
  <c r="H33" i="27"/>
  <c r="F32" i="27"/>
  <c r="H37" i="27"/>
  <c r="H44" i="27"/>
  <c r="H47" i="27"/>
  <c r="F54" i="27"/>
  <c r="H59" i="27"/>
  <c r="H76" i="27"/>
  <c r="G75" i="27"/>
  <c r="H75" i="27" s="1"/>
  <c r="H79" i="27"/>
  <c r="H84" i="27"/>
  <c r="F87" i="27"/>
  <c r="F112" i="27"/>
  <c r="H112" i="27" s="1"/>
  <c r="G118" i="27"/>
  <c r="H143" i="27"/>
  <c r="H160" i="27"/>
  <c r="H204" i="27"/>
  <c r="H207" i="27"/>
  <c r="F206" i="27"/>
  <c r="H230" i="27"/>
  <c r="G229" i="27"/>
  <c r="G203" i="27" s="1"/>
  <c r="H232" i="27"/>
  <c r="F240" i="27"/>
  <c r="H240" i="27" s="1"/>
  <c r="H250" i="27"/>
  <c r="H253" i="27"/>
  <c r="H261" i="27"/>
  <c r="H273" i="27"/>
  <c r="H286" i="27"/>
  <c r="F294" i="27"/>
  <c r="H299" i="27"/>
  <c r="H302" i="27"/>
  <c r="F307" i="27"/>
  <c r="H307" i="27" s="1"/>
  <c r="H313" i="27"/>
  <c r="G328" i="27"/>
  <c r="G311" i="27" s="1"/>
  <c r="H348" i="27"/>
  <c r="H350" i="27"/>
  <c r="F353" i="27"/>
  <c r="H353" i="27" s="1"/>
  <c r="G36" i="27"/>
  <c r="H290" i="27"/>
  <c r="G289" i="27"/>
  <c r="H296" i="27"/>
  <c r="G295" i="27"/>
  <c r="H22" i="27"/>
  <c r="H27" i="27"/>
  <c r="F36" i="27"/>
  <c r="H80" i="27"/>
  <c r="H89" i="27"/>
  <c r="H92" i="27"/>
  <c r="H114" i="27"/>
  <c r="H125" i="27"/>
  <c r="H150" i="27"/>
  <c r="G149" i="27"/>
  <c r="H149" i="27" s="1"/>
  <c r="F175" i="27"/>
  <c r="H183" i="27"/>
  <c r="H188" i="27"/>
  <c r="H191" i="27"/>
  <c r="G258" i="27"/>
  <c r="H258" i="27" s="1"/>
  <c r="H309" i="27"/>
  <c r="F328" i="27"/>
  <c r="H355" i="27"/>
  <c r="F361" i="27"/>
  <c r="H370" i="27"/>
  <c r="H25" i="27"/>
  <c r="H41" i="27"/>
  <c r="G40" i="27"/>
  <c r="H40" i="27" s="1"/>
  <c r="H56" i="27"/>
  <c r="G91" i="27"/>
  <c r="G87" i="27" s="1"/>
  <c r="H121" i="27"/>
  <c r="H126" i="27"/>
  <c r="H199" i="27"/>
  <c r="G198" i="27"/>
  <c r="H198" i="27" s="1"/>
  <c r="H256" i="27"/>
  <c r="H265" i="27"/>
  <c r="H312" i="27"/>
  <c r="H344" i="27"/>
  <c r="H91" i="27" l="1"/>
  <c r="H320" i="27"/>
  <c r="H229" i="27"/>
  <c r="G63" i="27"/>
  <c r="H295" i="27"/>
  <c r="G294" i="27"/>
  <c r="H294" i="27" s="1"/>
  <c r="F203" i="27"/>
  <c r="H206" i="27"/>
  <c r="H118" i="27"/>
  <c r="G117" i="27"/>
  <c r="H117" i="27" s="1"/>
  <c r="G124" i="27"/>
  <c r="H289" i="27"/>
  <c r="G288" i="27"/>
  <c r="H288" i="27" s="1"/>
  <c r="F53" i="27"/>
  <c r="H54" i="27"/>
  <c r="G49" i="27"/>
  <c r="H49" i="27" s="1"/>
  <c r="H50" i="27"/>
  <c r="H175" i="27"/>
  <c r="F124" i="27"/>
  <c r="H63" i="27"/>
  <c r="H328" i="27"/>
  <c r="F311" i="27"/>
  <c r="H36" i="27"/>
  <c r="F360" i="27"/>
  <c r="H361" i="27"/>
  <c r="H87" i="27"/>
  <c r="H32" i="27"/>
  <c r="F31" i="27"/>
  <c r="H12" i="27"/>
  <c r="F11" i="27"/>
  <c r="G62" i="27" l="1"/>
  <c r="G61" i="27" s="1"/>
  <c r="G24" i="27"/>
  <c r="G10" i="27" s="1"/>
  <c r="H11" i="27"/>
  <c r="H311" i="27"/>
  <c r="H124" i="27"/>
  <c r="H203" i="27"/>
  <c r="F30" i="27"/>
  <c r="H31" i="27"/>
  <c r="H360" i="27"/>
  <c r="H53" i="27"/>
  <c r="F62" i="27"/>
  <c r="F61" i="27" l="1"/>
  <c r="H62" i="27"/>
  <c r="H30" i="27"/>
  <c r="F24" i="27"/>
  <c r="H61" i="27" l="1"/>
  <c r="H24" i="27"/>
  <c r="F10" i="27"/>
  <c r="H10" i="27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Renata Siedlecka</author>
    <author/>
  </authors>
  <commentList>
    <comment ref="D26" authorId="0" shapeId="0" xr:uid="{20FBFBC8-3EAF-4031-9C79-9A57EFECE627}">
      <text>
        <r>
          <rPr>
            <b/>
            <sz val="9"/>
            <color indexed="81"/>
            <rFont val="Tahoma"/>
            <family val="2"/>
            <charset val="238"/>
          </rPr>
          <t>Renata Siedlecka:</t>
        </r>
        <r>
          <rPr>
            <sz val="9"/>
            <color indexed="81"/>
            <rFont val="Tahoma"/>
            <family val="2"/>
            <charset val="238"/>
          </rPr>
          <t xml:space="preserve">
nieruchomości:
Zapiecek 8, 
Królewiecka 9</t>
        </r>
      </text>
    </comment>
    <comment ref="D29" authorId="1" shapeId="0" xr:uid="{49A0B818-09CA-4A91-913B-B5844736A3F6}">
      <text>
        <r>
          <rPr>
            <sz val="11"/>
            <color rgb="FF000000"/>
            <rFont val="Calibri"/>
            <family val="2"/>
            <charset val="1"/>
          </rPr>
          <t xml:space="preserve">Renata Siedlecka:
</t>
        </r>
        <r>
          <rPr>
            <sz val="9"/>
            <color rgb="FF000000"/>
            <rFont val="Tahoma"/>
            <family val="2"/>
            <charset val="238"/>
          </rPr>
          <t>w ramach GPR</t>
        </r>
      </text>
    </comment>
    <comment ref="B31" authorId="0" shapeId="0" xr:uid="{1C0E117C-66AF-40A7-808F-1FBF9CCDA0D3}">
      <text>
        <r>
          <rPr>
            <b/>
            <sz val="9"/>
            <color indexed="81"/>
            <rFont val="Tahoma"/>
            <family val="2"/>
            <charset val="238"/>
          </rPr>
          <t>Renata Siedlecka:</t>
        </r>
        <r>
          <rPr>
            <sz val="9"/>
            <color indexed="81"/>
            <rFont val="Tahoma"/>
            <family val="2"/>
            <charset val="238"/>
          </rPr>
          <t xml:space="preserve">
§6800</t>
        </r>
      </text>
    </comment>
    <comment ref="B32" authorId="0" shapeId="0" xr:uid="{5CF2BCB9-53A4-4F98-B7E4-81802E11EAB6}">
      <text>
        <r>
          <rPr>
            <b/>
            <sz val="9"/>
            <color indexed="81"/>
            <rFont val="Tahoma"/>
            <family val="2"/>
            <charset val="238"/>
          </rPr>
          <t>Renata Siedlecka:</t>
        </r>
        <r>
          <rPr>
            <sz val="9"/>
            <color indexed="81"/>
            <rFont val="Tahoma"/>
            <family val="2"/>
            <charset val="238"/>
          </rPr>
          <t xml:space="preserve">
§6800</t>
        </r>
      </text>
    </comment>
  </commentList>
</comments>
</file>

<file path=xl/sharedStrings.xml><?xml version="1.0" encoding="utf-8"?>
<sst xmlns="http://schemas.openxmlformats.org/spreadsheetml/2006/main" count="851" uniqueCount="411">
  <si>
    <t>Załącznik Nr 1</t>
  </si>
  <si>
    <t xml:space="preserve">Prezydenta Miasta Włocławek </t>
  </si>
  <si>
    <t>Zmiany w budżecie miasta Włocławek na 2022 rok</t>
  </si>
  <si>
    <t>w złotych</t>
  </si>
  <si>
    <t>Plan</t>
  </si>
  <si>
    <t>Dz.</t>
  </si>
  <si>
    <t>Rozdz.</t>
  </si>
  <si>
    <t>§</t>
  </si>
  <si>
    <t>T r e ś ć</t>
  </si>
  <si>
    <t>przed zmianą</t>
  </si>
  <si>
    <t>zwiększyć</t>
  </si>
  <si>
    <t>zmniejszyć</t>
  </si>
  <si>
    <t>po zmianach</t>
  </si>
  <si>
    <t>DOCHODY OGÓŁEM:</t>
  </si>
  <si>
    <t>Dochody na zadania własne:</t>
  </si>
  <si>
    <t>Administracja publiczna</t>
  </si>
  <si>
    <t>Kwalifikacja wojskowa</t>
  </si>
  <si>
    <t xml:space="preserve">Organ </t>
  </si>
  <si>
    <t>2120</t>
  </si>
  <si>
    <t>dotacje celowe otrzymane z budżetu państwa na zadania bieżące realizowane przez powiat na podstawie porozumień z organami administracji rządowej</t>
  </si>
  <si>
    <t xml:space="preserve">Bezpieczeństwo publiczne i ochrona </t>
  </si>
  <si>
    <t>przeciwpożarowa</t>
  </si>
  <si>
    <t>Organ</t>
  </si>
  <si>
    <t>Oświata i wychowanie</t>
  </si>
  <si>
    <t>Dokształcanie i doskonalenie nauczycieli</t>
  </si>
  <si>
    <t>Pomoc społeczna</t>
  </si>
  <si>
    <t>Ośrodki pomocy społecznej</t>
  </si>
  <si>
    <t>Dochody na zadania zlecone:</t>
  </si>
  <si>
    <t>Urzędy wojewódzkie</t>
  </si>
  <si>
    <t>2010</t>
  </si>
  <si>
    <t xml:space="preserve">dotacje celowe otrzymane z budżetu państwa na realizację zadań bieżących z zakresu administracji rządowej oraz innych zadań zleconych gminie (związkom gmin, związkom powiatowo-gminnym) ustawami </t>
  </si>
  <si>
    <t>Ośrodki wsparcia</t>
  </si>
  <si>
    <t>Pomoc dla cudzoziemców</t>
  </si>
  <si>
    <t>Rodzina</t>
  </si>
  <si>
    <t>Dochody na zadania rządowe:</t>
  </si>
  <si>
    <t>Gospodarka mieszkaniowa</t>
  </si>
  <si>
    <t>Pozostałe zadania w zakresie polityki społecznej</t>
  </si>
  <si>
    <t>Pozostała działalność</t>
  </si>
  <si>
    <t>WYDATKI OGÓŁEM:</t>
  </si>
  <si>
    <t>Wydatki na zadania własne:</t>
  </si>
  <si>
    <t>Transport i łączność</t>
  </si>
  <si>
    <t>Drogi publiczne gminne</t>
  </si>
  <si>
    <t>Wydział Inwestycji</t>
  </si>
  <si>
    <t>wydatki inwestycyjne jednostek budżetowych</t>
  </si>
  <si>
    <t>zakup usług pozostałych</t>
  </si>
  <si>
    <t xml:space="preserve">zakup usług obejmujących wykonanie ekspertyz, analiz i opinii </t>
  </si>
  <si>
    <t xml:space="preserve">szkolenia pracowników  niebędących członkami korpusu służby cywilnej </t>
  </si>
  <si>
    <t>Wydział Spraw Obywatelskich</t>
  </si>
  <si>
    <t>wynagrodzenia bezosobowe</t>
  </si>
  <si>
    <t>Bezpieczeństwo publiczne i ochrona</t>
  </si>
  <si>
    <t>Wydział Zarządzania Kryzysowego i Bezpieczeństwa</t>
  </si>
  <si>
    <t>Różne rozliczenia</t>
  </si>
  <si>
    <t>Rezerwy ogólne i celowe</t>
  </si>
  <si>
    <t>4810</t>
  </si>
  <si>
    <t xml:space="preserve">rezerwy </t>
  </si>
  <si>
    <t xml:space="preserve"> - rezerwa celowa</t>
  </si>
  <si>
    <t>6800</t>
  </si>
  <si>
    <t>rezerwy na inwestycje i zakupy inwestycyjne</t>
  </si>
  <si>
    <t xml:space="preserve">  - rezerwa inwestycyjna</t>
  </si>
  <si>
    <t>Szkoły podstawowe</t>
  </si>
  <si>
    <t>Jednostki oświatowe zbiorczo</t>
  </si>
  <si>
    <t xml:space="preserve">składki na ubezpieczenia społeczne </t>
  </si>
  <si>
    <t xml:space="preserve">składki na Fundusz Pracy oraz Fundusz Solidarnościowy </t>
  </si>
  <si>
    <t>zakup środków dydaktycznych i książek</t>
  </si>
  <si>
    <t>zakup energii</t>
  </si>
  <si>
    <t>wpłaty na PPK finansowane przez podmiot zatrudniający</t>
  </si>
  <si>
    <t>Szkoły podstawowe specjalne</t>
  </si>
  <si>
    <t>Przedszkola</t>
  </si>
  <si>
    <t>podróże służbowe krajowe</t>
  </si>
  <si>
    <t xml:space="preserve">różne opłaty i składki </t>
  </si>
  <si>
    <t>wynagrodzenia osobowe pracowników</t>
  </si>
  <si>
    <t>Technika</t>
  </si>
  <si>
    <t>zakup usług zdrowotnych</t>
  </si>
  <si>
    <t>Branżowe szkoły I i II stopnia</t>
  </si>
  <si>
    <t>Licea ogólnokształcące</t>
  </si>
  <si>
    <t>wynagrodzenie osobowe nauczycieli</t>
  </si>
  <si>
    <t>Ośrodki szkolenia, dokształcania i doskonalenia kadr</t>
  </si>
  <si>
    <t>dodatkowe wynagrodzenie roczne nauczycieli</t>
  </si>
  <si>
    <t>Wydział Edukacji</t>
  </si>
  <si>
    <t>Kwalifikacyjne kursy zawodowe</t>
  </si>
  <si>
    <t xml:space="preserve">Realizacja zadań wymagających stosowania specjalnej </t>
  </si>
  <si>
    <t>organizacji nauki i metod pracy dla dzieci i młodzieży</t>
  </si>
  <si>
    <t>Jednostki oświatowe zbiorczo (projekty z grantów Lokalnej</t>
  </si>
  <si>
    <t>Grupy Działania Miasta Włocławek)</t>
  </si>
  <si>
    <t>zakup materiałów i wyposażenia</t>
  </si>
  <si>
    <t>zakup środków żywności</t>
  </si>
  <si>
    <t>Zespół Szkolno - Przedszkolny Nr 1 - program: Erasmus+ Akcja KA1 pn. "W drodze do sukcesu - wspólnie pokonujemy bariery"</t>
  </si>
  <si>
    <t>podróże służbowe zagraniczne</t>
  </si>
  <si>
    <t>Centrum Kształcenia Zawodowego i Ustawicznego - projekt pn. "Kształcenie zawodowe we Włocławku"</t>
  </si>
  <si>
    <t>wydatki osobowe niezaliczone do wynagrodzeń</t>
  </si>
  <si>
    <t>składki na ubezpieczenia społeczne</t>
  </si>
  <si>
    <t>składki na Fundusz Pracy oraz Fundusz Solidarnościowy</t>
  </si>
  <si>
    <t>852</t>
  </si>
  <si>
    <t>Miejski Ośrodek Pomocy Rodzinie</t>
  </si>
  <si>
    <t>Edukacyjna opieka wychowawcza</t>
  </si>
  <si>
    <t>Wczesne wspomaganie rozwoju dziecka</t>
  </si>
  <si>
    <t>Poradnie psychologiczno - pedagogiczne, w tym</t>
  </si>
  <si>
    <t>poradnie specjalistyczne</t>
  </si>
  <si>
    <t>Gospodarka komunalna i ochrona środowiska</t>
  </si>
  <si>
    <t>Zadania w zakresie kultury fizycznej</t>
  </si>
  <si>
    <t>2820</t>
  </si>
  <si>
    <t>dotacja celowa z budżetu na finansowanie lub dofinansowanie zadań zleconych do realizacji stowarzyszeniom</t>
  </si>
  <si>
    <t>Wydatki na zadania zlecone:</t>
  </si>
  <si>
    <t>Wydział Organizacyjno - Prawny i Kadr</t>
  </si>
  <si>
    <t>Środowiskowy Dom Samopomocy</t>
  </si>
  <si>
    <t>świadczenia społeczne</t>
  </si>
  <si>
    <t>Wydział Polityki Społecznej i Zdrowia Publicznego</t>
  </si>
  <si>
    <t>Wydatki na zadania rządowe:</t>
  </si>
  <si>
    <t>dodatkowe wynagrodzenie roczne</t>
  </si>
  <si>
    <t>4210</t>
  </si>
  <si>
    <t>zakup usług remontowych</t>
  </si>
  <si>
    <t>Rodziny zastępcze</t>
  </si>
  <si>
    <t>Działalność placówek opiekuńczo - wychowawczych</t>
  </si>
  <si>
    <t>Załącznik Nr 2</t>
  </si>
  <si>
    <t>Zmiana planu wydatków majątkowych na 2022 rok</t>
  </si>
  <si>
    <t>Planowane wydatki</t>
  </si>
  <si>
    <t xml:space="preserve">Pozostałe </t>
  </si>
  <si>
    <t xml:space="preserve">Łączne </t>
  </si>
  <si>
    <t>Źródła finansowania</t>
  </si>
  <si>
    <t>środki</t>
  </si>
  <si>
    <t>Jednostka</t>
  </si>
  <si>
    <t xml:space="preserve">Nazwa zadania inwestycyjnego </t>
  </si>
  <si>
    <t>koszty</t>
  </si>
  <si>
    <t>rok</t>
  </si>
  <si>
    <t>wydzielone</t>
  </si>
  <si>
    <t>realizująca</t>
  </si>
  <si>
    <t>Dział</t>
  </si>
  <si>
    <t>Rozdział</t>
  </si>
  <si>
    <t>finansowe*</t>
  </si>
  <si>
    <t>budżetowy</t>
  </si>
  <si>
    <t xml:space="preserve">pochodzące </t>
  </si>
  <si>
    <t>wymienione</t>
  </si>
  <si>
    <t>rachunki</t>
  </si>
  <si>
    <t>zadanie</t>
  </si>
  <si>
    <t xml:space="preserve">własne </t>
  </si>
  <si>
    <t>z innych</t>
  </si>
  <si>
    <t>w art.5 ust.1</t>
  </si>
  <si>
    <t>jednostek</t>
  </si>
  <si>
    <t>(8+9+10)</t>
  </si>
  <si>
    <t>źródeł</t>
  </si>
  <si>
    <t>pkt 2 i 3 u.f.p.</t>
  </si>
  <si>
    <t>oświatowych</t>
  </si>
  <si>
    <t>OGÓŁEM:</t>
  </si>
  <si>
    <t>TRANSPORT I  ŁĄCZNOŚĆ</t>
  </si>
  <si>
    <t>Budowa / przebudowa dróg gminnych</t>
  </si>
  <si>
    <t xml:space="preserve"> -</t>
  </si>
  <si>
    <t>Urząd Miasta /Wydział Inwestycji/</t>
  </si>
  <si>
    <t>wprowadza się nowe zadanie:</t>
  </si>
  <si>
    <t xml:space="preserve"> - </t>
  </si>
  <si>
    <t>REZERWA INWESTYCYJNA</t>
  </si>
  <si>
    <t>x</t>
  </si>
  <si>
    <t>Prezydenci</t>
  </si>
  <si>
    <t xml:space="preserve">Rezerwa inwestycyjna </t>
  </si>
  <si>
    <t>*  - łączne koszty finansowe obejmują wydatki majątkowe i wydatki bieżące</t>
  </si>
  <si>
    <t>Załącznik Nr 3</t>
  </si>
  <si>
    <t>w tym:</t>
  </si>
  <si>
    <t>Lp.</t>
  </si>
  <si>
    <t>Załącznik Nr 4</t>
  </si>
  <si>
    <t>Dochody i wydatki związane z realizacją zadań z zakresu administracji rządowej wykonywanych na podstawie porozumień z organami administracji rządowej na 2022 rok</t>
  </si>
  <si>
    <t>z tego:</t>
  </si>
  <si>
    <t>Dotacje
ogółem</t>
  </si>
  <si>
    <t>Wydatki
ogółem
(6+9)</t>
  </si>
  <si>
    <t>Wydatki
bieżące</t>
  </si>
  <si>
    <t>wynagrodzenia i składki od nich naliczane</t>
  </si>
  <si>
    <t>świadczenia na rzecz osób fizycznych</t>
  </si>
  <si>
    <t>Wydatki
majątkowe</t>
  </si>
  <si>
    <t>Ogółem:</t>
  </si>
  <si>
    <t>Załącznik Nr 5</t>
  </si>
  <si>
    <t xml:space="preserve">Plan </t>
  </si>
  <si>
    <t xml:space="preserve"> dochodów i wydatków wydzielonych rachunków dochodów oświatowych jednostek budżetowych na 2022 rok</t>
  </si>
  <si>
    <t>(zbiorczo)</t>
  </si>
  <si>
    <t xml:space="preserve">Stan środków </t>
  </si>
  <si>
    <t>pieniężnych</t>
  </si>
  <si>
    <t xml:space="preserve">pieniężnych </t>
  </si>
  <si>
    <t>Wyszczególnienie</t>
  </si>
  <si>
    <t xml:space="preserve">na początek </t>
  </si>
  <si>
    <t>Dochody</t>
  </si>
  <si>
    <t>Wydatki</t>
  </si>
  <si>
    <t xml:space="preserve">na koniec </t>
  </si>
  <si>
    <t>roku</t>
  </si>
  <si>
    <t>1.</t>
  </si>
  <si>
    <t>2.</t>
  </si>
  <si>
    <t>3.</t>
  </si>
  <si>
    <t>4.</t>
  </si>
  <si>
    <t>5.</t>
  </si>
  <si>
    <t>6.</t>
  </si>
  <si>
    <t xml:space="preserve">Szkoły artystyczne </t>
  </si>
  <si>
    <t>7.</t>
  </si>
  <si>
    <t>Szkoły zawodowe specjalne</t>
  </si>
  <si>
    <t>8.</t>
  </si>
  <si>
    <t>Placówki kształcenia ustawicznego i centra kształcenia zawodowego</t>
  </si>
  <si>
    <t>9.</t>
  </si>
  <si>
    <t>10.</t>
  </si>
  <si>
    <t xml:space="preserve">Inne formy kształcenia osobno niewymienione </t>
  </si>
  <si>
    <t>11.</t>
  </si>
  <si>
    <t>Stołówki szkolne i przedszkolne</t>
  </si>
  <si>
    <t>Internaty i bursy szkolne</t>
  </si>
  <si>
    <t>Kolonie i obozy oraz inne formy wypoczynku dzieci</t>
  </si>
  <si>
    <t xml:space="preserve">i młodzieży szkolnej, a także szkolenia młodzieży </t>
  </si>
  <si>
    <t>Szkolne schroniska młodzieżowe</t>
  </si>
  <si>
    <t>Młodzieżowe ośrodki wychowawcze</t>
  </si>
  <si>
    <t xml:space="preserve">Ogółem </t>
  </si>
  <si>
    <t>75814</t>
  </si>
  <si>
    <t>Różne rozliczenia finansowe</t>
  </si>
  <si>
    <t>Organ - Fundusz Pomocy (realizacja dodatkowych zadań oświatowych)</t>
  </si>
  <si>
    <t>2700</t>
  </si>
  <si>
    <t>środki na dofinansowanie własnych zadań bieżących gmin, powiatów (związków gmin, związków powiatowo - gminnych, związków powiatów), samorządów województw pozyskane z innych źródeł</t>
  </si>
  <si>
    <t>Świadczenia rodzinne, świadczenie z funduszu alimentacyjnego oraz składki na ubezpieczenia emerytalne i rentowe z ubezpieczenia społecznego</t>
  </si>
  <si>
    <t>Organ - Fundusz Pomocy (świadczenia rodzinne)</t>
  </si>
  <si>
    <t>Organ - Fundusz Pomocy (nadanie numeru PESEL)</t>
  </si>
  <si>
    <t>Organ - Fundusz Pomocy (świadczenie pieniężne - 40 zł za osobę dziennie)</t>
  </si>
  <si>
    <t>0970</t>
  </si>
  <si>
    <t>wpływy z różnych dochodów</t>
  </si>
  <si>
    <t>Organ - Fundusz Pomocy (zapewnienie zakwaterowania i wyżywienia obywatelom Ukrainy)</t>
  </si>
  <si>
    <t>Usługi opiekuńcze i specjalistyczne usługi opiekuńcze</t>
  </si>
  <si>
    <t>Organ - Fundusz Pomocy (świadczenie pieniężne w wysokości 300 zł)</t>
  </si>
  <si>
    <t>dotacje celowe otrzymane z budżetu państwa na zadania bieżące z zakresu administracji rządowej zlecone powiatom, związane z realizacją dodatku wychowawczego oraz dodatku do zryczałtowanej kwoty stanowiących pomoc państwa w wychowywaniu dzieci</t>
  </si>
  <si>
    <t>Drogi publiczne w miastach na prawach powiatu</t>
  </si>
  <si>
    <t>Miejski Zarząd Infrastruktury Drogowej i Transportu</t>
  </si>
  <si>
    <t>koszty postępowania sądowego i prokuratorskiego</t>
  </si>
  <si>
    <t>Drogi wewnętrzne</t>
  </si>
  <si>
    <t>Turystyka</t>
  </si>
  <si>
    <t>Zadania w zakresie upowszechniania turystyki</t>
  </si>
  <si>
    <t>Ośrodek Sportu i Rekreacji</t>
  </si>
  <si>
    <t>Gospodarowanie mieszkaniowym zasobem gminy</t>
  </si>
  <si>
    <t>Administracja Zasobów Komunalnych</t>
  </si>
  <si>
    <t>75095</t>
  </si>
  <si>
    <t xml:space="preserve">Wydział Kultury, Promocji i Komunikacji Społecznej - Projekt pn. "WŁOCŁAWEK - MIASTO NOWYCH MOŻLIWOŚCI. Tutaj mieszkam, pracuję, inwestuję i tu wypoczywam" </t>
  </si>
  <si>
    <t>4216</t>
  </si>
  <si>
    <t>4217</t>
  </si>
  <si>
    <t xml:space="preserve">Wydział Rozwoju Miasta - Projekt pn. "WŁOCŁAWEK - MIASTO NOWYCH MOŻLIWOŚCI. Tutaj mieszkam, pracuję, inwestuję i tu wypoczywam" </t>
  </si>
  <si>
    <t xml:space="preserve">Centrum Obsługi Inwestora - Projekt pn. "WŁOCŁAWEK - MIASTO NOWYCH MOŻLIWOŚCI. Tutaj mieszkam, pracuję, inwestuję i tu wypoczywam" </t>
  </si>
  <si>
    <t>Straż gminna (miejska)</t>
  </si>
  <si>
    <t>Straż Miejska</t>
  </si>
  <si>
    <t xml:space="preserve">  - rezerwa inwestycyjna (rewitalizacja)</t>
  </si>
  <si>
    <t>Program "Laboratoria przyszłości" - jednostki oświatowe zbiorczo</t>
  </si>
  <si>
    <t>wpłaty na Państwowy Fundusz Rehabilitacji Osób Niepełnosprawnych</t>
  </si>
  <si>
    <t>Szkoły artystyczne</t>
  </si>
  <si>
    <t>w szkołach podstawowych</t>
  </si>
  <si>
    <t>Zespół Szkół Technicznych - program: Erasmus+  Akcja KA1 pn. "Nauka - klucz do świata"</t>
  </si>
  <si>
    <t xml:space="preserve">zakup materiałów i wyposażenia </t>
  </si>
  <si>
    <t>Wydział Edukacji - Fundusz Pomocy (realizacja dodatkowych zadań oświatowych)</t>
  </si>
  <si>
    <t>dotacja celowa z budżetu na finansowanie lub dofinansowanie zadań zleconych do realizacji pozostałym jednostkom niezaliczanym do sektora finansów publicznych</t>
  </si>
  <si>
    <t>Jednostki oświatowe zbiorczo - Fundusz Pomocy (realizacja dodatkowych zadań oświatowych)</t>
  </si>
  <si>
    <t>pozostałe odsetki</t>
  </si>
  <si>
    <t>Miejski Ośrodek Pomocy Rodzinie - projekt pn. "5 Z"</t>
  </si>
  <si>
    <t>Włocławskie Centrum Organizacji Pozarządowych</t>
  </si>
  <si>
    <t xml:space="preserve">i Wolontariatu </t>
  </si>
  <si>
    <t>i młodzieży szkolnej, a także szkolenia młodzieży</t>
  </si>
  <si>
    <t>4170</t>
  </si>
  <si>
    <t>Miejski Ośrodek Pomocy Rodzinie - Fundusz Pomocy (świadczenia rodzinne)</t>
  </si>
  <si>
    <t>Utrzymanie zieleni w miastach i gminach</t>
  </si>
  <si>
    <t>Wydział Nadzoru Właścicielskiego, Gospodarki Komunalnej i Informatyzacji</t>
  </si>
  <si>
    <t>Schroniska dla zwierząt</t>
  </si>
  <si>
    <t>Schronisko dla Zwierząt</t>
  </si>
  <si>
    <t>Wydział Dróg, Transportu Zbiorowego i Energii</t>
  </si>
  <si>
    <t xml:space="preserve">Kultura i ochrona dziedzictwa narodowego </t>
  </si>
  <si>
    <t>Wydział Kultury, Promocji i Komunikacji Społecznej</t>
  </si>
  <si>
    <t>Wydział Organizacyjno - Prawny i Kadr - Fundusz Pomocy (nadanie numeru PESEL)</t>
  </si>
  <si>
    <t>Wydział Zarządzania Kryzysowego i Bezpieczeństwa - Fundusz Pomocy (zapewnienie zakwaterowania i wyżywienia obywatelom Ukrainy)</t>
  </si>
  <si>
    <t>Miejski Ośrodek Pomocy Rodzinie - Fundusz Pomocy (świadczenie pieniężne - 40 zł za osobę dziennie)</t>
  </si>
  <si>
    <t>Środowiskowy Dom Samopomocy - Klub Samopomocy</t>
  </si>
  <si>
    <t>"Rozumiem i wspieram"</t>
  </si>
  <si>
    <t>Miejski Ośrodek Pomocy Rodzinie - Fundusz Pomocy (świadczenie pieniężne w wysokości 300 zł)</t>
  </si>
  <si>
    <t>do Zarządzenia 215/2022</t>
  </si>
  <si>
    <t>z dnia 31 maja 2022 r.</t>
  </si>
  <si>
    <t>GOSPODARKA MIESZKANIOWA</t>
  </si>
  <si>
    <t xml:space="preserve">Gospodarowanie mieszkaniowym zasobem gminy </t>
  </si>
  <si>
    <t>Modernizacja  budynków mieszkalnych należących do zasobu gminy w ramach Gminnego Programu Rewitalizacji Miasta Włocławek</t>
  </si>
  <si>
    <t>GOSPODARKA KOMUNALNA I OCHRONA ŚRODOWISKA</t>
  </si>
  <si>
    <t>Parki kieszonkowe - kompaktowe tereny z zielenią wysoką</t>
  </si>
  <si>
    <t>Urząd Miasta /Wydział Nadzoru Właścicielskiego, Gospodarki Komunalnej i Informatyzacji/</t>
  </si>
  <si>
    <t>Rezerwa inwestycyjna - rewitalizacja</t>
  </si>
  <si>
    <t xml:space="preserve">Dotacje udzielane z budżetu jednostki samorządu terytorialnego </t>
  </si>
  <si>
    <t>dla jednostek spoza sektora finansów publicznych na 2022 rok</t>
  </si>
  <si>
    <t>Nazwa zadania</t>
  </si>
  <si>
    <t>Kwota dotacji</t>
  </si>
  <si>
    <t>dotacje celowe</t>
  </si>
  <si>
    <t>Dotacje do prac budowlanych w ramach rewitalizacji</t>
  </si>
  <si>
    <t>Pozostała działalność (prowadzenie Kawiarni Obywatelskiej "Śródmieście Cafe")</t>
  </si>
  <si>
    <t>Nieodpłatna pomoc prawna - zadanie rządowe</t>
  </si>
  <si>
    <t>Publiczna Szkoła Podstawowa im. Ks. J. Długosza</t>
  </si>
  <si>
    <t>Szkoła Podstawowa z oddziałami dwujęzycznymi Monttessori-     Schule</t>
  </si>
  <si>
    <t>Prywatna Szkoła Podstawowa Zespołu Edukacji "Wiedza"</t>
  </si>
  <si>
    <t>Publiczne Liceum Ogólnokształcące im. Ks. J. Długosza</t>
  </si>
  <si>
    <t>Realizacja projektu unijnego  "Zawodowcy z Włocławka"- podniesienie jakości nauczania i zwiększenie szans na zatrudnienie uczniów ZSS we Włocławku"</t>
  </si>
  <si>
    <t>Pozostała działalność - dodatkowe zadania oświatowe związane z kształceniuem, wychowaniem i opieką nad dziećmi i uczniami będącymi obywatelami Ukrainy</t>
  </si>
  <si>
    <t>Niepubliczne Przedszkole "Smerfna Chata"</t>
  </si>
  <si>
    <t>Przedszkole Niepubliczne "Kujawiaczek"</t>
  </si>
  <si>
    <t>Przedszkole Niepubliczne "Chatka Puchatka"</t>
  </si>
  <si>
    <t>Przedszkole Akademickie przy Państwowej Uczelni Zawodowej we Włocławku</t>
  </si>
  <si>
    <t>Niepubliczne Przedszkole "Wesoła Biedronka"</t>
  </si>
  <si>
    <t>Zwalczanie narkomanii</t>
  </si>
  <si>
    <t>Dofinansowanie programów dotyczących uzależnień, pozalekcyjnych zajęć sportowych (przeciwdzialanie alkoholizmowi)</t>
  </si>
  <si>
    <t>Pozostala działalność (promocja i ochrona zdrowia oraz działania na rzecz osób niepełnosprawnych)</t>
  </si>
  <si>
    <t>Usługi opiekuńcze i specjalistyczne usługi opiekuńcze - zadania własne</t>
  </si>
  <si>
    <t>Usługi opiekuńcze i specjalistyczne usługi opiekuńcze - zadania zlecone</t>
  </si>
  <si>
    <t>Zapewnienie schronienia oraz pomocy rzeczowej osobom bezdomnym (pozostała działalność)</t>
  </si>
  <si>
    <t>Realizacja projektu unijnego "Reintegracja społeczna mieszkańców Włocławka, w tym w obszarze rewitalizacji"</t>
  </si>
  <si>
    <t>Pozostała działalność (aktywizacja społeczna seniorów, poprawa warunków funkcjonowania seniorów)</t>
  </si>
  <si>
    <t xml:space="preserve">Pozostała działalność - realizacja projektu pn. "WŁOCŁAWEK - MIASTO NOWYCH MOŻLIWOŚCI. Tutaj mieszkam, pracuję, inwestuję i tu wypoczywam" </t>
  </si>
  <si>
    <t>Utylizacja wyrobów zawierających azbest (dotacja na inwestycje)</t>
  </si>
  <si>
    <t>Wymiana źródeł ciepła zasilanych paliwami stałymi - program dla osób fizycznych (dotacja na inwestycje)</t>
  </si>
  <si>
    <t>Wymiana źródeł ciepła zasilanych paliwami stałymi w budynkach wielorodzinnych (dotacja na inwestycje)</t>
  </si>
  <si>
    <t>Ochrona zabytków i opieka nad zabytkami</t>
  </si>
  <si>
    <t>Upowszechnianie kultury, sztuki, ochrony dóbr kultury i tradycji przez organizacje prowadzące działalność pożytku publicznego (pozostała działalność)</t>
  </si>
  <si>
    <t xml:space="preserve">Zadania w zakresie kultury fizycznej - realizacja projektu pn. "WŁOCŁAWEK - MIASTO NOWYCH MOŻLIWOŚCI. Tutaj mieszkam, pracuję, inwestuję i tu wypoczywam" </t>
  </si>
  <si>
    <t>Razem</t>
  </si>
  <si>
    <t>dotacje podmiotowe</t>
  </si>
  <si>
    <t>Nazwa placówki/nazwa podmiotu</t>
  </si>
  <si>
    <t xml:space="preserve">Szkoła Podstawowa Nr 24 w Zespole Szkół WSO "Cogito" </t>
  </si>
  <si>
    <t>Szkoła Podstawowa dla dorosłych (WSO "Cogito")</t>
  </si>
  <si>
    <t>Akademicka Szkoła Podstawowa Nr 1 im. Obrońców Wisły 1920 roku we Włocławku</t>
  </si>
  <si>
    <t>Akademicka Szkoła Podstawowa Mistrzostwa Sportowego Nr 1 im. Obrońców Wisły 1920 roku we Włocławku</t>
  </si>
  <si>
    <t>Szkoła Podstawowa Szkoła Mistrzostwa Sportowego ("Kar" Sp. z o.o.)</t>
  </si>
  <si>
    <t>Szkoła Podstawowa przy Państwowej Uczelni Zawodowej we Włocławku</t>
  </si>
  <si>
    <t>Oddziały przedszkolne w szkołach podstawowych</t>
  </si>
  <si>
    <t>Niepubliczne Przedszkole "Skakanka"</t>
  </si>
  <si>
    <t>Przedszkole Niepubliczne "Tęczowa Kraina"</t>
  </si>
  <si>
    <t>Niepubliczne Przedszkole "Na Wspólnej"</t>
  </si>
  <si>
    <t>Centrum Malucha - "Piotruś Pan"- Przedszkole Niepubliczne</t>
  </si>
  <si>
    <t>Niepubliczne Przedszkole "Domowe Przedszkole"</t>
  </si>
  <si>
    <t>Niepubliczne Przedszkole "Bajeczka"</t>
  </si>
  <si>
    <t>Przedszkole Niepubliczne "Happy Kids"</t>
  </si>
  <si>
    <t>Przedszkole Niepubliczne Megamocni we Włocławku</t>
  </si>
  <si>
    <t xml:space="preserve">Przedszkole Publiczne Nr 1 </t>
  </si>
  <si>
    <t>Katolickie Publiczne Przedszkole "Pod Aniołem Stróżem"</t>
  </si>
  <si>
    <t>Inne formy wychowania przedszkolnego - punkty przedszkolne</t>
  </si>
  <si>
    <t>Niepubliczny Punkt Przedszkolny "Kraina Bajek"</t>
  </si>
  <si>
    <t>Akademickie Technikum Wojskowe im. Obrońców Wisły 1920 roku we Włocławku</t>
  </si>
  <si>
    <t>Szkoły policealne</t>
  </si>
  <si>
    <t>Policealna Szkoła dla dorosłych "Cosinus Plus" we Włocławku</t>
  </si>
  <si>
    <t>Policealna Szkoła Techników Ochrony Fizycznej Osób i Mienia Elitarne Studium Służb Ochrony "Delta"</t>
  </si>
  <si>
    <t>Akademicka Szkoła Policealna przy Państwowej Uczelni Zawodowej we Włocławku</t>
  </si>
  <si>
    <t>Policealna Szkoła "Edicus"</t>
  </si>
  <si>
    <t>Zaoczna Policealna Szkoła Zawodowa "Pascal" we Włocławku</t>
  </si>
  <si>
    <t>Zaoczna Policealna Szkoła Zawodowa Kosmetyczna "Pascal" we Włocławku</t>
  </si>
  <si>
    <t>Stacjonarna Policealna Szkoła Medyczna "Pascal" we Włocławku</t>
  </si>
  <si>
    <t>Zaoczna Policealna Szkoła Medyczna "Pascal" we Włocławku</t>
  </si>
  <si>
    <t>Prywatna Szkoła Policealna (CE "Zenit")</t>
  </si>
  <si>
    <t>Policealna Szkoła Centrum Nauki I Biznesu "Żak"</t>
  </si>
  <si>
    <t>Szkoła Policealna "Spectrum" dla dorosłych</t>
  </si>
  <si>
    <t>Policealna Szkoła dla dorosłych Futuro</t>
  </si>
  <si>
    <t>Szkoła Policealna Opieki Medycznej dla Dorosłych "Żak"</t>
  </si>
  <si>
    <t>Akademicka Szkoła Policealna przy Kujawskiej Szkole Wyższej we Włocławku</t>
  </si>
  <si>
    <t xml:space="preserve">Branżowa Szkoła I Stopnia Start we Włocławku </t>
  </si>
  <si>
    <t xml:space="preserve">Branżowa Szkoła II Stopnia Start we Włocławku </t>
  </si>
  <si>
    <t>Branżowa Szkoła I Stopnia (Stowarzyszenie Szkoła dla Włocławka)</t>
  </si>
  <si>
    <t>Akademicka Szkoła Branżowa I stopnia im. Obrońców Wisły 1920 roku</t>
  </si>
  <si>
    <t xml:space="preserve">Branżowa Szkoła I Stopnia nr 9 w Zespole Szkół Włocławskiego Stowarzyszenia Oświatowego "Cogito" </t>
  </si>
  <si>
    <t>Liceum Ogólnokształcące "Edicus" dla Dorosłych</t>
  </si>
  <si>
    <t>Liceum Ogólnokształcące dla Dorosłych Futuro</t>
  </si>
  <si>
    <t xml:space="preserve">Liceum Ogólnokształcące Szkoła Mistrzostwa Sportowego </t>
  </si>
  <si>
    <t>Zaoczne Liceum Ogólnokształcące dla Dorosłych "Cosinus Plus" we Włocławku</t>
  </si>
  <si>
    <t>Prywatne Liceum Ogólnokształcące dla Dorosłych (Katarzyna Balcer)</t>
  </si>
  <si>
    <t>Liceum Ogólnokształcące dla Dorosłych "Pascal' we Włocławku</t>
  </si>
  <si>
    <t xml:space="preserve">Liceum Ogólnokształcące "Spectrum" dla Dorosłych we Włocławku </t>
  </si>
  <si>
    <t>Akademickie Liceum Ogólnokształcące nr 1 im. Obrońców Wisły 1920 roku we Włocławku</t>
  </si>
  <si>
    <t>Akademickie Liceum Ogólnokształcące Mistrzostwa Sportowego nr 1 im. Obrońców Wisły 1920 roku we Włocławku</t>
  </si>
  <si>
    <t>Liceum Ogólnokształcące dla Dorosłych "Żak"</t>
  </si>
  <si>
    <t>Realizacja zadań wymagających stosowania specjalnej organizacji nauki i metod pracy dla dzieci w przedszkolach, oddziałach przedszkolnych w szkołach podstawowych i innych formach wychowania przedszkolnego</t>
  </si>
  <si>
    <t>Terapeutyczny Punkt Przedszkolny Neuromind</t>
  </si>
  <si>
    <t>Terapeutyczny Punkt Przedszkolny "Synapsik"</t>
  </si>
  <si>
    <t>Terapeutyczny Punkt Przedszkolny "Zielony Słonik"</t>
  </si>
  <si>
    <t>Realizacja zadań wymagających stosowania specjalnej organizacji nauki i metod pracy dla dzieci i młodzieży w szkołach podstawowych</t>
  </si>
  <si>
    <t>Szkoła Podstawowa z oddziałami dwujęzycznymi Monttessori-      Schule</t>
  </si>
  <si>
    <t>Szkoła Policealna dla dorosłych "Cosinus Plus" we Włocławku</t>
  </si>
  <si>
    <t>Realizacja zadań wymagających stosowania specjalnej organizacji nauki i metod pracy dla dzieci i młodzieży w gimnazjach, klasach dotychczasowego gimnazjum prowadzonych w szkołach innego typu, liceach ogólnokształcących, technikach, szkołach policealnych, branżowych szkołach I i II  stopnia i klasach dotychczasowej zasadniczej szkoły zawodowej prowadzonych w branżowych szkołach I stopnia oraz szkołach artystycznych</t>
  </si>
  <si>
    <t>Rehabilitacja zawodowa i społeczna osób niepełnosprawnych</t>
  </si>
  <si>
    <t>Warsztaty Terapii Zajęciowej</t>
  </si>
  <si>
    <t>Specjalne ośrodki wychowawcze</t>
  </si>
  <si>
    <t>Specjalny Ośrodek Wychowawczy Zgromadzenia Sióstr Orionistek</t>
  </si>
  <si>
    <t>Poradnie psychologiczno - pedagogiczne, w tym poradnie specjalistyczne</t>
  </si>
  <si>
    <t>Poradnia Psychologiczno - Pedagogiczna "Vitamed"</t>
  </si>
  <si>
    <t>Niepubliczna Poradania Psychologiczno - Pedagogiczna "Centrum Diagnozy, Terapii i Wspomagania Rozwoju" (Elżbieta Złowodzka Jetter)</t>
  </si>
  <si>
    <t>Internat Zespołu Szkół Katolickich im. Ks. J. Długosza</t>
  </si>
  <si>
    <t>Załącznik Nr 6</t>
  </si>
  <si>
    <t>Plan dochodów i wydatków na wydzielonym rachunku Funduszu Pomocy</t>
  </si>
  <si>
    <t>dotyczącym realizacji zadań na rzecz pomocy Ukrainie</t>
  </si>
  <si>
    <t xml:space="preserve">Dział </t>
  </si>
  <si>
    <t>Dochody na 2022 rok</t>
  </si>
  <si>
    <t>Wydatki na 2022 rok</t>
  </si>
  <si>
    <t>Zapewnienie posiłku dzieciom i młodzieży</t>
  </si>
  <si>
    <t>85230</t>
  </si>
  <si>
    <t>Miejski Ośrodek Pomocy Rodznie</t>
  </si>
  <si>
    <t>4300</t>
  </si>
  <si>
    <t>Świadczenia rodzinne</t>
  </si>
  <si>
    <t>855</t>
  </si>
  <si>
    <t>85502</t>
  </si>
  <si>
    <t>3110</t>
  </si>
  <si>
    <t>4010</t>
  </si>
  <si>
    <t>Świadczenie pieniężne w wysokości          300 zł</t>
  </si>
  <si>
    <t>853</t>
  </si>
  <si>
    <t>85395</t>
  </si>
  <si>
    <t>4110</t>
  </si>
  <si>
    <t>4120</t>
  </si>
  <si>
    <t>4710</t>
  </si>
  <si>
    <t>758</t>
  </si>
  <si>
    <t>Realizacja dodatkowych zadań oświatowych</t>
  </si>
  <si>
    <t>801</t>
  </si>
  <si>
    <t>80195</t>
  </si>
  <si>
    <t>2830</t>
  </si>
  <si>
    <t>4790</t>
  </si>
  <si>
    <t>Nadanie numeru PESEL</t>
  </si>
  <si>
    <t>750</t>
  </si>
  <si>
    <t>75011</t>
  </si>
  <si>
    <t>Świadczenie pieniężne - 40 zł za osobę dziennie</t>
  </si>
  <si>
    <t>754</t>
  </si>
  <si>
    <t>75495</t>
  </si>
  <si>
    <t>Zapewnienie zakwaterowania i wyżywienia obywatelom Ukrainy</t>
  </si>
  <si>
    <r>
      <t>Usługi opiekuńcze i specjalistyczne usługi opiekuńcze</t>
    </r>
    <r>
      <rPr>
        <sz val="8"/>
        <rFont val="Arial CE"/>
        <charset val="238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</si>
</sst>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3" x14ac:knownFonts="1">
    <font>
      <sz val="11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8"/>
      <name val="Arial CE"/>
      <family val="2"/>
      <charset val="238"/>
    </font>
    <font>
      <sz val="8"/>
      <name val="Arial CE"/>
      <charset val="238"/>
    </font>
    <font>
      <b/>
      <sz val="10"/>
      <name val="Arial CE"/>
      <charset val="238"/>
    </font>
    <font>
      <b/>
      <sz val="10"/>
      <name val="Arial CE"/>
      <family val="2"/>
      <charset val="238"/>
    </font>
    <font>
      <b/>
      <sz val="8"/>
      <name val="Arial CE"/>
      <family val="2"/>
      <charset val="238"/>
    </font>
    <font>
      <sz val="7"/>
      <name val="Arial CE"/>
      <family val="2"/>
      <charset val="238"/>
    </font>
    <font>
      <sz val="8"/>
      <color theme="1"/>
      <name val="Arial"/>
      <family val="2"/>
      <charset val="238"/>
    </font>
    <font>
      <sz val="9"/>
      <name val="Arial CE"/>
      <charset val="238"/>
    </font>
    <font>
      <b/>
      <sz val="8"/>
      <name val="Arial CE"/>
      <charset val="238"/>
    </font>
    <font>
      <sz val="11"/>
      <color rgb="FF000000"/>
      <name val="Calibri"/>
      <family val="2"/>
      <charset val="1"/>
    </font>
    <font>
      <sz val="11"/>
      <name val="Arial CE"/>
      <family val="2"/>
      <charset val="238"/>
    </font>
    <font>
      <sz val="10"/>
      <name val="Arial CE"/>
      <family val="2"/>
      <charset val="238"/>
    </font>
    <font>
      <b/>
      <sz val="7"/>
      <name val="Arial CE"/>
      <charset val="238"/>
    </font>
    <font>
      <b/>
      <u/>
      <sz val="8"/>
      <name val="Arial CE"/>
      <charset val="238"/>
    </font>
    <font>
      <u/>
      <sz val="8"/>
      <name val="Arial CE"/>
      <charset val="238"/>
    </font>
    <font>
      <u/>
      <sz val="6"/>
      <name val="Arial CE"/>
      <charset val="238"/>
    </font>
    <font>
      <sz val="9"/>
      <color rgb="FF000000"/>
      <name val="Tahoma"/>
      <family val="2"/>
      <charset val="238"/>
    </font>
    <font>
      <sz val="11"/>
      <color theme="1"/>
      <name val="Calibri"/>
      <family val="2"/>
      <scheme val="minor"/>
    </font>
    <font>
      <b/>
      <sz val="10"/>
      <name val="Arial"/>
      <family val="2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0"/>
      <name val="Arial"/>
      <family val="2"/>
      <charset val="238"/>
    </font>
    <font>
      <sz val="9"/>
      <name val="Arial CE"/>
      <family val="2"/>
      <charset val="238"/>
    </font>
    <font>
      <b/>
      <sz val="9"/>
      <name val="Arial CE"/>
      <family val="2"/>
      <charset val="238"/>
    </font>
    <font>
      <sz val="6"/>
      <name val="Arial CE"/>
      <family val="2"/>
      <charset val="238"/>
    </font>
    <font>
      <sz val="6"/>
      <name val="Arial CE"/>
      <charset val="238"/>
    </font>
    <font>
      <sz val="9"/>
      <name val="Arial"/>
      <family val="2"/>
      <charset val="238"/>
    </font>
    <font>
      <b/>
      <sz val="14"/>
      <name val="Arial CE"/>
      <family val="2"/>
      <charset val="238"/>
    </font>
    <font>
      <sz val="10"/>
      <name val="Arial CE"/>
      <charset val="238"/>
    </font>
    <font>
      <b/>
      <sz val="8"/>
      <color rgb="FFFF0000"/>
      <name val="Arial"/>
      <family val="2"/>
      <charset val="238"/>
    </font>
    <font>
      <sz val="8"/>
      <color rgb="FFFF0000"/>
      <name val="Arial"/>
      <family val="2"/>
      <charset val="238"/>
    </font>
    <font>
      <b/>
      <sz val="12"/>
      <name val="Arial CE"/>
      <family val="2"/>
      <charset val="238"/>
    </font>
    <font>
      <sz val="7"/>
      <name val="Arial"/>
      <family val="2"/>
      <charset val="238"/>
    </font>
    <font>
      <b/>
      <sz val="9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u/>
      <sz val="8"/>
      <name val="Arial CE"/>
      <family val="2"/>
      <charset val="238"/>
    </font>
    <font>
      <u/>
      <sz val="7"/>
      <name val="Arial CE"/>
      <charset val="238"/>
    </font>
    <font>
      <u/>
      <sz val="9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 style="medium">
        <color auto="1"/>
      </bottom>
      <diagonal/>
    </border>
    <border>
      <left/>
      <right style="thin">
        <color auto="1"/>
      </right>
      <top style="thick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</borders>
  <cellStyleXfs count="5">
    <xf numFmtId="0" fontId="0" fillId="0" borderId="0"/>
    <xf numFmtId="0" fontId="12" fillId="0" borderId="0"/>
    <xf numFmtId="0" fontId="20" fillId="0" borderId="0"/>
    <xf numFmtId="0" fontId="24" fillId="0" borderId="0"/>
    <xf numFmtId="0" fontId="24" fillId="0" borderId="0"/>
  </cellStyleXfs>
  <cellXfs count="461">
    <xf numFmtId="0" fontId="0" fillId="0" borderId="0" xfId="0"/>
    <xf numFmtId="0" fontId="2" fillId="0" borderId="0" xfId="0" applyFont="1"/>
    <xf numFmtId="0" fontId="3" fillId="0" borderId="0" xfId="0" applyFont="1"/>
    <xf numFmtId="49" fontId="3" fillId="0" borderId="0" xfId="0" applyNumberFormat="1" applyFont="1"/>
    <xf numFmtId="0" fontId="3" fillId="0" borderId="0" xfId="0" applyFont="1" applyAlignment="1">
      <alignment horizontal="left"/>
    </xf>
    <xf numFmtId="0" fontId="5" fillId="0" borderId="0" xfId="0" applyFont="1" applyAlignment="1">
      <alignment horizontal="centerContinuous"/>
    </xf>
    <xf numFmtId="49" fontId="5" fillId="0" borderId="0" xfId="0" applyNumberFormat="1" applyFont="1" applyAlignment="1">
      <alignment horizontal="centerContinuous"/>
    </xf>
    <xf numFmtId="0" fontId="6" fillId="0" borderId="0" xfId="0" applyFont="1" applyAlignment="1">
      <alignment horizontal="centerContinuous"/>
    </xf>
    <xf numFmtId="0" fontId="7" fillId="0" borderId="0" xfId="0" applyFont="1"/>
    <xf numFmtId="0" fontId="3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3" fillId="0" borderId="1" xfId="0" applyFont="1" applyBorder="1"/>
    <xf numFmtId="49" fontId="3" fillId="0" borderId="1" xfId="0" applyNumberFormat="1" applyFont="1" applyBorder="1"/>
    <xf numFmtId="0" fontId="7" fillId="0" borderId="2" xfId="0" applyFont="1" applyBorder="1"/>
    <xf numFmtId="0" fontId="7" fillId="0" borderId="1" xfId="0" applyFont="1" applyBorder="1" applyAlignment="1">
      <alignment horizontal="center"/>
    </xf>
    <xf numFmtId="3" fontId="3" fillId="0" borderId="1" xfId="0" applyNumberFormat="1" applyFont="1" applyBorder="1"/>
    <xf numFmtId="0" fontId="3" fillId="0" borderId="1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3" fontId="7" fillId="0" borderId="3" xfId="0" applyNumberFormat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49" fontId="7" fillId="0" borderId="5" xfId="0" applyNumberFormat="1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3" fontId="7" fillId="0" borderId="5" xfId="0" applyNumberFormat="1" applyFont="1" applyBorder="1" applyAlignment="1">
      <alignment horizontal="center"/>
    </xf>
    <xf numFmtId="3" fontId="3" fillId="0" borderId="3" xfId="0" applyNumberFormat="1" applyFont="1" applyBorder="1" applyAlignment="1">
      <alignment horizontal="right"/>
    </xf>
    <xf numFmtId="3" fontId="3" fillId="0" borderId="3" xfId="0" applyNumberFormat="1" applyFont="1" applyBorder="1"/>
    <xf numFmtId="49" fontId="3" fillId="0" borderId="3" xfId="0" applyNumberFormat="1" applyFont="1" applyBorder="1" applyAlignment="1">
      <alignment horizontal="right"/>
    </xf>
    <xf numFmtId="0" fontId="7" fillId="0" borderId="7" xfId="0" applyFont="1" applyBorder="1"/>
    <xf numFmtId="4" fontId="7" fillId="0" borderId="8" xfId="0" applyNumberFormat="1" applyFont="1" applyBorder="1"/>
    <xf numFmtId="0" fontId="7" fillId="0" borderId="9" xfId="0" applyFont="1" applyBorder="1"/>
    <xf numFmtId="4" fontId="7" fillId="0" borderId="10" xfId="0" applyNumberFormat="1" applyFont="1" applyBorder="1"/>
    <xf numFmtId="3" fontId="7" fillId="0" borderId="3" xfId="0" applyNumberFormat="1" applyFont="1" applyBorder="1" applyAlignment="1">
      <alignment horizontal="right"/>
    </xf>
    <xf numFmtId="3" fontId="7" fillId="0" borderId="3" xfId="0" applyNumberFormat="1" applyFont="1" applyBorder="1"/>
    <xf numFmtId="49" fontId="7" fillId="0" borderId="3" xfId="0" applyNumberFormat="1" applyFont="1" applyBorder="1" applyAlignment="1">
      <alignment horizontal="right"/>
    </xf>
    <xf numFmtId="3" fontId="7" fillId="0" borderId="4" xfId="0" applyNumberFormat="1" applyFont="1" applyBorder="1"/>
    <xf numFmtId="4" fontId="7" fillId="0" borderId="10" xfId="0" applyNumberFormat="1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0" fontId="3" fillId="0" borderId="6" xfId="0" applyFont="1" applyBorder="1"/>
    <xf numFmtId="4" fontId="3" fillId="0" borderId="5" xfId="0" applyNumberFormat="1" applyFont="1" applyBorder="1"/>
    <xf numFmtId="4" fontId="3" fillId="0" borderId="5" xfId="0" applyNumberFormat="1" applyFont="1" applyBorder="1" applyAlignment="1">
      <alignment horizontal="right"/>
    </xf>
    <xf numFmtId="49" fontId="3" fillId="0" borderId="3" xfId="0" applyNumberFormat="1" applyFont="1" applyBorder="1" applyAlignment="1">
      <alignment horizontal="right" vertical="top"/>
    </xf>
    <xf numFmtId="0" fontId="3" fillId="0" borderId="4" xfId="0" applyFont="1" applyBorder="1" applyAlignment="1">
      <alignment vertical="top" wrapText="1"/>
    </xf>
    <xf numFmtId="4" fontId="3" fillId="0" borderId="3" xfId="0" applyNumberFormat="1" applyFont="1" applyBorder="1"/>
    <xf numFmtId="4" fontId="3" fillId="0" borderId="3" xfId="0" applyNumberFormat="1" applyFont="1" applyBorder="1" applyAlignment="1">
      <alignment horizontal="right"/>
    </xf>
    <xf numFmtId="0" fontId="3" fillId="0" borderId="3" xfId="0" applyFont="1" applyBorder="1"/>
    <xf numFmtId="3" fontId="4" fillId="0" borderId="6" xfId="0" applyNumberFormat="1" applyFont="1" applyBorder="1"/>
    <xf numFmtId="0" fontId="3" fillId="0" borderId="3" xfId="0" applyFont="1" applyBorder="1" applyAlignment="1">
      <alignment wrapText="1"/>
    </xf>
    <xf numFmtId="0" fontId="4" fillId="0" borderId="3" xfId="0" applyFont="1" applyBorder="1"/>
    <xf numFmtId="49" fontId="4" fillId="0" borderId="3" xfId="0" applyNumberFormat="1" applyFont="1" applyBorder="1" applyAlignment="1">
      <alignment horizontal="right"/>
    </xf>
    <xf numFmtId="0" fontId="3" fillId="0" borderId="3" xfId="0" applyFont="1" applyBorder="1" applyAlignment="1">
      <alignment horizontal="center"/>
    </xf>
    <xf numFmtId="0" fontId="4" fillId="0" borderId="6" xfId="0" applyFont="1" applyBorder="1" applyAlignment="1">
      <alignment horizontal="left"/>
    </xf>
    <xf numFmtId="3" fontId="7" fillId="0" borderId="5" xfId="0" applyNumberFormat="1" applyFont="1" applyBorder="1"/>
    <xf numFmtId="49" fontId="3" fillId="0" borderId="5" xfId="0" applyNumberFormat="1" applyFont="1" applyBorder="1" applyAlignment="1">
      <alignment horizontal="right" vertical="top"/>
    </xf>
    <xf numFmtId="0" fontId="3" fillId="0" borderId="5" xfId="0" applyFont="1" applyBorder="1" applyAlignment="1">
      <alignment vertical="top" wrapText="1"/>
    </xf>
    <xf numFmtId="4" fontId="4" fillId="0" borderId="5" xfId="0" applyNumberFormat="1" applyFont="1" applyBorder="1" applyAlignment="1">
      <alignment horizontal="right"/>
    </xf>
    <xf numFmtId="3" fontId="3" fillId="0" borderId="6" xfId="0" applyNumberFormat="1" applyFont="1" applyBorder="1"/>
    <xf numFmtId="0" fontId="3" fillId="0" borderId="3" xfId="0" applyFont="1" applyBorder="1" applyAlignment="1">
      <alignment vertical="top" wrapText="1"/>
    </xf>
    <xf numFmtId="4" fontId="4" fillId="0" borderId="3" xfId="0" applyNumberFormat="1" applyFont="1" applyBorder="1" applyAlignment="1">
      <alignment horizontal="right"/>
    </xf>
    <xf numFmtId="0" fontId="3" fillId="0" borderId="3" xfId="0" applyFont="1" applyBorder="1" applyAlignment="1">
      <alignment horizontal="right" vertical="top"/>
    </xf>
    <xf numFmtId="0" fontId="3" fillId="0" borderId="4" xfId="0" applyFont="1" applyBorder="1" applyAlignment="1">
      <alignment wrapText="1"/>
    </xf>
    <xf numFmtId="4" fontId="3" fillId="0" borderId="3" xfId="0" applyNumberFormat="1" applyFont="1" applyBorder="1" applyAlignment="1">
      <alignment horizontal="center"/>
    </xf>
    <xf numFmtId="0" fontId="4" fillId="0" borderId="3" xfId="0" applyFont="1" applyBorder="1" applyAlignment="1">
      <alignment horizontal="right"/>
    </xf>
    <xf numFmtId="49" fontId="4" fillId="0" borderId="3" xfId="0" applyNumberFormat="1" applyFont="1" applyBorder="1" applyAlignment="1">
      <alignment horizontal="center"/>
    </xf>
    <xf numFmtId="0" fontId="4" fillId="0" borderId="5" xfId="0" applyFont="1" applyBorder="1"/>
    <xf numFmtId="0" fontId="3" fillId="0" borderId="6" xfId="0" applyFont="1" applyBorder="1" applyAlignment="1">
      <alignment wrapText="1"/>
    </xf>
    <xf numFmtId="4" fontId="7" fillId="0" borderId="13" xfId="0" applyNumberFormat="1" applyFont="1" applyBorder="1"/>
    <xf numFmtId="4" fontId="4" fillId="0" borderId="5" xfId="0" applyNumberFormat="1" applyFont="1" applyBorder="1"/>
    <xf numFmtId="0" fontId="3" fillId="0" borderId="4" xfId="0" applyFont="1" applyBorder="1"/>
    <xf numFmtId="4" fontId="4" fillId="0" borderId="3" xfId="0" applyNumberFormat="1" applyFont="1" applyBorder="1"/>
    <xf numFmtId="0" fontId="4" fillId="0" borderId="4" xfId="0" applyFont="1" applyBorder="1" applyAlignment="1">
      <alignment wrapText="1"/>
    </xf>
    <xf numFmtId="3" fontId="4" fillId="0" borderId="5" xfId="0" applyNumberFormat="1" applyFont="1" applyBorder="1"/>
    <xf numFmtId="3" fontId="11" fillId="0" borderId="3" xfId="0" applyNumberFormat="1" applyFont="1" applyBorder="1" applyAlignment="1">
      <alignment horizontal="right"/>
    </xf>
    <xf numFmtId="0" fontId="11" fillId="0" borderId="3" xfId="0" applyFont="1" applyBorder="1" applyAlignment="1">
      <alignment horizontal="right"/>
    </xf>
    <xf numFmtId="0" fontId="11" fillId="0" borderId="4" xfId="0" applyFont="1" applyBorder="1"/>
    <xf numFmtId="3" fontId="3" fillId="0" borderId="4" xfId="0" applyNumberFormat="1" applyFont="1" applyBorder="1"/>
    <xf numFmtId="4" fontId="4" fillId="0" borderId="1" xfId="0" applyNumberFormat="1" applyFont="1" applyBorder="1"/>
    <xf numFmtId="0" fontId="4" fillId="0" borderId="4" xfId="0" applyFont="1" applyBorder="1"/>
    <xf numFmtId="0" fontId="3" fillId="0" borderId="5" xfId="0" applyFont="1" applyBorder="1"/>
    <xf numFmtId="0" fontId="3" fillId="0" borderId="5" xfId="0" applyFont="1" applyBorder="1" applyAlignment="1">
      <alignment horizontal="right"/>
    </xf>
    <xf numFmtId="0" fontId="4" fillId="0" borderId="3" xfId="0" applyFont="1" applyBorder="1" applyAlignment="1">
      <alignment horizontal="center"/>
    </xf>
    <xf numFmtId="0" fontId="9" fillId="0" borderId="0" xfId="0" applyFont="1"/>
    <xf numFmtId="0" fontId="4" fillId="0" borderId="6" xfId="0" applyFont="1" applyBorder="1"/>
    <xf numFmtId="4" fontId="3" fillId="0" borderId="11" xfId="0" applyNumberFormat="1" applyFont="1" applyBorder="1"/>
    <xf numFmtId="3" fontId="4" fillId="0" borderId="3" xfId="0" applyNumberFormat="1" applyFont="1" applyBorder="1" applyAlignment="1">
      <alignment horizontal="right"/>
    </xf>
    <xf numFmtId="4" fontId="4" fillId="0" borderId="11" xfId="0" applyNumberFormat="1" applyFont="1" applyBorder="1"/>
    <xf numFmtId="4" fontId="4" fillId="0" borderId="3" xfId="0" applyNumberFormat="1" applyFont="1" applyBorder="1" applyAlignment="1">
      <alignment horizontal="center"/>
    </xf>
    <xf numFmtId="4" fontId="7" fillId="0" borderId="3" xfId="0" applyNumberFormat="1" applyFont="1" applyBorder="1"/>
    <xf numFmtId="0" fontId="4" fillId="0" borderId="5" xfId="0" applyFont="1" applyBorder="1" applyAlignment="1">
      <alignment horizontal="left"/>
    </xf>
    <xf numFmtId="0" fontId="2" fillId="0" borderId="5" xfId="0" applyFont="1" applyBorder="1"/>
    <xf numFmtId="49" fontId="2" fillId="0" borderId="5" xfId="0" applyNumberFormat="1" applyFont="1" applyBorder="1" applyAlignment="1">
      <alignment horizontal="right"/>
    </xf>
    <xf numFmtId="0" fontId="2" fillId="0" borderId="6" xfId="0" applyFont="1" applyBorder="1"/>
    <xf numFmtId="0" fontId="3" fillId="0" borderId="0" xfId="1" applyFont="1"/>
    <xf numFmtId="0" fontId="13" fillId="0" borderId="0" xfId="1" applyFont="1"/>
    <xf numFmtId="0" fontId="13" fillId="0" borderId="0" xfId="1" applyFont="1" applyAlignment="1">
      <alignment horizontal="center"/>
    </xf>
    <xf numFmtId="0" fontId="14" fillId="0" borderId="0" xfId="1" applyFont="1"/>
    <xf numFmtId="0" fontId="3" fillId="0" borderId="0" xfId="1" applyFont="1" applyAlignment="1">
      <alignment horizontal="left"/>
    </xf>
    <xf numFmtId="0" fontId="6" fillId="0" borderId="0" xfId="1" applyFont="1" applyAlignment="1">
      <alignment horizontal="centerContinuous"/>
    </xf>
    <xf numFmtId="3" fontId="6" fillId="0" borderId="0" xfId="1" applyNumberFormat="1" applyFont="1" applyAlignment="1">
      <alignment horizontal="left"/>
    </xf>
    <xf numFmtId="0" fontId="6" fillId="0" borderId="0" xfId="1" applyFont="1" applyAlignment="1">
      <alignment horizontal="left"/>
    </xf>
    <xf numFmtId="0" fontId="3" fillId="0" borderId="0" xfId="1" applyFont="1" applyAlignment="1">
      <alignment horizontal="center"/>
    </xf>
    <xf numFmtId="0" fontId="7" fillId="0" borderId="1" xfId="1" applyFont="1" applyBorder="1" applyAlignment="1">
      <alignment vertical="center"/>
    </xf>
    <xf numFmtId="0" fontId="7" fillId="0" borderId="1" xfId="1" applyFont="1" applyBorder="1"/>
    <xf numFmtId="0" fontId="7" fillId="0" borderId="2" xfId="1" applyFont="1" applyBorder="1"/>
    <xf numFmtId="0" fontId="11" fillId="0" borderId="1" xfId="1" applyFont="1" applyBorder="1" applyAlignment="1">
      <alignment horizontal="center" vertical="center"/>
    </xf>
    <xf numFmtId="0" fontId="8" fillId="0" borderId="1" xfId="1" applyFont="1" applyBorder="1"/>
    <xf numFmtId="0" fontId="8" fillId="0" borderId="0" xfId="1" applyFont="1"/>
    <xf numFmtId="0" fontId="7" fillId="0" borderId="3" xfId="1" applyFont="1" applyBorder="1" applyAlignment="1">
      <alignment vertical="center"/>
    </xf>
    <xf numFmtId="0" fontId="7" fillId="0" borderId="19" xfId="1" applyFont="1" applyBorder="1"/>
    <xf numFmtId="0" fontId="7" fillId="0" borderId="0" xfId="1" applyFont="1" applyAlignment="1">
      <alignment horizontal="center"/>
    </xf>
    <xf numFmtId="0" fontId="7" fillId="0" borderId="1" xfId="1" applyFont="1" applyBorder="1" applyAlignment="1">
      <alignment horizontal="center"/>
    </xf>
    <xf numFmtId="0" fontId="11" fillId="0" borderId="3" xfId="1" applyFont="1" applyBorder="1" applyAlignment="1">
      <alignment horizontal="center" vertical="center"/>
    </xf>
    <xf numFmtId="0" fontId="7" fillId="0" borderId="3" xfId="1" applyFont="1" applyBorder="1" applyAlignment="1">
      <alignment horizontal="center"/>
    </xf>
    <xf numFmtId="0" fontId="7" fillId="0" borderId="19" xfId="1" applyFont="1" applyBorder="1" applyAlignment="1">
      <alignment horizontal="center"/>
    </xf>
    <xf numFmtId="0" fontId="15" fillId="0" borderId="19" xfId="1" applyFont="1" applyBorder="1" applyAlignment="1">
      <alignment horizontal="center"/>
    </xf>
    <xf numFmtId="0" fontId="15" fillId="0" borderId="3" xfId="1" applyFont="1" applyBorder="1" applyAlignment="1">
      <alignment horizontal="center"/>
    </xf>
    <xf numFmtId="0" fontId="7" fillId="0" borderId="5" xfId="1" applyFont="1" applyBorder="1" applyAlignment="1">
      <alignment vertical="center"/>
    </xf>
    <xf numFmtId="0" fontId="7" fillId="0" borderId="20" xfId="1" applyFont="1" applyBorder="1"/>
    <xf numFmtId="0" fontId="7" fillId="0" borderId="20" xfId="1" applyFont="1" applyBorder="1" applyAlignment="1">
      <alignment horizontal="center"/>
    </xf>
    <xf numFmtId="0" fontId="7" fillId="0" borderId="5" xfId="1" applyFont="1" applyBorder="1" applyAlignment="1">
      <alignment horizontal="center"/>
    </xf>
    <xf numFmtId="0" fontId="8" fillId="0" borderId="3" xfId="1" applyFont="1" applyBorder="1"/>
    <xf numFmtId="0" fontId="3" fillId="0" borderId="21" xfId="1" applyFont="1" applyBorder="1" applyAlignment="1">
      <alignment horizontal="center" vertical="center"/>
    </xf>
    <xf numFmtId="0" fontId="3" fillId="0" borderId="16" xfId="1" applyFont="1" applyBorder="1" applyAlignment="1">
      <alignment horizontal="center" vertical="center"/>
    </xf>
    <xf numFmtId="0" fontId="3" fillId="0" borderId="22" xfId="1" applyFont="1" applyBorder="1" applyAlignment="1">
      <alignment horizontal="center" vertical="center"/>
    </xf>
    <xf numFmtId="0" fontId="3" fillId="0" borderId="18" xfId="1" applyFont="1" applyBorder="1" applyAlignment="1">
      <alignment horizontal="center" vertical="center"/>
    </xf>
    <xf numFmtId="0" fontId="4" fillId="0" borderId="21" xfId="1" applyFont="1" applyBorder="1" applyAlignment="1">
      <alignment horizontal="center" vertical="center" wrapText="1"/>
    </xf>
    <xf numFmtId="1" fontId="16" fillId="0" borderId="21" xfId="1" applyNumberFormat="1" applyFont="1" applyBorder="1" applyAlignment="1">
      <alignment horizontal="center" vertical="center" wrapText="1"/>
    </xf>
    <xf numFmtId="1" fontId="17" fillId="0" borderId="21" xfId="1" applyNumberFormat="1" applyFont="1" applyBorder="1" applyAlignment="1">
      <alignment vertical="center" wrapText="1"/>
    </xf>
    <xf numFmtId="0" fontId="16" fillId="0" borderId="21" xfId="1" applyFont="1" applyBorder="1" applyAlignment="1">
      <alignment vertical="center" wrapText="1"/>
    </xf>
    <xf numFmtId="4" fontId="16" fillId="0" borderId="21" xfId="1" applyNumberFormat="1" applyFont="1" applyBorder="1" applyAlignment="1">
      <alignment horizontal="right" vertical="center" wrapText="1"/>
    </xf>
    <xf numFmtId="3" fontId="18" fillId="0" borderId="21" xfId="1" applyNumberFormat="1" applyFont="1" applyBorder="1" applyAlignment="1">
      <alignment horizontal="center" vertical="center" wrapText="1"/>
    </xf>
    <xf numFmtId="0" fontId="4" fillId="0" borderId="0" xfId="1" applyFont="1"/>
    <xf numFmtId="1" fontId="7" fillId="0" borderId="21" xfId="1" applyNumberFormat="1" applyFont="1" applyBorder="1" applyAlignment="1">
      <alignment horizontal="center" vertical="center" wrapText="1"/>
    </xf>
    <xf numFmtId="49" fontId="4" fillId="0" borderId="21" xfId="1" applyNumberFormat="1" applyFont="1" applyBorder="1" applyAlignment="1">
      <alignment horizontal="center" vertical="center" wrapText="1"/>
    </xf>
    <xf numFmtId="0" fontId="7" fillId="0" borderId="21" xfId="1" applyFont="1" applyBorder="1" applyAlignment="1">
      <alignment vertical="center" wrapText="1"/>
    </xf>
    <xf numFmtId="4" fontId="7" fillId="0" borderId="21" xfId="1" applyNumberFormat="1" applyFont="1" applyBorder="1" applyAlignment="1">
      <alignment horizontal="right" vertical="center" wrapText="1"/>
    </xf>
    <xf numFmtId="0" fontId="4" fillId="0" borderId="21" xfId="1" applyFont="1" applyBorder="1" applyAlignment="1">
      <alignment horizontal="left" vertical="center" wrapText="1"/>
    </xf>
    <xf numFmtId="4" fontId="4" fillId="0" borderId="21" xfId="1" applyNumberFormat="1" applyFont="1" applyBorder="1" applyAlignment="1">
      <alignment vertical="center" wrapText="1"/>
    </xf>
    <xf numFmtId="4" fontId="4" fillId="0" borderId="5" xfId="1" applyNumberFormat="1" applyFont="1" applyBorder="1" applyAlignment="1">
      <alignment vertical="center" wrapText="1"/>
    </xf>
    <xf numFmtId="4" fontId="7" fillId="0" borderId="21" xfId="1" applyNumberFormat="1" applyFont="1" applyBorder="1" applyAlignment="1">
      <alignment horizontal="center" vertical="center" wrapText="1"/>
    </xf>
    <xf numFmtId="49" fontId="4" fillId="0" borderId="5" xfId="1" applyNumberFormat="1" applyFont="1" applyBorder="1" applyAlignment="1">
      <alignment horizontal="center" vertical="center" wrapText="1"/>
    </xf>
    <xf numFmtId="0" fontId="4" fillId="0" borderId="5" xfId="1" applyFont="1" applyBorder="1" applyAlignment="1">
      <alignment vertical="center" wrapText="1"/>
    </xf>
    <xf numFmtId="4" fontId="11" fillId="0" borderId="18" xfId="1" applyNumberFormat="1" applyFont="1" applyBorder="1" applyAlignment="1">
      <alignment vertical="center" wrapText="1"/>
    </xf>
    <xf numFmtId="4" fontId="4" fillId="0" borderId="20" xfId="1" applyNumberFormat="1" applyFont="1" applyBorder="1" applyAlignment="1">
      <alignment vertical="center" wrapText="1"/>
    </xf>
    <xf numFmtId="0" fontId="7" fillId="0" borderId="23" xfId="1" applyFont="1" applyBorder="1" applyAlignment="1">
      <alignment horizontal="center" vertical="center" wrapText="1"/>
    </xf>
    <xf numFmtId="49" fontId="4" fillId="0" borderId="24" xfId="1" applyNumberFormat="1" applyFont="1" applyBorder="1" applyAlignment="1">
      <alignment horizontal="center" vertical="center" wrapText="1"/>
    </xf>
    <xf numFmtId="0" fontId="11" fillId="0" borderId="24" xfId="1" applyFont="1" applyBorder="1" applyAlignment="1">
      <alignment vertical="center" wrapText="1"/>
    </xf>
    <xf numFmtId="4" fontId="11" fillId="0" borderId="23" xfId="1" applyNumberFormat="1" applyFont="1" applyBorder="1" applyAlignment="1">
      <alignment horizontal="right" vertical="center" wrapText="1"/>
    </xf>
    <xf numFmtId="4" fontId="11" fillId="0" borderId="23" xfId="1" applyNumberFormat="1" applyFont="1" applyBorder="1" applyAlignment="1">
      <alignment horizontal="center" vertical="center" wrapText="1"/>
    </xf>
    <xf numFmtId="4" fontId="3" fillId="0" borderId="24" xfId="1" applyNumberFormat="1" applyFont="1" applyBorder="1" applyAlignment="1">
      <alignment horizontal="center" vertical="center" wrapText="1"/>
    </xf>
    <xf numFmtId="4" fontId="7" fillId="0" borderId="23" xfId="1" applyNumberFormat="1" applyFont="1" applyBorder="1" applyAlignment="1">
      <alignment horizontal="center" vertical="center" wrapText="1"/>
    </xf>
    <xf numFmtId="4" fontId="11" fillId="0" borderId="21" xfId="1" applyNumberFormat="1" applyFont="1" applyBorder="1" applyAlignment="1">
      <alignment horizontal="center" vertical="center" wrapText="1"/>
    </xf>
    <xf numFmtId="4" fontId="4" fillId="0" borderId="21" xfId="1" applyNumberFormat="1" applyFont="1" applyBorder="1" applyAlignment="1">
      <alignment horizontal="right" vertical="center" wrapText="1"/>
    </xf>
    <xf numFmtId="4" fontId="3" fillId="0" borderId="21" xfId="1" applyNumberFormat="1" applyFont="1" applyBorder="1" applyAlignment="1">
      <alignment horizontal="center" vertical="center" wrapText="1"/>
    </xf>
    <xf numFmtId="0" fontId="3" fillId="0" borderId="0" xfId="3" applyFont="1"/>
    <xf numFmtId="0" fontId="25" fillId="0" borderId="0" xfId="3" applyFont="1"/>
    <xf numFmtId="0" fontId="6" fillId="0" borderId="0" xfId="3" applyFont="1" applyAlignment="1">
      <alignment horizontal="centerContinuous" vertical="center" wrapText="1"/>
    </xf>
    <xf numFmtId="0" fontId="6" fillId="0" borderId="0" xfId="3" applyFont="1" applyAlignment="1">
      <alignment horizontal="center" vertical="center" wrapText="1"/>
    </xf>
    <xf numFmtId="0" fontId="1" fillId="0" borderId="0" xfId="3" applyFont="1" applyAlignment="1">
      <alignment horizontal="center" vertical="center"/>
    </xf>
    <xf numFmtId="0" fontId="26" fillId="5" borderId="1" xfId="3" applyFont="1" applyFill="1" applyBorder="1" applyAlignment="1">
      <alignment horizontal="center" vertical="center"/>
    </xf>
    <xf numFmtId="0" fontId="26" fillId="5" borderId="1" xfId="3" applyFont="1" applyFill="1" applyBorder="1" applyAlignment="1">
      <alignment horizontal="center" vertical="center" wrapText="1"/>
    </xf>
    <xf numFmtId="0" fontId="26" fillId="5" borderId="16" xfId="3" applyFont="1" applyFill="1" applyBorder="1" applyAlignment="1">
      <alignment horizontal="centerContinuous" vertical="center" wrapText="1"/>
    </xf>
    <xf numFmtId="0" fontId="26" fillId="5" borderId="17" xfId="3" applyFont="1" applyFill="1" applyBorder="1" applyAlignment="1">
      <alignment horizontal="centerContinuous" vertical="center" wrapText="1"/>
    </xf>
    <xf numFmtId="0" fontId="26" fillId="5" borderId="18" xfId="3" applyFont="1" applyFill="1" applyBorder="1" applyAlignment="1">
      <alignment horizontal="centerContinuous" vertical="center" wrapText="1"/>
    </xf>
    <xf numFmtId="0" fontId="26" fillId="5" borderId="3" xfId="3" applyFont="1" applyFill="1" applyBorder="1" applyAlignment="1">
      <alignment horizontal="center" vertical="center"/>
    </xf>
    <xf numFmtId="0" fontId="26" fillId="5" borderId="3" xfId="3" applyFont="1" applyFill="1" applyBorder="1" applyAlignment="1">
      <alignment horizontal="center" vertical="center" wrapText="1"/>
    </xf>
    <xf numFmtId="0" fontId="26" fillId="5" borderId="5" xfId="3" applyFont="1" applyFill="1" applyBorder="1" applyAlignment="1">
      <alignment horizontal="center" vertical="center"/>
    </xf>
    <xf numFmtId="0" fontId="26" fillId="5" borderId="5" xfId="3" applyFont="1" applyFill="1" applyBorder="1" applyAlignment="1">
      <alignment horizontal="center" vertical="center" wrapText="1"/>
    </xf>
    <xf numFmtId="0" fontId="26" fillId="5" borderId="5" xfId="3" applyFont="1" applyFill="1" applyBorder="1" applyAlignment="1">
      <alignment horizontal="center" vertical="top" wrapText="1"/>
    </xf>
    <xf numFmtId="0" fontId="26" fillId="5" borderId="21" xfId="3" applyFont="1" applyFill="1" applyBorder="1" applyAlignment="1">
      <alignment horizontal="center" vertical="center" wrapText="1"/>
    </xf>
    <xf numFmtId="0" fontId="27" fillId="0" borderId="21" xfId="3" applyFont="1" applyBorder="1" applyAlignment="1">
      <alignment horizontal="center" vertical="center"/>
    </xf>
    <xf numFmtId="0" fontId="6" fillId="0" borderId="0" xfId="0" applyFont="1" applyAlignment="1">
      <alignment horizontal="centerContinuous" vertical="center"/>
    </xf>
    <xf numFmtId="0" fontId="24" fillId="0" borderId="0" xfId="0" applyFont="1"/>
    <xf numFmtId="0" fontId="5" fillId="0" borderId="0" xfId="0" applyFont="1" applyAlignment="1">
      <alignment horizontal="centerContinuous" vertical="center"/>
    </xf>
    <xf numFmtId="0" fontId="3" fillId="0" borderId="0" xfId="0" applyFont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/>
    </xf>
    <xf numFmtId="0" fontId="6" fillId="5" borderId="5" xfId="0" applyFont="1" applyFill="1" applyBorder="1" applyAlignment="1">
      <alignment horizontal="center" vertical="center" wrapText="1"/>
    </xf>
    <xf numFmtId="0" fontId="27" fillId="5" borderId="21" xfId="0" applyFont="1" applyFill="1" applyBorder="1" applyAlignment="1">
      <alignment horizontal="center" vertical="center"/>
    </xf>
    <xf numFmtId="0" fontId="21" fillId="0" borderId="5" xfId="0" applyFont="1" applyBorder="1" applyAlignment="1">
      <alignment vertical="center"/>
    </xf>
    <xf numFmtId="0" fontId="21" fillId="0" borderId="5" xfId="0" applyFont="1" applyBorder="1" applyAlignment="1">
      <alignment horizontal="center" vertical="center"/>
    </xf>
    <xf numFmtId="0" fontId="24" fillId="0" borderId="3" xfId="0" applyFont="1" applyBorder="1" applyAlignment="1">
      <alignment vertical="center"/>
    </xf>
    <xf numFmtId="0" fontId="24" fillId="0" borderId="1" xfId="0" applyFont="1" applyBorder="1" applyAlignment="1">
      <alignment horizontal="left" vertical="center" indent="2"/>
    </xf>
    <xf numFmtId="0" fontId="24" fillId="0" borderId="3" xfId="0" applyFont="1" applyBorder="1" applyAlignment="1">
      <alignment horizontal="left" vertical="center" indent="2"/>
    </xf>
    <xf numFmtId="0" fontId="24" fillId="0" borderId="3" xfId="0" applyFont="1" applyBorder="1" applyAlignment="1">
      <alignment vertical="top"/>
    </xf>
    <xf numFmtId="0" fontId="24" fillId="0" borderId="3" xfId="0" applyFont="1" applyBorder="1" applyAlignment="1">
      <alignment horizontal="left" vertical="top" wrapText="1" indent="2"/>
    </xf>
    <xf numFmtId="0" fontId="24" fillId="0" borderId="5" xfId="0" applyFont="1" applyBorder="1" applyAlignment="1">
      <alignment vertical="top"/>
    </xf>
    <xf numFmtId="0" fontId="21" fillId="0" borderId="21" xfId="0" applyFont="1" applyBorder="1" applyAlignment="1">
      <alignment horizontal="center"/>
    </xf>
    <xf numFmtId="0" fontId="24" fillId="0" borderId="21" xfId="0" applyFont="1" applyBorder="1" applyAlignment="1">
      <alignment horizontal="left" vertical="center" indent="2"/>
    </xf>
    <xf numFmtId="0" fontId="24" fillId="0" borderId="3" xfId="0" applyFont="1" applyBorder="1" applyAlignment="1">
      <alignment horizontal="left" vertical="center" wrapText="1" indent="2"/>
    </xf>
    <xf numFmtId="0" fontId="24" fillId="0" borderId="5" xfId="0" applyFont="1" applyBorder="1" applyAlignment="1">
      <alignment vertical="center"/>
    </xf>
    <xf numFmtId="0" fontId="24" fillId="0" borderId="5" xfId="0" applyFont="1" applyBorder="1" applyAlignment="1">
      <alignment horizontal="left" vertical="center" indent="2"/>
    </xf>
    <xf numFmtId="0" fontId="1" fillId="0" borderId="0" xfId="0" applyFont="1"/>
    <xf numFmtId="3" fontId="28" fillId="0" borderId="21" xfId="1" applyNumberFormat="1" applyFont="1" applyBorder="1" applyAlignment="1">
      <alignment horizontal="center" vertical="center" wrapText="1"/>
    </xf>
    <xf numFmtId="4" fontId="2" fillId="0" borderId="0" xfId="0" applyNumberFormat="1" applyFont="1"/>
    <xf numFmtId="0" fontId="7" fillId="0" borderId="3" xfId="0" applyFont="1" applyBorder="1"/>
    <xf numFmtId="0" fontId="7" fillId="0" borderId="4" xfId="0" applyFont="1" applyBorder="1"/>
    <xf numFmtId="49" fontId="3" fillId="0" borderId="3" xfId="0" applyNumberFormat="1" applyFont="1" applyBorder="1" applyAlignment="1">
      <alignment horizontal="center"/>
    </xf>
    <xf numFmtId="0" fontId="3" fillId="0" borderId="4" xfId="0" applyFont="1" applyBorder="1" applyAlignment="1">
      <alignment horizontal="right"/>
    </xf>
    <xf numFmtId="0" fontId="1" fillId="0" borderId="3" xfId="0" applyFont="1" applyBorder="1"/>
    <xf numFmtId="0" fontId="11" fillId="0" borderId="3" xfId="0" applyFont="1" applyBorder="1" applyAlignment="1">
      <alignment horizontal="center"/>
    </xf>
    <xf numFmtId="0" fontId="11" fillId="0" borderId="10" xfId="0" applyFont="1" applyBorder="1"/>
    <xf numFmtId="4" fontId="4" fillId="0" borderId="3" xfId="0" applyNumberFormat="1" applyFont="1" applyBorder="1" applyAlignment="1">
      <alignment horizontal="right" vertical="top"/>
    </xf>
    <xf numFmtId="4" fontId="4" fillId="0" borderId="3" xfId="0" applyNumberFormat="1" applyFont="1" applyBorder="1" applyAlignment="1">
      <alignment horizontal="right" vertical="center"/>
    </xf>
    <xf numFmtId="0" fontId="4" fillId="0" borderId="3" xfId="0" applyFont="1" applyBorder="1" applyAlignment="1">
      <alignment horizontal="right" vertical="top"/>
    </xf>
    <xf numFmtId="0" fontId="4" fillId="0" borderId="4" xfId="0" applyFont="1" applyBorder="1" applyAlignment="1">
      <alignment horizontal="left" vertical="top" wrapText="1"/>
    </xf>
    <xf numFmtId="49" fontId="7" fillId="0" borderId="3" xfId="0" applyNumberFormat="1" applyFont="1" applyBorder="1"/>
    <xf numFmtId="4" fontId="7" fillId="0" borderId="3" xfId="0" applyNumberFormat="1" applyFont="1" applyBorder="1" applyAlignment="1">
      <alignment horizontal="right"/>
    </xf>
    <xf numFmtId="3" fontId="4" fillId="0" borderId="4" xfId="0" applyNumberFormat="1" applyFont="1" applyBorder="1"/>
    <xf numFmtId="3" fontId="4" fillId="0" borderId="3" xfId="0" applyNumberFormat="1" applyFont="1" applyBorder="1"/>
    <xf numFmtId="49" fontId="7" fillId="0" borderId="5" xfId="0" applyNumberFormat="1" applyFont="1" applyBorder="1" applyAlignment="1">
      <alignment horizontal="right"/>
    </xf>
    <xf numFmtId="49" fontId="4" fillId="0" borderId="5" xfId="0" applyNumberFormat="1" applyFont="1" applyBorder="1" applyAlignment="1">
      <alignment horizontal="right" vertical="top"/>
    </xf>
    <xf numFmtId="0" fontId="4" fillId="0" borderId="6" xfId="0" applyFont="1" applyBorder="1" applyAlignment="1">
      <alignment vertical="top" wrapText="1"/>
    </xf>
    <xf numFmtId="0" fontId="3" fillId="0" borderId="21" xfId="1" applyFont="1" applyBorder="1" applyAlignment="1">
      <alignment horizontal="center" vertical="center" wrapText="1"/>
    </xf>
    <xf numFmtId="0" fontId="16" fillId="0" borderId="21" xfId="1" applyFont="1" applyBorder="1" applyAlignment="1">
      <alignment horizontal="center" vertical="center" wrapText="1"/>
    </xf>
    <xf numFmtId="49" fontId="17" fillId="0" borderId="21" xfId="1" applyNumberFormat="1" applyFont="1" applyBorder="1" applyAlignment="1">
      <alignment vertical="center" wrapText="1"/>
    </xf>
    <xf numFmtId="0" fontId="11" fillId="0" borderId="21" xfId="1" applyFont="1" applyBorder="1" applyAlignment="1">
      <alignment horizontal="center" vertical="center" wrapText="1"/>
    </xf>
    <xf numFmtId="49" fontId="4" fillId="0" borderId="17" xfId="1" applyNumberFormat="1" applyFont="1" applyBorder="1" applyAlignment="1">
      <alignment horizontal="center" vertical="center" wrapText="1"/>
    </xf>
    <xf numFmtId="0" fontId="11" fillId="0" borderId="18" xfId="1" applyFont="1" applyBorder="1" applyAlignment="1">
      <alignment vertical="center" wrapText="1"/>
    </xf>
    <xf numFmtId="0" fontId="16" fillId="0" borderId="1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49" fontId="4" fillId="0" borderId="0" xfId="1" applyNumberFormat="1" applyFont="1" applyAlignment="1">
      <alignment horizontal="center" vertical="center" wrapText="1"/>
    </xf>
    <xf numFmtId="0" fontId="4" fillId="0" borderId="19" xfId="1" applyFont="1" applyBorder="1" applyAlignment="1">
      <alignment vertical="center" wrapText="1"/>
    </xf>
    <xf numFmtId="4" fontId="4" fillId="0" borderId="19" xfId="1" applyNumberFormat="1" applyFont="1" applyBorder="1" applyAlignment="1">
      <alignment vertical="center" wrapText="1"/>
    </xf>
    <xf numFmtId="4" fontId="4" fillId="0" borderId="3" xfId="1" applyNumberFormat="1" applyFont="1" applyBorder="1" applyAlignment="1">
      <alignment vertical="center" wrapText="1"/>
    </xf>
    <xf numFmtId="4" fontId="4" fillId="0" borderId="22" xfId="1" applyNumberFormat="1" applyFont="1" applyBorder="1" applyAlignment="1">
      <alignment horizontal="center" vertical="center" wrapText="1"/>
    </xf>
    <xf numFmtId="0" fontId="16" fillId="0" borderId="5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  <xf numFmtId="49" fontId="4" fillId="0" borderId="26" xfId="1" applyNumberFormat="1" applyFont="1" applyBorder="1" applyAlignment="1">
      <alignment horizontal="center" vertical="center" wrapText="1"/>
    </xf>
    <xf numFmtId="0" fontId="4" fillId="0" borderId="20" xfId="1" applyFont="1" applyBorder="1" applyAlignment="1">
      <alignment vertical="center" wrapText="1"/>
    </xf>
    <xf numFmtId="4" fontId="4" fillId="0" borderId="20" xfId="1" applyNumberFormat="1" applyFont="1" applyBorder="1" applyAlignment="1">
      <alignment horizontal="center" vertical="center" wrapText="1"/>
    </xf>
    <xf numFmtId="49" fontId="17" fillId="0" borderId="21" xfId="1" applyNumberFormat="1" applyFont="1" applyBorder="1" applyAlignment="1">
      <alignment horizontal="center" vertical="center" wrapText="1"/>
    </xf>
    <xf numFmtId="0" fontId="16" fillId="0" borderId="21" xfId="1" applyFont="1" applyBorder="1" applyAlignment="1">
      <alignment horizontal="left" vertical="center" wrapText="1"/>
    </xf>
    <xf numFmtId="1" fontId="3" fillId="0" borderId="21" xfId="1" applyNumberFormat="1" applyFont="1" applyBorder="1" applyAlignment="1">
      <alignment horizontal="center" vertical="center" wrapText="1"/>
    </xf>
    <xf numFmtId="49" fontId="17" fillId="0" borderId="17" xfId="1" applyNumberFormat="1" applyFont="1" applyBorder="1" applyAlignment="1">
      <alignment vertical="center" wrapText="1"/>
    </xf>
    <xf numFmtId="0" fontId="4" fillId="0" borderId="18" xfId="1" applyFont="1" applyBorder="1" applyAlignment="1">
      <alignment vertical="center" wrapText="1"/>
    </xf>
    <xf numFmtId="4" fontId="4" fillId="0" borderId="18" xfId="1" applyNumberFormat="1" applyFont="1" applyBorder="1" applyAlignment="1">
      <alignment vertical="center" wrapText="1"/>
    </xf>
    <xf numFmtId="0" fontId="3" fillId="0" borderId="23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 wrapText="1"/>
    </xf>
    <xf numFmtId="49" fontId="4" fillId="0" borderId="19" xfId="1" applyNumberFormat="1" applyFont="1" applyBorder="1" applyAlignment="1">
      <alignment horizontal="center" vertical="center" wrapText="1"/>
    </xf>
    <xf numFmtId="4" fontId="11" fillId="0" borderId="5" xfId="1" applyNumberFormat="1" applyFont="1" applyBorder="1" applyAlignment="1">
      <alignment horizontal="center" vertical="center" wrapText="1"/>
    </xf>
    <xf numFmtId="4" fontId="4" fillId="0" borderId="3" xfId="1" applyNumberFormat="1" applyFont="1" applyBorder="1" applyAlignment="1">
      <alignment horizontal="right" vertical="center" wrapText="1"/>
    </xf>
    <xf numFmtId="4" fontId="4" fillId="0" borderId="19" xfId="1" applyNumberFormat="1" applyFont="1" applyBorder="1" applyAlignment="1">
      <alignment horizontal="center" vertical="center" wrapText="1"/>
    </xf>
    <xf numFmtId="4" fontId="4" fillId="0" borderId="3" xfId="1" applyNumberFormat="1" applyFont="1" applyBorder="1" applyAlignment="1">
      <alignment horizontal="center" vertical="center" wrapText="1"/>
    </xf>
    <xf numFmtId="4" fontId="1" fillId="0" borderId="0" xfId="3" applyNumberFormat="1" applyFont="1"/>
    <xf numFmtId="0" fontId="1" fillId="0" borderId="0" xfId="4" applyFont="1"/>
    <xf numFmtId="0" fontId="3" fillId="0" borderId="0" xfId="4" applyFont="1"/>
    <xf numFmtId="0" fontId="3" fillId="0" borderId="0" xfId="4" applyFont="1" applyAlignment="1">
      <alignment horizontal="left"/>
    </xf>
    <xf numFmtId="0" fontId="29" fillId="0" borderId="0" xfId="4" applyFont="1"/>
    <xf numFmtId="0" fontId="6" fillId="0" borderId="0" xfId="4" applyFont="1" applyAlignment="1">
      <alignment horizontal="centerContinuous" vertical="center" wrapText="1"/>
    </xf>
    <xf numFmtId="0" fontId="30" fillId="0" borderId="0" xfId="4" applyFont="1" applyAlignment="1">
      <alignment horizontal="center" vertical="center"/>
    </xf>
    <xf numFmtId="0" fontId="8" fillId="0" borderId="0" xfId="4" applyFont="1" applyAlignment="1">
      <alignment horizontal="center"/>
    </xf>
    <xf numFmtId="0" fontId="6" fillId="5" borderId="21" xfId="4" applyFont="1" applyFill="1" applyBorder="1" applyAlignment="1">
      <alignment horizontal="center" vertical="center"/>
    </xf>
    <xf numFmtId="0" fontId="6" fillId="5" borderId="16" xfId="4" applyFont="1" applyFill="1" applyBorder="1" applyAlignment="1">
      <alignment horizontal="centerContinuous" vertical="center"/>
    </xf>
    <xf numFmtId="0" fontId="27" fillId="0" borderId="21" xfId="4" applyFont="1" applyBorder="1" applyAlignment="1">
      <alignment horizontal="center" vertical="center"/>
    </xf>
    <xf numFmtId="0" fontId="27" fillId="0" borderId="16" xfId="4" applyFont="1" applyBorder="1" applyAlignment="1">
      <alignment horizontal="centerContinuous" vertical="center"/>
    </xf>
    <xf numFmtId="0" fontId="25" fillId="0" borderId="0" xfId="4" applyFont="1"/>
    <xf numFmtId="0" fontId="27" fillId="0" borderId="0" xfId="4" applyFont="1"/>
    <xf numFmtId="0" fontId="14" fillId="0" borderId="21" xfId="4" applyFont="1" applyBorder="1" applyAlignment="1">
      <alignment vertical="center"/>
    </xf>
    <xf numFmtId="0" fontId="31" fillId="0" borderId="21" xfId="4" applyFont="1" applyBorder="1" applyAlignment="1">
      <alignment horizontal="left" vertical="center"/>
    </xf>
    <xf numFmtId="4" fontId="14" fillId="0" borderId="21" xfId="4" applyNumberFormat="1" applyFont="1" applyBorder="1"/>
    <xf numFmtId="0" fontId="32" fillId="0" borderId="0" xfId="4" applyFont="1"/>
    <xf numFmtId="0" fontId="14" fillId="0" borderId="21" xfId="4" applyFont="1" applyBorder="1" applyAlignment="1">
      <alignment vertical="top"/>
    </xf>
    <xf numFmtId="0" fontId="14" fillId="0" borderId="16" xfId="4" applyFont="1" applyBorder="1" applyAlignment="1">
      <alignment vertical="top" wrapText="1"/>
    </xf>
    <xf numFmtId="4" fontId="14" fillId="0" borderId="21" xfId="4" applyNumberFormat="1" applyFont="1" applyBorder="1" applyAlignment="1">
      <alignment vertical="center"/>
    </xf>
    <xf numFmtId="4" fontId="29" fillId="0" borderId="0" xfId="4" applyNumberFormat="1" applyFont="1"/>
    <xf numFmtId="0" fontId="14" fillId="0" borderId="21" xfId="4" applyFont="1" applyBorder="1"/>
    <xf numFmtId="0" fontId="14" fillId="0" borderId="16" xfId="4" applyFont="1" applyBorder="1"/>
    <xf numFmtId="0" fontId="14" fillId="0" borderId="2" xfId="4" applyFont="1" applyBorder="1"/>
    <xf numFmtId="0" fontId="14" fillId="0" borderId="27" xfId="4" applyFont="1" applyBorder="1"/>
    <xf numFmtId="0" fontId="14" fillId="0" borderId="22" xfId="4" applyFont="1" applyBorder="1"/>
    <xf numFmtId="0" fontId="25" fillId="0" borderId="14" xfId="4" applyFont="1" applyBorder="1" applyAlignment="1">
      <alignment vertical="center" wrapText="1"/>
    </xf>
    <xf numFmtId="4" fontId="14" fillId="0" borderId="15" xfId="4" applyNumberFormat="1" applyFont="1" applyBorder="1"/>
    <xf numFmtId="0" fontId="14" fillId="0" borderId="4" xfId="4" applyFont="1" applyBorder="1"/>
    <xf numFmtId="0" fontId="14" fillId="0" borderId="0" xfId="4" applyFont="1"/>
    <xf numFmtId="0" fontId="14" fillId="0" borderId="19" xfId="4" applyFont="1" applyBorder="1"/>
    <xf numFmtId="0" fontId="25" fillId="0" borderId="28" xfId="4" applyFont="1" applyBorder="1" applyAlignment="1">
      <alignment horizontal="left" wrapText="1"/>
    </xf>
    <xf numFmtId="4" fontId="14" fillId="0" borderId="11" xfId="4" applyNumberFormat="1" applyFont="1" applyBorder="1"/>
    <xf numFmtId="0" fontId="14" fillId="0" borderId="6" xfId="4" applyFont="1" applyBorder="1"/>
    <xf numFmtId="0" fontId="14" fillId="0" borderId="26" xfId="4" applyFont="1" applyBorder="1"/>
    <xf numFmtId="0" fontId="14" fillId="0" borderId="20" xfId="4" applyFont="1" applyBorder="1"/>
    <xf numFmtId="0" fontId="25" fillId="0" borderId="6" xfId="4" applyFont="1" applyBorder="1" applyAlignment="1">
      <alignment vertical="center" wrapText="1"/>
    </xf>
    <xf numFmtId="4" fontId="14" fillId="0" borderId="5" xfId="4" applyNumberFormat="1" applyFont="1" applyBorder="1"/>
    <xf numFmtId="0" fontId="14" fillId="0" borderId="17" xfId="4" applyFont="1" applyBorder="1"/>
    <xf numFmtId="0" fontId="14" fillId="0" borderId="18" xfId="4" applyFont="1" applyBorder="1"/>
    <xf numFmtId="0" fontId="25" fillId="0" borderId="21" xfId="4" applyFont="1" applyBorder="1" applyAlignment="1">
      <alignment vertical="center" wrapText="1"/>
    </xf>
    <xf numFmtId="0" fontId="14" fillId="0" borderId="5" xfId="4" applyFont="1" applyBorder="1" applyAlignment="1">
      <alignment vertical="top"/>
    </xf>
    <xf numFmtId="0" fontId="14" fillId="0" borderId="6" xfId="4" applyFont="1" applyBorder="1" applyAlignment="1">
      <alignment vertical="center" wrapText="1"/>
    </xf>
    <xf numFmtId="4" fontId="14" fillId="0" borderId="5" xfId="4" applyNumberFormat="1" applyFont="1" applyBorder="1" applyAlignment="1">
      <alignment vertical="center"/>
    </xf>
    <xf numFmtId="0" fontId="14" fillId="0" borderId="1" xfId="4" applyFont="1" applyBorder="1" applyAlignment="1">
      <alignment vertical="top"/>
    </xf>
    <xf numFmtId="0" fontId="25" fillId="0" borderId="29" xfId="4" applyFont="1" applyBorder="1" applyAlignment="1">
      <alignment vertical="center" wrapText="1"/>
    </xf>
    <xf numFmtId="4" fontId="14" fillId="0" borderId="28" xfId="4" applyNumberFormat="1" applyFont="1" applyBorder="1"/>
    <xf numFmtId="0" fontId="14" fillId="0" borderId="3" xfId="4" applyFont="1" applyBorder="1" applyAlignment="1">
      <alignment vertical="top"/>
    </xf>
    <xf numFmtId="0" fontId="25" fillId="0" borderId="29" xfId="4" applyFont="1" applyBorder="1"/>
    <xf numFmtId="4" fontId="14" fillId="0" borderId="30" xfId="4" applyNumberFormat="1" applyFont="1" applyBorder="1"/>
    <xf numFmtId="0" fontId="25" fillId="0" borderId="29" xfId="4" applyFont="1" applyBorder="1" applyAlignment="1">
      <alignment horizontal="left" vertical="center" wrapText="1"/>
    </xf>
    <xf numFmtId="0" fontId="25" fillId="0" borderId="31" xfId="4" applyFont="1" applyBorder="1"/>
    <xf numFmtId="4" fontId="14" fillId="0" borderId="32" xfId="4" applyNumberFormat="1" applyFont="1" applyBorder="1"/>
    <xf numFmtId="0" fontId="14" fillId="0" borderId="22" xfId="4" applyFont="1" applyBorder="1" applyAlignment="1">
      <alignment vertical="top"/>
    </xf>
    <xf numFmtId="0" fontId="14" fillId="0" borderId="1" xfId="4" applyFont="1" applyBorder="1" applyAlignment="1">
      <alignment horizontal="right" vertical="center"/>
    </xf>
    <xf numFmtId="0" fontId="14" fillId="0" borderId="22" xfId="4" applyFont="1" applyBorder="1" applyAlignment="1">
      <alignment horizontal="right" vertical="center"/>
    </xf>
    <xf numFmtId="0" fontId="14" fillId="0" borderId="16" xfId="4" applyFont="1" applyBorder="1" applyAlignment="1">
      <alignment wrapText="1"/>
    </xf>
    <xf numFmtId="0" fontId="14" fillId="0" borderId="20" xfId="4" applyFont="1" applyBorder="1" applyAlignment="1">
      <alignment vertical="top"/>
    </xf>
    <xf numFmtId="0" fontId="14" fillId="0" borderId="6" xfId="4" applyFont="1" applyBorder="1" applyAlignment="1">
      <alignment wrapText="1"/>
    </xf>
    <xf numFmtId="0" fontId="25" fillId="0" borderId="29" xfId="4" applyFont="1" applyBorder="1" applyAlignment="1">
      <alignment horizontal="left" wrapText="1"/>
    </xf>
    <xf numFmtId="0" fontId="33" fillId="0" borderId="0" xfId="4" applyFont="1"/>
    <xf numFmtId="0" fontId="25" fillId="0" borderId="12" xfId="4" applyFont="1" applyBorder="1" applyAlignment="1">
      <alignment horizontal="left" wrapText="1"/>
    </xf>
    <xf numFmtId="0" fontId="25" fillId="0" borderId="12" xfId="4" applyFont="1" applyBorder="1" applyAlignment="1">
      <alignment horizontal="left" vertical="center" wrapText="1"/>
    </xf>
    <xf numFmtId="0" fontId="25" fillId="0" borderId="6" xfId="4" applyFont="1" applyBorder="1" applyAlignment="1">
      <alignment horizontal="left" wrapText="1"/>
    </xf>
    <xf numFmtId="0" fontId="25" fillId="0" borderId="14" xfId="4" applyFont="1" applyBorder="1" applyAlignment="1">
      <alignment horizontal="left" vertical="center" wrapText="1"/>
    </xf>
    <xf numFmtId="0" fontId="25" fillId="0" borderId="26" xfId="4" applyFont="1" applyBorder="1"/>
    <xf numFmtId="0" fontId="25" fillId="0" borderId="31" xfId="4" applyFont="1" applyBorder="1" applyAlignment="1">
      <alignment vertical="center" wrapText="1"/>
    </xf>
    <xf numFmtId="0" fontId="25" fillId="0" borderId="12" xfId="4" applyFont="1" applyBorder="1" applyAlignment="1">
      <alignment vertical="center" wrapText="1"/>
    </xf>
    <xf numFmtId="0" fontId="25" fillId="0" borderId="12" xfId="4" applyFont="1" applyBorder="1"/>
    <xf numFmtId="0" fontId="25" fillId="0" borderId="16" xfId="4" applyFont="1" applyBorder="1" applyAlignment="1">
      <alignment vertical="center" wrapText="1"/>
    </xf>
    <xf numFmtId="0" fontId="25" fillId="0" borderId="16" xfId="4" applyFont="1" applyBorder="1" applyAlignment="1">
      <alignment horizontal="left" vertical="center" wrapText="1"/>
    </xf>
    <xf numFmtId="0" fontId="10" fillId="0" borderId="14" xfId="4" applyFont="1" applyBorder="1"/>
    <xf numFmtId="0" fontId="25" fillId="0" borderId="33" xfId="4" applyFont="1" applyBorder="1"/>
    <xf numFmtId="0" fontId="10" fillId="0" borderId="12" xfId="4" applyFont="1" applyBorder="1"/>
    <xf numFmtId="0" fontId="10" fillId="0" borderId="29" xfId="4" applyFont="1" applyBorder="1"/>
    <xf numFmtId="0" fontId="25" fillId="0" borderId="15" xfId="4" applyFont="1" applyBorder="1" applyAlignment="1">
      <alignment horizontal="left" wrapText="1"/>
    </xf>
    <xf numFmtId="0" fontId="25" fillId="0" borderId="29" xfId="4" applyFont="1" applyBorder="1" applyAlignment="1">
      <alignment horizontal="left" vertical="top" wrapText="1"/>
    </xf>
    <xf numFmtId="4" fontId="14" fillId="0" borderId="25" xfId="4" applyNumberFormat="1" applyFont="1" applyBorder="1"/>
    <xf numFmtId="0" fontId="25" fillId="0" borderId="31" xfId="4" applyFont="1" applyBorder="1" applyAlignment="1">
      <alignment horizontal="left" vertical="center" wrapText="1"/>
    </xf>
    <xf numFmtId="0" fontId="25" fillId="0" borderId="6" xfId="4" applyFont="1" applyBorder="1" applyAlignment="1">
      <alignment horizontal="left" vertical="center" wrapText="1"/>
    </xf>
    <xf numFmtId="0" fontId="10" fillId="0" borderId="16" xfId="4" applyFont="1" applyBorder="1"/>
    <xf numFmtId="0" fontId="25" fillId="0" borderId="6" xfId="4" applyFont="1" applyBorder="1" applyAlignment="1">
      <alignment vertical="top" wrapText="1"/>
    </xf>
    <xf numFmtId="0" fontId="25" fillId="0" borderId="14" xfId="4" applyFont="1" applyBorder="1" applyAlignment="1">
      <alignment horizontal="left" wrapText="1"/>
    </xf>
    <xf numFmtId="0" fontId="25" fillId="0" borderId="28" xfId="4" applyFont="1" applyBorder="1" applyAlignment="1">
      <alignment horizontal="left" vertical="center" wrapText="1"/>
    </xf>
    <xf numFmtId="0" fontId="14" fillId="0" borderId="5" xfId="4" applyFont="1" applyBorder="1"/>
    <xf numFmtId="0" fontId="25" fillId="0" borderId="16" xfId="4" applyFont="1" applyBorder="1" applyAlignment="1">
      <alignment vertical="top" wrapText="1"/>
    </xf>
    <xf numFmtId="0" fontId="14" fillId="0" borderId="16" xfId="4" applyFont="1" applyBorder="1" applyAlignment="1">
      <alignment horizontal="left" vertical="top" wrapText="1"/>
    </xf>
    <xf numFmtId="0" fontId="25" fillId="0" borderId="26" xfId="4" applyFont="1" applyBorder="1" applyAlignment="1">
      <alignment vertical="top" wrapText="1"/>
    </xf>
    <xf numFmtId="0" fontId="6" fillId="0" borderId="16" xfId="4" applyFont="1" applyBorder="1" applyAlignment="1">
      <alignment horizontal="center" vertical="center"/>
    </xf>
    <xf numFmtId="0" fontId="6" fillId="0" borderId="17" xfId="4" applyFont="1" applyBorder="1" applyAlignment="1">
      <alignment horizontal="center" vertical="center"/>
    </xf>
    <xf numFmtId="4" fontId="5" fillId="0" borderId="21" xfId="4" applyNumberFormat="1" applyFont="1" applyBorder="1" applyAlignment="1">
      <alignment vertical="center"/>
    </xf>
    <xf numFmtId="0" fontId="24" fillId="0" borderId="0" xfId="0" applyFont="1" applyAlignment="1">
      <alignment vertical="center"/>
    </xf>
    <xf numFmtId="0" fontId="34" fillId="0" borderId="0" xfId="0" applyFont="1" applyAlignment="1">
      <alignment horizontal="centerContinuous" vertical="center" wrapText="1"/>
    </xf>
    <xf numFmtId="0" fontId="6" fillId="0" borderId="0" xfId="0" applyFont="1" applyAlignment="1">
      <alignment horizontal="left" vertical="center"/>
    </xf>
    <xf numFmtId="0" fontId="34" fillId="0" borderId="0" xfId="0" applyFont="1" applyAlignment="1">
      <alignment horizontal="left" vertical="center" wrapText="1"/>
    </xf>
    <xf numFmtId="0" fontId="35" fillId="0" borderId="0" xfId="0" applyFont="1" applyAlignment="1">
      <alignment horizontal="center" vertical="center"/>
    </xf>
    <xf numFmtId="0" fontId="26" fillId="5" borderId="21" xfId="0" applyFont="1" applyFill="1" applyBorder="1" applyAlignment="1">
      <alignment horizontal="center" vertical="center"/>
    </xf>
    <xf numFmtId="0" fontId="26" fillId="5" borderId="21" xfId="0" applyFont="1" applyFill="1" applyBorder="1" applyAlignment="1">
      <alignment horizontal="center" vertical="center" wrapText="1"/>
    </xf>
    <xf numFmtId="0" fontId="29" fillId="0" borderId="0" xfId="0" applyFont="1"/>
    <xf numFmtId="0" fontId="29" fillId="0" borderId="0" xfId="0" applyFont="1" applyAlignment="1">
      <alignment vertical="center"/>
    </xf>
    <xf numFmtId="0" fontId="8" fillId="0" borderId="21" xfId="0" applyFont="1" applyBorder="1" applyAlignment="1">
      <alignment horizontal="center" vertical="center"/>
    </xf>
    <xf numFmtId="0" fontId="35" fillId="0" borderId="0" xfId="0" applyFont="1"/>
    <xf numFmtId="0" fontId="35" fillId="0" borderId="0" xfId="0" applyFont="1" applyAlignment="1">
      <alignment vertical="center"/>
    </xf>
    <xf numFmtId="0" fontId="29" fillId="0" borderId="3" xfId="0" applyFont="1" applyBorder="1" applyAlignment="1">
      <alignment horizontal="center" vertical="center"/>
    </xf>
    <xf numFmtId="0" fontId="29" fillId="0" borderId="3" xfId="0" applyFont="1" applyBorder="1" applyAlignment="1">
      <alignment vertical="center"/>
    </xf>
    <xf numFmtId="49" fontId="29" fillId="0" borderId="3" xfId="0" applyNumberFormat="1" applyFont="1" applyBorder="1" applyAlignment="1">
      <alignment horizontal="center" vertical="center"/>
    </xf>
    <xf numFmtId="49" fontId="29" fillId="0" borderId="5" xfId="0" applyNumberFormat="1" applyFont="1" applyBorder="1" applyAlignment="1">
      <alignment horizontal="center" vertical="center"/>
    </xf>
    <xf numFmtId="4" fontId="36" fillId="0" borderId="5" xfId="0" applyNumberFormat="1" applyFont="1" applyBorder="1" applyAlignment="1">
      <alignment vertical="center"/>
    </xf>
    <xf numFmtId="4" fontId="29" fillId="0" borderId="5" xfId="0" applyNumberFormat="1" applyFont="1" applyBorder="1" applyAlignment="1">
      <alignment horizontal="center" vertical="center"/>
    </xf>
    <xf numFmtId="0" fontId="36" fillId="0" borderId="3" xfId="0" applyFont="1" applyBorder="1" applyAlignment="1">
      <alignment horizontal="center" vertical="center"/>
    </xf>
    <xf numFmtId="0" fontId="37" fillId="0" borderId="0" xfId="0" applyFont="1" applyAlignment="1">
      <alignment wrapText="1"/>
    </xf>
    <xf numFmtId="49" fontId="29" fillId="0" borderId="21" xfId="0" applyNumberFormat="1" applyFont="1" applyBorder="1" applyAlignment="1">
      <alignment horizontal="center" vertical="center"/>
    </xf>
    <xf numFmtId="4" fontId="29" fillId="0" borderId="21" xfId="0" applyNumberFormat="1" applyFont="1" applyBorder="1" applyAlignment="1">
      <alignment horizontal="center" vertical="center"/>
    </xf>
    <xf numFmtId="4" fontId="36" fillId="0" borderId="21" xfId="0" applyNumberFormat="1" applyFont="1" applyBorder="1" applyAlignment="1">
      <alignment vertical="center"/>
    </xf>
    <xf numFmtId="0" fontId="37" fillId="0" borderId="0" xfId="0" applyFont="1"/>
    <xf numFmtId="4" fontId="29" fillId="0" borderId="3" xfId="0" applyNumberFormat="1" applyFont="1" applyBorder="1" applyAlignment="1">
      <alignment horizontal="center" vertical="center"/>
    </xf>
    <xf numFmtId="4" fontId="29" fillId="0" borderId="3" xfId="0" applyNumberFormat="1" applyFont="1" applyBorder="1" applyAlignment="1">
      <alignment vertical="center"/>
    </xf>
    <xf numFmtId="0" fontId="29" fillId="0" borderId="5" xfId="0" applyFont="1" applyBorder="1" applyAlignment="1">
      <alignment horizontal="center" vertical="center"/>
    </xf>
    <xf numFmtId="0" fontId="29" fillId="0" borderId="5" xfId="0" applyFont="1" applyBorder="1" applyAlignment="1">
      <alignment vertical="center"/>
    </xf>
    <xf numFmtId="49" fontId="29" fillId="0" borderId="20" xfId="0" applyNumberFormat="1" applyFont="1" applyBorder="1" applyAlignment="1">
      <alignment horizontal="center" vertical="center"/>
    </xf>
    <xf numFmtId="4" fontId="29" fillId="0" borderId="5" xfId="0" applyNumberFormat="1" applyFont="1" applyBorder="1" applyAlignment="1">
      <alignment vertical="center"/>
    </xf>
    <xf numFmtId="0" fontId="37" fillId="0" borderId="0" xfId="0" applyFont="1" applyAlignment="1">
      <alignment vertical="center" wrapText="1"/>
    </xf>
    <xf numFmtId="49" fontId="29" fillId="0" borderId="19" xfId="0" applyNumberFormat="1" applyFont="1" applyBorder="1" applyAlignment="1">
      <alignment horizontal="center" vertical="center"/>
    </xf>
    <xf numFmtId="0" fontId="0" fillId="0" borderId="0" xfId="0" applyFont="1"/>
    <xf numFmtId="0" fontId="0" fillId="0" borderId="0" xfId="0" applyFont="1" applyAlignment="1">
      <alignment horizontal="centerContinuous"/>
    </xf>
    <xf numFmtId="0" fontId="4" fillId="0" borderId="12" xfId="0" applyFont="1" applyBorder="1"/>
    <xf numFmtId="4" fontId="4" fillId="0" borderId="11" xfId="0" applyNumberFormat="1" applyFont="1" applyBorder="1" applyAlignment="1">
      <alignment horizontal="right"/>
    </xf>
    <xf numFmtId="0" fontId="4" fillId="0" borderId="12" xfId="0" applyFont="1" applyBorder="1" applyAlignment="1">
      <alignment vertical="center" wrapText="1"/>
    </xf>
    <xf numFmtId="0" fontId="4" fillId="0" borderId="11" xfId="0" applyFont="1" applyBorder="1" applyAlignment="1">
      <alignment vertical="center" wrapText="1"/>
    </xf>
    <xf numFmtId="0" fontId="4" fillId="0" borderId="12" xfId="0" applyFont="1" applyBorder="1" applyAlignment="1">
      <alignment vertical="center"/>
    </xf>
    <xf numFmtId="0" fontId="3" fillId="0" borderId="12" xfId="0" applyFont="1" applyBorder="1"/>
    <xf numFmtId="0" fontId="4" fillId="0" borderId="11" xfId="0" applyFont="1" applyBorder="1"/>
    <xf numFmtId="0" fontId="3" fillId="0" borderId="11" xfId="0" applyFont="1" applyBorder="1"/>
    <xf numFmtId="4" fontId="3" fillId="0" borderId="11" xfId="0" applyNumberFormat="1" applyFont="1" applyBorder="1" applyAlignment="1">
      <alignment horizontal="right"/>
    </xf>
    <xf numFmtId="0" fontId="3" fillId="0" borderId="12" xfId="0" applyFont="1" applyBorder="1" applyAlignment="1">
      <alignment wrapText="1"/>
    </xf>
    <xf numFmtId="0" fontId="4" fillId="0" borderId="14" xfId="0" applyFont="1" applyBorder="1"/>
    <xf numFmtId="49" fontId="4" fillId="0" borderId="3" xfId="0" applyNumberFormat="1" applyFont="1" applyBorder="1"/>
    <xf numFmtId="0" fontId="4" fillId="0" borderId="12" xfId="0" applyFont="1" applyBorder="1" applyAlignment="1">
      <alignment wrapText="1"/>
    </xf>
    <xf numFmtId="0" fontId="4" fillId="0" borderId="4" xfId="0" applyFont="1" applyBorder="1" applyAlignment="1">
      <alignment vertical="center"/>
    </xf>
    <xf numFmtId="0" fontId="1" fillId="0" borderId="12" xfId="0" applyFont="1" applyBorder="1" applyAlignment="1">
      <alignment wrapText="1"/>
    </xf>
    <xf numFmtId="4" fontId="4" fillId="0" borderId="15" xfId="0" applyNumberFormat="1" applyFont="1" applyBorder="1"/>
    <xf numFmtId="0" fontId="3" fillId="0" borderId="14" xfId="0" applyFont="1" applyBorder="1"/>
    <xf numFmtId="0" fontId="4" fillId="0" borderId="15" xfId="0" applyFont="1" applyBorder="1"/>
    <xf numFmtId="0" fontId="4" fillId="0" borderId="11" xfId="0" applyFont="1" applyBorder="1" applyAlignment="1">
      <alignment vertical="center"/>
    </xf>
    <xf numFmtId="0" fontId="3" fillId="0" borderId="12" xfId="0" applyFont="1" applyBorder="1" applyAlignment="1">
      <alignment vertical="center" wrapText="1"/>
    </xf>
    <xf numFmtId="0" fontId="39" fillId="0" borderId="0" xfId="1" applyFont="1"/>
    <xf numFmtId="0" fontId="7" fillId="0" borderId="21" xfId="1" applyFont="1" applyBorder="1" applyAlignment="1">
      <alignment horizontal="center" vertical="center" wrapText="1"/>
    </xf>
    <xf numFmtId="4" fontId="26" fillId="0" borderId="21" xfId="1" applyNumberFormat="1" applyFont="1" applyBorder="1" applyAlignment="1">
      <alignment horizontal="right" vertical="center" wrapText="1"/>
    </xf>
    <xf numFmtId="3" fontId="26" fillId="0" borderId="0" xfId="1" applyNumberFormat="1" applyFont="1"/>
    <xf numFmtId="0" fontId="26" fillId="0" borderId="0" xfId="1" applyFont="1"/>
    <xf numFmtId="3" fontId="27" fillId="0" borderId="21" xfId="1" applyNumberFormat="1" applyFont="1" applyBorder="1" applyAlignment="1">
      <alignment horizontal="center" vertical="center" wrapText="1"/>
    </xf>
    <xf numFmtId="1" fontId="40" fillId="0" borderId="21" xfId="1" applyNumberFormat="1" applyFont="1" applyBorder="1" applyAlignment="1">
      <alignment horizontal="center" vertical="center" wrapText="1"/>
    </xf>
    <xf numFmtId="3" fontId="28" fillId="2" borderId="21" xfId="1" applyNumberFormat="1" applyFont="1" applyFill="1" applyBorder="1" applyAlignment="1">
      <alignment horizontal="center" vertical="center" wrapText="1"/>
    </xf>
    <xf numFmtId="0" fontId="3" fillId="3" borderId="0" xfId="1" applyFont="1" applyFill="1"/>
    <xf numFmtId="3" fontId="28" fillId="0" borderId="1" xfId="1" applyNumberFormat="1" applyFont="1" applyBorder="1" applyAlignment="1">
      <alignment horizontal="center" vertical="center" wrapText="1"/>
    </xf>
    <xf numFmtId="0" fontId="41" fillId="0" borderId="19" xfId="1" applyFont="1" applyBorder="1" applyAlignment="1">
      <alignment vertical="center" wrapText="1"/>
    </xf>
    <xf numFmtId="3" fontId="28" fillId="0" borderId="3" xfId="1" applyNumberFormat="1" applyFont="1" applyBorder="1" applyAlignment="1">
      <alignment horizontal="center" vertical="center" wrapText="1"/>
    </xf>
    <xf numFmtId="3" fontId="28" fillId="0" borderId="23" xfId="1" applyNumberFormat="1" applyFont="1" applyBorder="1" applyAlignment="1">
      <alignment horizontal="center" vertical="center" wrapText="1"/>
    </xf>
    <xf numFmtId="0" fontId="24" fillId="0" borderId="0" xfId="3" applyFont="1" applyAlignment="1">
      <alignment vertical="center"/>
    </xf>
    <xf numFmtId="0" fontId="24" fillId="0" borderId="0" xfId="3" applyFont="1"/>
    <xf numFmtId="0" fontId="24" fillId="0" borderId="21" xfId="3" applyFont="1" applyBorder="1" applyAlignment="1">
      <alignment vertical="center"/>
    </xf>
    <xf numFmtId="4" fontId="24" fillId="0" borderId="21" xfId="3" applyNumberFormat="1" applyFont="1" applyBorder="1" applyAlignment="1">
      <alignment vertical="center"/>
    </xf>
    <xf numFmtId="0" fontId="24" fillId="0" borderId="20" xfId="3" applyFont="1" applyBorder="1" applyAlignment="1">
      <alignment vertical="center"/>
    </xf>
    <xf numFmtId="4" fontId="24" fillId="0" borderId="5" xfId="3" applyNumberFormat="1" applyFont="1" applyBorder="1" applyAlignment="1">
      <alignment vertical="center"/>
    </xf>
    <xf numFmtId="0" fontId="21" fillId="0" borderId="6" xfId="3" applyFont="1" applyBorder="1" applyAlignment="1">
      <alignment horizontal="centerContinuous" vertical="center"/>
    </xf>
    <xf numFmtId="0" fontId="21" fillId="0" borderId="26" xfId="3" applyFont="1" applyBorder="1" applyAlignment="1">
      <alignment horizontal="centerContinuous" vertical="center"/>
    </xf>
    <xf numFmtId="0" fontId="21" fillId="0" borderId="20" xfId="3" applyFont="1" applyBorder="1" applyAlignment="1">
      <alignment horizontal="centerContinuous" vertical="center"/>
    </xf>
    <xf numFmtId="4" fontId="21" fillId="0" borderId="5" xfId="3" applyNumberFormat="1" applyFont="1" applyBorder="1" applyAlignment="1">
      <alignment vertical="center"/>
    </xf>
    <xf numFmtId="0" fontId="24" fillId="0" borderId="0" xfId="4" applyFont="1"/>
    <xf numFmtId="0" fontId="5" fillId="0" borderId="16" xfId="4" applyFont="1" applyBorder="1" applyAlignment="1">
      <alignment horizontal="left" vertical="center"/>
    </xf>
    <xf numFmtId="0" fontId="5" fillId="0" borderId="17" xfId="4" applyFont="1" applyBorder="1" applyAlignment="1">
      <alignment horizontal="left" vertical="center"/>
    </xf>
    <xf numFmtId="0" fontId="5" fillId="0" borderId="18" xfId="4" applyFont="1" applyBorder="1" applyAlignment="1">
      <alignment horizontal="left" vertical="center"/>
    </xf>
    <xf numFmtId="0" fontId="10" fillId="0" borderId="16" xfId="4" applyFont="1" applyBorder="1" applyAlignment="1">
      <alignment horizontal="center"/>
    </xf>
    <xf numFmtId="0" fontId="10" fillId="0" borderId="17" xfId="4" applyFont="1" applyBorder="1" applyAlignment="1">
      <alignment horizontal="center"/>
    </xf>
    <xf numFmtId="4" fontId="10" fillId="0" borderId="21" xfId="4" applyNumberFormat="1" applyFont="1" applyBorder="1"/>
    <xf numFmtId="0" fontId="31" fillId="0" borderId="0" xfId="4" applyFont="1" applyAlignment="1">
      <alignment vertical="center"/>
    </xf>
    <xf numFmtId="3" fontId="24" fillId="0" borderId="0" xfId="4" applyNumberFormat="1" applyFont="1"/>
    <xf numFmtId="4" fontId="24" fillId="0" borderId="0" xfId="4" applyNumberFormat="1" applyFont="1"/>
    <xf numFmtId="0" fontId="0" fillId="0" borderId="0" xfId="0" applyFont="1" applyAlignment="1">
      <alignment vertical="center"/>
    </xf>
    <xf numFmtId="0" fontId="21" fillId="0" borderId="25" xfId="0" applyFont="1" applyBorder="1" applyAlignment="1">
      <alignment vertical="center" wrapText="1"/>
    </xf>
    <xf numFmtId="3" fontId="0" fillId="0" borderId="25" xfId="0" applyNumberFormat="1" applyFont="1" applyBorder="1" applyAlignment="1">
      <alignment vertical="center"/>
    </xf>
    <xf numFmtId="0" fontId="0" fillId="0" borderId="3" xfId="0" applyFont="1" applyBorder="1" applyAlignment="1">
      <alignment horizontal="center" vertical="center"/>
    </xf>
    <xf numFmtId="4" fontId="0" fillId="0" borderId="1" xfId="0" applyNumberFormat="1" applyFont="1" applyBorder="1" applyAlignment="1">
      <alignment vertical="center"/>
    </xf>
    <xf numFmtId="4" fontId="0" fillId="0" borderId="3" xfId="0" applyNumberFormat="1" applyFont="1" applyBorder="1" applyAlignment="1">
      <alignment vertical="center"/>
    </xf>
    <xf numFmtId="4" fontId="0" fillId="0" borderId="3" xfId="0" applyNumberFormat="1" applyFont="1" applyBorder="1" applyAlignment="1">
      <alignment vertical="top"/>
    </xf>
    <xf numFmtId="4" fontId="0" fillId="0" borderId="3" xfId="0" applyNumberFormat="1" applyFont="1" applyBorder="1" applyAlignment="1">
      <alignment horizontal="right" vertical="center"/>
    </xf>
    <xf numFmtId="0" fontId="0" fillId="0" borderId="3" xfId="0" applyFont="1" applyBorder="1" applyAlignment="1">
      <alignment horizontal="center" vertical="top"/>
    </xf>
    <xf numFmtId="0" fontId="0" fillId="0" borderId="5" xfId="0" applyFont="1" applyBorder="1" applyAlignment="1">
      <alignment horizontal="center" vertical="top"/>
    </xf>
    <xf numFmtId="4" fontId="0" fillId="0" borderId="5" xfId="0" applyNumberFormat="1" applyFont="1" applyBorder="1" applyAlignment="1">
      <alignment vertical="top"/>
    </xf>
    <xf numFmtId="0" fontId="0" fillId="0" borderId="21" xfId="0" applyFont="1" applyBorder="1" applyAlignment="1">
      <alignment vertical="center"/>
    </xf>
    <xf numFmtId="4" fontId="0" fillId="0" borderId="21" xfId="0" applyNumberFormat="1" applyFont="1" applyBorder="1" applyAlignment="1">
      <alignment vertical="center"/>
    </xf>
    <xf numFmtId="0" fontId="0" fillId="0" borderId="5" xfId="0" applyFont="1" applyBorder="1" applyAlignment="1">
      <alignment horizontal="center" vertical="center"/>
    </xf>
    <xf numFmtId="4" fontId="0" fillId="0" borderId="5" xfId="0" applyNumberFormat="1" applyFont="1" applyBorder="1" applyAlignment="1">
      <alignment vertical="center"/>
    </xf>
    <xf numFmtId="4" fontId="0" fillId="0" borderId="5" xfId="0" applyNumberFormat="1" applyFont="1" applyBorder="1" applyAlignment="1">
      <alignment horizontal="right" vertical="center"/>
    </xf>
    <xf numFmtId="0" fontId="0" fillId="4" borderId="5" xfId="0" applyFont="1" applyFill="1" applyBorder="1" applyAlignment="1">
      <alignment vertical="center"/>
    </xf>
    <xf numFmtId="0" fontId="21" fillId="4" borderId="21" xfId="0" applyFont="1" applyFill="1" applyBorder="1" applyAlignment="1">
      <alignment horizontal="left" vertical="center" indent="2"/>
    </xf>
    <xf numFmtId="4" fontId="21" fillId="4" borderId="5" xfId="0" applyNumberFormat="1" applyFont="1" applyFill="1" applyBorder="1" applyAlignment="1">
      <alignment vertical="center"/>
    </xf>
    <xf numFmtId="0" fontId="0" fillId="4" borderId="0" xfId="0" applyFont="1" applyFill="1"/>
    <xf numFmtId="0" fontId="4" fillId="0" borderId="0" xfId="0" applyFont="1"/>
    <xf numFmtId="0" fontId="1" fillId="0" borderId="0" xfId="0" applyFont="1" applyAlignment="1">
      <alignment vertical="center"/>
    </xf>
    <xf numFmtId="4" fontId="42" fillId="0" borderId="3" xfId="0" applyNumberFormat="1" applyFont="1" applyBorder="1" applyAlignment="1">
      <alignment vertical="center"/>
    </xf>
    <xf numFmtId="0" fontId="29" fillId="0" borderId="3" xfId="0" applyFont="1" applyBorder="1"/>
    <xf numFmtId="0" fontId="29" fillId="0" borderId="3" xfId="0" applyFont="1" applyBorder="1" applyAlignment="1">
      <alignment wrapText="1"/>
    </xf>
    <xf numFmtId="0" fontId="26" fillId="0" borderId="16" xfId="0" applyFont="1" applyBorder="1" applyAlignment="1">
      <alignment horizontal="center" vertical="center"/>
    </xf>
    <xf numFmtId="0" fontId="38" fillId="0" borderId="17" xfId="0" applyFont="1" applyBorder="1" applyAlignment="1">
      <alignment horizontal="right" vertical="center"/>
    </xf>
    <xf numFmtId="0" fontId="0" fillId="0" borderId="17" xfId="0" applyFont="1" applyBorder="1" applyAlignment="1">
      <alignment horizontal="center" vertical="center"/>
    </xf>
    <xf numFmtId="4" fontId="26" fillId="0" borderId="18" xfId="0" applyNumberFormat="1" applyFont="1" applyBorder="1" applyAlignment="1">
      <alignment vertical="center"/>
    </xf>
    <xf numFmtId="4" fontId="26" fillId="0" borderId="21" xfId="0" applyNumberFormat="1" applyFont="1" applyBorder="1" applyAlignment="1">
      <alignment vertical="center"/>
    </xf>
    <xf numFmtId="0" fontId="31" fillId="0" borderId="0" xfId="0" applyFont="1" applyAlignment="1">
      <alignment vertical="center"/>
    </xf>
    <xf numFmtId="0" fontId="7" fillId="0" borderId="21" xfId="1" applyFont="1" applyBorder="1" applyAlignment="1">
      <alignment horizontal="center" vertical="center"/>
    </xf>
  </cellXfs>
  <cellStyles count="5">
    <cellStyle name="Normalny" xfId="0" builtinId="0"/>
    <cellStyle name="Normalny 2" xfId="1" xr:uid="{3E5AEE1C-F91E-4AAF-AAFA-90BB5EE268E9}"/>
    <cellStyle name="Normalny 3" xfId="2" xr:uid="{8035E706-3609-45A5-8653-50F45A0D7048}"/>
    <cellStyle name="Normalny 3 2" xfId="4" xr:uid="{8F35D57D-FE91-4648-BD47-41A233E6224F}"/>
    <cellStyle name="Normalny 4" xfId="3" xr:uid="{830BA60A-744B-4991-907E-00A3C355BF9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600120</xdr:colOff>
      <xdr:row>29</xdr:row>
      <xdr:rowOff>360</xdr:rowOff>
    </xdr:from>
    <xdr:to>
      <xdr:col>3</xdr:col>
      <xdr:colOff>784080</xdr:colOff>
      <xdr:row>29</xdr:row>
      <xdr:rowOff>264240</xdr:rowOff>
    </xdr:to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DB31ED57-519B-4CFB-BF45-12A72A2FB09E}"/>
            </a:ext>
          </a:extLst>
        </xdr:cNvPr>
        <xdr:cNvSpPr/>
      </xdr:nvSpPr>
      <xdr:spPr>
        <a:xfrm>
          <a:off x="1428795" y="6182085"/>
          <a:ext cx="183960" cy="2638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600120</xdr:colOff>
      <xdr:row>29</xdr:row>
      <xdr:rowOff>360</xdr:rowOff>
    </xdr:from>
    <xdr:to>
      <xdr:col>3</xdr:col>
      <xdr:colOff>784080</xdr:colOff>
      <xdr:row>29</xdr:row>
      <xdr:rowOff>264240</xdr:rowOff>
    </xdr:to>
    <xdr:sp macro="" textlink="">
      <xdr:nvSpPr>
        <xdr:cNvPr id="3" name="pole tekstowe 2">
          <a:extLst>
            <a:ext uri="{FF2B5EF4-FFF2-40B4-BE49-F238E27FC236}">
              <a16:creationId xmlns:a16="http://schemas.microsoft.com/office/drawing/2014/main" id="{EEE76138-55C0-472E-9D8A-AEE2497D9F69}"/>
            </a:ext>
          </a:extLst>
        </xdr:cNvPr>
        <xdr:cNvSpPr/>
      </xdr:nvSpPr>
      <xdr:spPr>
        <a:xfrm>
          <a:off x="1428795" y="6182085"/>
          <a:ext cx="183960" cy="2638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600120</xdr:colOff>
      <xdr:row>26</xdr:row>
      <xdr:rowOff>0</xdr:rowOff>
    </xdr:from>
    <xdr:to>
      <xdr:col>3</xdr:col>
      <xdr:colOff>784080</xdr:colOff>
      <xdr:row>26</xdr:row>
      <xdr:rowOff>261495</xdr:rowOff>
    </xdr:to>
    <xdr:sp macro="" textlink="">
      <xdr:nvSpPr>
        <xdr:cNvPr id="4" name="pole tekstowe 3">
          <a:extLst>
            <a:ext uri="{FF2B5EF4-FFF2-40B4-BE49-F238E27FC236}">
              <a16:creationId xmlns:a16="http://schemas.microsoft.com/office/drawing/2014/main" id="{441A6ABA-3597-4C1C-964F-9E130AE2B6DB}"/>
            </a:ext>
          </a:extLst>
        </xdr:cNvPr>
        <xdr:cNvSpPr/>
      </xdr:nvSpPr>
      <xdr:spPr>
        <a:xfrm>
          <a:off x="1428795" y="5067300"/>
          <a:ext cx="183960" cy="261495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600120</xdr:colOff>
      <xdr:row>26</xdr:row>
      <xdr:rowOff>0</xdr:rowOff>
    </xdr:from>
    <xdr:to>
      <xdr:col>3</xdr:col>
      <xdr:colOff>784080</xdr:colOff>
      <xdr:row>26</xdr:row>
      <xdr:rowOff>263880</xdr:rowOff>
    </xdr:to>
    <xdr:sp macro="" textlink="">
      <xdr:nvSpPr>
        <xdr:cNvPr id="5" name="pole tekstowe 5">
          <a:extLst>
            <a:ext uri="{FF2B5EF4-FFF2-40B4-BE49-F238E27FC236}">
              <a16:creationId xmlns:a16="http://schemas.microsoft.com/office/drawing/2014/main" id="{6E6A1FF9-FCE6-4936-BC26-5C6F4425AF5F}"/>
            </a:ext>
          </a:extLst>
        </xdr:cNvPr>
        <xdr:cNvSpPr/>
      </xdr:nvSpPr>
      <xdr:spPr>
        <a:xfrm>
          <a:off x="1428795" y="5067300"/>
          <a:ext cx="183960" cy="2638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600120</xdr:colOff>
      <xdr:row>26</xdr:row>
      <xdr:rowOff>0</xdr:rowOff>
    </xdr:from>
    <xdr:to>
      <xdr:col>3</xdr:col>
      <xdr:colOff>784080</xdr:colOff>
      <xdr:row>26</xdr:row>
      <xdr:rowOff>263880</xdr:rowOff>
    </xdr:to>
    <xdr:sp macro="" textlink="">
      <xdr:nvSpPr>
        <xdr:cNvPr id="6" name="pole tekstowe 6">
          <a:extLst>
            <a:ext uri="{FF2B5EF4-FFF2-40B4-BE49-F238E27FC236}">
              <a16:creationId xmlns:a16="http://schemas.microsoft.com/office/drawing/2014/main" id="{FE6EDB5B-3514-41AD-A8AA-E3B7507EE795}"/>
            </a:ext>
          </a:extLst>
        </xdr:cNvPr>
        <xdr:cNvSpPr/>
      </xdr:nvSpPr>
      <xdr:spPr>
        <a:xfrm>
          <a:off x="1428795" y="5067300"/>
          <a:ext cx="183960" cy="2638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600120</xdr:colOff>
      <xdr:row>26</xdr:row>
      <xdr:rowOff>0</xdr:rowOff>
    </xdr:from>
    <xdr:to>
      <xdr:col>3</xdr:col>
      <xdr:colOff>784080</xdr:colOff>
      <xdr:row>26</xdr:row>
      <xdr:rowOff>258810</xdr:rowOff>
    </xdr:to>
    <xdr:sp macro="" textlink="">
      <xdr:nvSpPr>
        <xdr:cNvPr id="7" name="pole tekstowe 7">
          <a:extLst>
            <a:ext uri="{FF2B5EF4-FFF2-40B4-BE49-F238E27FC236}">
              <a16:creationId xmlns:a16="http://schemas.microsoft.com/office/drawing/2014/main" id="{609A925E-90FF-43D1-8586-ACF7737319F1}"/>
            </a:ext>
          </a:extLst>
        </xdr:cNvPr>
        <xdr:cNvSpPr/>
      </xdr:nvSpPr>
      <xdr:spPr>
        <a:xfrm>
          <a:off x="1428795" y="5067300"/>
          <a:ext cx="183960" cy="25881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600120</xdr:colOff>
      <xdr:row>26</xdr:row>
      <xdr:rowOff>0</xdr:rowOff>
    </xdr:from>
    <xdr:to>
      <xdr:col>3</xdr:col>
      <xdr:colOff>784080</xdr:colOff>
      <xdr:row>26</xdr:row>
      <xdr:rowOff>258810</xdr:rowOff>
    </xdr:to>
    <xdr:sp macro="" textlink="">
      <xdr:nvSpPr>
        <xdr:cNvPr id="8" name="pole tekstowe 8">
          <a:extLst>
            <a:ext uri="{FF2B5EF4-FFF2-40B4-BE49-F238E27FC236}">
              <a16:creationId xmlns:a16="http://schemas.microsoft.com/office/drawing/2014/main" id="{C4B26FBD-8576-482E-9C56-282196212EE9}"/>
            </a:ext>
          </a:extLst>
        </xdr:cNvPr>
        <xdr:cNvSpPr/>
      </xdr:nvSpPr>
      <xdr:spPr>
        <a:xfrm>
          <a:off x="1428795" y="5067300"/>
          <a:ext cx="183960" cy="25881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7398DD-414A-4B93-8505-6564F8354253}">
  <dimension ref="A1:H632"/>
  <sheetViews>
    <sheetView tabSelected="1" zoomScale="140" zoomScaleNormal="140" workbookViewId="0"/>
  </sheetViews>
  <sheetFormatPr defaultRowHeight="15" x14ac:dyDescent="0.25"/>
  <cols>
    <col min="1" max="1" width="4.140625" style="374" customWidth="1"/>
    <col min="2" max="2" width="6" style="374" customWidth="1"/>
    <col min="3" max="3" width="5" style="374" customWidth="1"/>
    <col min="4" max="4" width="39.5703125" style="374" customWidth="1"/>
    <col min="5" max="5" width="13" style="374" customWidth="1"/>
    <col min="6" max="6" width="10.5703125" style="374" customWidth="1"/>
    <col min="7" max="7" width="10.28515625" style="374" customWidth="1"/>
    <col min="8" max="8" width="13" style="374" customWidth="1"/>
    <col min="9" max="9" width="10.28515625" style="374" customWidth="1"/>
    <col min="10" max="16384" width="9.140625" style="374"/>
  </cols>
  <sheetData>
    <row r="1" spans="1:8" ht="12.75" customHeight="1" x14ac:dyDescent="0.25">
      <c r="A1" s="2"/>
      <c r="B1" s="2"/>
      <c r="C1" s="3"/>
      <c r="D1" s="4"/>
      <c r="E1" s="4"/>
      <c r="F1" s="4" t="s">
        <v>0</v>
      </c>
      <c r="G1" s="2"/>
      <c r="H1" s="2"/>
    </row>
    <row r="2" spans="1:8" ht="12.75" customHeight="1" x14ac:dyDescent="0.25">
      <c r="A2" s="2"/>
      <c r="B2" s="2"/>
      <c r="C2" s="3"/>
      <c r="D2" s="4"/>
      <c r="E2" s="4"/>
      <c r="F2" s="4" t="s">
        <v>264</v>
      </c>
      <c r="G2" s="2"/>
      <c r="H2" s="2"/>
    </row>
    <row r="3" spans="1:8" ht="12.75" customHeight="1" x14ac:dyDescent="0.25">
      <c r="A3" s="2"/>
      <c r="B3" s="2"/>
      <c r="C3" s="3"/>
      <c r="D3" s="4"/>
      <c r="E3" s="4"/>
      <c r="F3" s="4" t="s">
        <v>1</v>
      </c>
      <c r="G3" s="2"/>
      <c r="H3" s="2"/>
    </row>
    <row r="4" spans="1:8" ht="12.75" customHeight="1" x14ac:dyDescent="0.25">
      <c r="A4" s="2"/>
      <c r="B4" s="2"/>
      <c r="C4" s="3"/>
      <c r="D4" s="4"/>
      <c r="E4" s="4"/>
      <c r="F4" s="4" t="s">
        <v>265</v>
      </c>
      <c r="G4" s="2"/>
      <c r="H4" s="2"/>
    </row>
    <row r="5" spans="1:8" ht="39" customHeight="1" x14ac:dyDescent="0.25">
      <c r="A5" s="5" t="s">
        <v>2</v>
      </c>
      <c r="B5" s="375"/>
      <c r="C5" s="6"/>
      <c r="D5" s="6"/>
      <c r="E5" s="375"/>
      <c r="F5" s="375"/>
      <c r="G5" s="7"/>
      <c r="H5" s="375"/>
    </row>
    <row r="6" spans="1:8" ht="15.75" customHeight="1" x14ac:dyDescent="0.25">
      <c r="A6" s="2"/>
      <c r="B6" s="2"/>
      <c r="C6" s="3"/>
      <c r="D6" s="3"/>
      <c r="E6" s="8"/>
      <c r="F6" s="2"/>
      <c r="G6" s="9"/>
      <c r="H6" s="10" t="s">
        <v>3</v>
      </c>
    </row>
    <row r="7" spans="1:8" s="1" customFormat="1" ht="11.25" x14ac:dyDescent="0.2">
      <c r="A7" s="11"/>
      <c r="B7" s="11"/>
      <c r="C7" s="12"/>
      <c r="D7" s="13"/>
      <c r="E7" s="14" t="s">
        <v>4</v>
      </c>
      <c r="F7" s="15"/>
      <c r="G7" s="16"/>
      <c r="H7" s="14" t="s">
        <v>4</v>
      </c>
    </row>
    <row r="8" spans="1:8" s="1" customFormat="1" ht="11.25" x14ac:dyDescent="0.2">
      <c r="A8" s="17" t="s">
        <v>5</v>
      </c>
      <c r="B8" s="17" t="s">
        <v>6</v>
      </c>
      <c r="C8" s="18" t="s">
        <v>7</v>
      </c>
      <c r="D8" s="19" t="s">
        <v>8</v>
      </c>
      <c r="E8" s="17" t="s">
        <v>9</v>
      </c>
      <c r="F8" s="20" t="s">
        <v>10</v>
      </c>
      <c r="G8" s="17" t="s">
        <v>11</v>
      </c>
      <c r="H8" s="17" t="s">
        <v>12</v>
      </c>
    </row>
    <row r="9" spans="1:8" s="1" customFormat="1" ht="4.5" customHeight="1" x14ac:dyDescent="0.2">
      <c r="A9" s="21"/>
      <c r="B9" s="21"/>
      <c r="C9" s="22"/>
      <c r="D9" s="23"/>
      <c r="E9" s="21"/>
      <c r="F9" s="24"/>
      <c r="G9" s="24"/>
      <c r="H9" s="21"/>
    </row>
    <row r="10" spans="1:8" s="1" customFormat="1" ht="21" customHeight="1" thickBot="1" x14ac:dyDescent="0.25">
      <c r="A10" s="26"/>
      <c r="B10" s="26"/>
      <c r="C10" s="27"/>
      <c r="D10" s="28" t="s">
        <v>13</v>
      </c>
      <c r="E10" s="29">
        <v>801610994.93999982</v>
      </c>
      <c r="F10" s="29">
        <f>SUM(F11,F24,F53)</f>
        <v>1581384.4</v>
      </c>
      <c r="G10" s="29">
        <f>SUM(G11,G24,G53)</f>
        <v>0</v>
      </c>
      <c r="H10" s="29">
        <f>SUM(E10+F10-G10)</f>
        <v>803192379.33999979</v>
      </c>
    </row>
    <row r="11" spans="1:8" s="1" customFormat="1" ht="21.75" customHeight="1" thickBot="1" x14ac:dyDescent="0.25">
      <c r="A11" s="26"/>
      <c r="B11" s="26"/>
      <c r="C11" s="27"/>
      <c r="D11" s="30" t="s">
        <v>14</v>
      </c>
      <c r="E11" s="31">
        <v>703186490.44999993</v>
      </c>
      <c r="F11" s="31">
        <f>SUM(F12,F16,F20)</f>
        <v>219031</v>
      </c>
      <c r="G11" s="31">
        <f>SUM(G16)</f>
        <v>0</v>
      </c>
      <c r="H11" s="31">
        <f>SUM(E11+F11-G11)</f>
        <v>703405521.44999993</v>
      </c>
    </row>
    <row r="12" spans="1:8" s="1" customFormat="1" ht="21.75" customHeight="1" thickTop="1" thickBot="1" x14ac:dyDescent="0.25">
      <c r="A12" s="32">
        <v>750</v>
      </c>
      <c r="B12" s="33"/>
      <c r="C12" s="34"/>
      <c r="D12" s="35" t="s">
        <v>15</v>
      </c>
      <c r="E12" s="36">
        <v>26523348.91</v>
      </c>
      <c r="F12" s="36">
        <f>SUM(F13)</f>
        <v>960</v>
      </c>
      <c r="G12" s="36">
        <f>SUM(G13,G16)</f>
        <v>0</v>
      </c>
      <c r="H12" s="36">
        <f>SUM(E12+F12-G12)</f>
        <v>26524308.91</v>
      </c>
    </row>
    <row r="13" spans="1:8" s="1" customFormat="1" ht="12" customHeight="1" thickTop="1" x14ac:dyDescent="0.2">
      <c r="A13" s="26"/>
      <c r="B13" s="45">
        <v>75045</v>
      </c>
      <c r="C13" s="27"/>
      <c r="D13" s="46" t="s">
        <v>16</v>
      </c>
      <c r="E13" s="39">
        <v>28740</v>
      </c>
      <c r="F13" s="40">
        <f t="shared" ref="F13:G13" si="0">SUM(F14)</f>
        <v>960</v>
      </c>
      <c r="G13" s="40">
        <f t="shared" si="0"/>
        <v>0</v>
      </c>
      <c r="H13" s="39">
        <f>SUM(E13+F13-G13)</f>
        <v>29700</v>
      </c>
    </row>
    <row r="14" spans="1:8" s="1" customFormat="1" ht="12" customHeight="1" x14ac:dyDescent="0.2">
      <c r="A14" s="26"/>
      <c r="B14" s="45"/>
      <c r="C14" s="27"/>
      <c r="D14" s="376" t="s">
        <v>17</v>
      </c>
      <c r="E14" s="85">
        <v>28740</v>
      </c>
      <c r="F14" s="377">
        <f>SUM(F15)</f>
        <v>960</v>
      </c>
      <c r="G14" s="377">
        <f>SUM(G15)</f>
        <v>0</v>
      </c>
      <c r="H14" s="85">
        <f t="shared" ref="H14:H15" si="1">SUM(E14+F14-G14)</f>
        <v>29700</v>
      </c>
    </row>
    <row r="15" spans="1:8" s="1" customFormat="1" ht="34.5" customHeight="1" x14ac:dyDescent="0.2">
      <c r="A15" s="26"/>
      <c r="B15" s="33"/>
      <c r="C15" s="41" t="s">
        <v>18</v>
      </c>
      <c r="D15" s="47" t="s">
        <v>19</v>
      </c>
      <c r="E15" s="43">
        <v>28740</v>
      </c>
      <c r="F15" s="43">
        <v>960</v>
      </c>
      <c r="G15" s="44"/>
      <c r="H15" s="43">
        <f t="shared" si="1"/>
        <v>29700</v>
      </c>
    </row>
    <row r="16" spans="1:8" s="1" customFormat="1" ht="12" customHeight="1" thickBot="1" x14ac:dyDescent="0.25">
      <c r="A16" s="200">
        <v>758</v>
      </c>
      <c r="B16" s="17"/>
      <c r="C16" s="17"/>
      <c r="D16" s="201" t="s">
        <v>51</v>
      </c>
      <c r="E16" s="31">
        <v>190099248</v>
      </c>
      <c r="F16" s="36">
        <f>SUM(F17)</f>
        <v>208945</v>
      </c>
      <c r="G16" s="36">
        <f t="shared" ref="F16:G17" si="2">SUM(G17)</f>
        <v>0</v>
      </c>
      <c r="H16" s="31">
        <f t="shared" ref="H16:H19" si="3">SUM(E16+F16-G16)</f>
        <v>190308193</v>
      </c>
    </row>
    <row r="17" spans="1:8" s="1" customFormat="1" ht="12" customHeight="1" thickTop="1" x14ac:dyDescent="0.2">
      <c r="A17" s="200"/>
      <c r="B17" s="27" t="s">
        <v>202</v>
      </c>
      <c r="C17" s="50"/>
      <c r="D17" s="38" t="s">
        <v>203</v>
      </c>
      <c r="E17" s="39">
        <v>55248</v>
      </c>
      <c r="F17" s="40">
        <f t="shared" si="2"/>
        <v>208945</v>
      </c>
      <c r="G17" s="40">
        <f t="shared" si="2"/>
        <v>0</v>
      </c>
      <c r="H17" s="39">
        <f t="shared" si="3"/>
        <v>264193</v>
      </c>
    </row>
    <row r="18" spans="1:8" s="1" customFormat="1" ht="21" customHeight="1" x14ac:dyDescent="0.2">
      <c r="A18" s="26"/>
      <c r="B18" s="202"/>
      <c r="C18" s="27"/>
      <c r="D18" s="378" t="s">
        <v>204</v>
      </c>
      <c r="E18" s="85">
        <v>55248</v>
      </c>
      <c r="F18" s="377">
        <f>SUM(F19:F19)</f>
        <v>208945</v>
      </c>
      <c r="G18" s="377">
        <f>SUM(G19:G19)</f>
        <v>0</v>
      </c>
      <c r="H18" s="85">
        <f t="shared" si="3"/>
        <v>264193</v>
      </c>
    </row>
    <row r="19" spans="1:8" s="1" customFormat="1" ht="45.75" customHeight="1" x14ac:dyDescent="0.2">
      <c r="A19" s="26"/>
      <c r="B19" s="50"/>
      <c r="C19" s="41" t="s">
        <v>205</v>
      </c>
      <c r="D19" s="42" t="s">
        <v>206</v>
      </c>
      <c r="E19" s="58">
        <v>55248</v>
      </c>
      <c r="F19" s="58">
        <f>183549+25396</f>
        <v>208945</v>
      </c>
      <c r="G19" s="58"/>
      <c r="H19" s="69">
        <f t="shared" si="3"/>
        <v>264193</v>
      </c>
    </row>
    <row r="20" spans="1:8" s="1" customFormat="1" ht="12.75" customHeight="1" thickBot="1" x14ac:dyDescent="0.25">
      <c r="A20" s="33">
        <v>855</v>
      </c>
      <c r="B20" s="33"/>
      <c r="C20" s="34"/>
      <c r="D20" s="35" t="s">
        <v>33</v>
      </c>
      <c r="E20" s="36">
        <v>1900350</v>
      </c>
      <c r="F20" s="36">
        <f>SUM(F21)</f>
        <v>9126</v>
      </c>
      <c r="G20" s="36">
        <f>SUM(G21)</f>
        <v>0</v>
      </c>
      <c r="H20" s="36">
        <f>SUM(E20+F20-G20)</f>
        <v>1909476</v>
      </c>
    </row>
    <row r="21" spans="1:8" s="1" customFormat="1" ht="33" customHeight="1" thickTop="1" x14ac:dyDescent="0.2">
      <c r="A21" s="37"/>
      <c r="B21" s="59">
        <v>85502</v>
      </c>
      <c r="C21" s="27"/>
      <c r="D21" s="65" t="s">
        <v>207</v>
      </c>
      <c r="E21" s="39">
        <v>440025</v>
      </c>
      <c r="F21" s="40">
        <f t="shared" ref="F21:G21" si="4">SUM(F22)</f>
        <v>9126</v>
      </c>
      <c r="G21" s="40">
        <f t="shared" si="4"/>
        <v>0</v>
      </c>
      <c r="H21" s="39">
        <f>SUM(E21+F21-G21)</f>
        <v>449151</v>
      </c>
    </row>
    <row r="22" spans="1:8" s="1" customFormat="1" ht="12.75" customHeight="1" x14ac:dyDescent="0.2">
      <c r="A22" s="25"/>
      <c r="B22" s="33"/>
      <c r="C22" s="49"/>
      <c r="D22" s="379" t="s">
        <v>208</v>
      </c>
      <c r="E22" s="85">
        <v>9095</v>
      </c>
      <c r="F22" s="377">
        <f>SUM(F23:F23)</f>
        <v>9126</v>
      </c>
      <c r="G22" s="377">
        <f>SUM(G23:G23)</f>
        <v>0</v>
      </c>
      <c r="H22" s="85">
        <f t="shared" ref="H22:H23" si="5">SUM(E22+F22-G22)</f>
        <v>18221</v>
      </c>
    </row>
    <row r="23" spans="1:8" s="1" customFormat="1" ht="46.5" customHeight="1" x14ac:dyDescent="0.2">
      <c r="A23" s="25"/>
      <c r="B23" s="33"/>
      <c r="C23" s="41" t="s">
        <v>205</v>
      </c>
      <c r="D23" s="42" t="s">
        <v>206</v>
      </c>
      <c r="E23" s="43">
        <v>9095</v>
      </c>
      <c r="F23" s="43">
        <v>9126</v>
      </c>
      <c r="G23" s="44"/>
      <c r="H23" s="43">
        <f t="shared" si="5"/>
        <v>18221</v>
      </c>
    </row>
    <row r="24" spans="1:8" s="1" customFormat="1" ht="21" customHeight="1" thickBot="1" x14ac:dyDescent="0.25">
      <c r="A24" s="26"/>
      <c r="B24" s="26"/>
      <c r="C24" s="27"/>
      <c r="D24" s="30" t="s">
        <v>27</v>
      </c>
      <c r="E24" s="31">
        <v>79886623.689999998</v>
      </c>
      <c r="F24" s="36">
        <f>SUM(F25,F30,F36,F49)</f>
        <v>1282545.3999999999</v>
      </c>
      <c r="G24" s="36">
        <f>SUM(G25,G30,G36,G49)</f>
        <v>0</v>
      </c>
      <c r="H24" s="31">
        <f t="shared" ref="H24:H53" si="6">SUM(E24+F24-G24)</f>
        <v>81169169.090000004</v>
      </c>
    </row>
    <row r="25" spans="1:8" s="1" customFormat="1" ht="16.5" customHeight="1" thickTop="1" thickBot="1" x14ac:dyDescent="0.25">
      <c r="A25" s="33">
        <v>750</v>
      </c>
      <c r="B25" s="33"/>
      <c r="C25" s="34"/>
      <c r="D25" s="35" t="s">
        <v>15</v>
      </c>
      <c r="E25" s="36">
        <v>1668642.96</v>
      </c>
      <c r="F25" s="36">
        <f t="shared" ref="F25:G26" si="7">SUM(F26)</f>
        <v>5773.4</v>
      </c>
      <c r="G25" s="36">
        <f t="shared" si="7"/>
        <v>0</v>
      </c>
      <c r="H25" s="36">
        <f t="shared" si="6"/>
        <v>1674416.3599999999</v>
      </c>
    </row>
    <row r="26" spans="1:8" s="1" customFormat="1" ht="12" customHeight="1" thickTop="1" x14ac:dyDescent="0.2">
      <c r="A26" s="33"/>
      <c r="B26" s="50">
        <v>75011</v>
      </c>
      <c r="C26" s="50"/>
      <c r="D26" s="51" t="s">
        <v>28</v>
      </c>
      <c r="E26" s="39">
        <v>1668642.96</v>
      </c>
      <c r="F26" s="40">
        <f t="shared" si="7"/>
        <v>5773.4</v>
      </c>
      <c r="G26" s="40">
        <f t="shared" si="7"/>
        <v>0</v>
      </c>
      <c r="H26" s="39">
        <f t="shared" si="6"/>
        <v>1674416.3599999999</v>
      </c>
    </row>
    <row r="27" spans="1:8" s="1" customFormat="1" ht="12" customHeight="1" x14ac:dyDescent="0.2">
      <c r="A27" s="33"/>
      <c r="B27" s="45"/>
      <c r="C27" s="27"/>
      <c r="D27" s="379" t="s">
        <v>209</v>
      </c>
      <c r="E27" s="85">
        <v>6242.96</v>
      </c>
      <c r="F27" s="377">
        <f>SUM(F28)</f>
        <v>5773.4</v>
      </c>
      <c r="G27" s="377">
        <f>SUM(G28)</f>
        <v>0</v>
      </c>
      <c r="H27" s="85">
        <f t="shared" si="6"/>
        <v>12016.36</v>
      </c>
    </row>
    <row r="28" spans="1:8" s="1" customFormat="1" ht="45" customHeight="1" x14ac:dyDescent="0.2">
      <c r="A28" s="33"/>
      <c r="B28" s="33"/>
      <c r="C28" s="41" t="s">
        <v>205</v>
      </c>
      <c r="D28" s="42" t="s">
        <v>206</v>
      </c>
      <c r="E28" s="58">
        <v>6242.96</v>
      </c>
      <c r="F28" s="43">
        <v>5773.4</v>
      </c>
      <c r="G28" s="43"/>
      <c r="H28" s="58">
        <f t="shared" si="6"/>
        <v>12016.36</v>
      </c>
    </row>
    <row r="29" spans="1:8" s="1" customFormat="1" ht="12" customHeight="1" x14ac:dyDescent="0.2">
      <c r="A29" s="33">
        <v>754</v>
      </c>
      <c r="B29" s="33"/>
      <c r="C29" s="34"/>
      <c r="D29" s="35" t="s">
        <v>20</v>
      </c>
      <c r="E29" s="58"/>
      <c r="F29" s="43"/>
      <c r="G29" s="43"/>
      <c r="H29" s="58"/>
    </row>
    <row r="30" spans="1:8" s="1" customFormat="1" ht="12" customHeight="1" thickBot="1" x14ac:dyDescent="0.25">
      <c r="A30" s="33"/>
      <c r="B30" s="33"/>
      <c r="C30" s="34"/>
      <c r="D30" s="35" t="s">
        <v>21</v>
      </c>
      <c r="E30" s="36">
        <v>343360</v>
      </c>
      <c r="F30" s="36">
        <f>SUM(F31)</f>
        <v>497284</v>
      </c>
      <c r="G30" s="36">
        <f>SUM(G31)</f>
        <v>0</v>
      </c>
      <c r="H30" s="36">
        <f>SUM(E30+F30-G30)</f>
        <v>840644</v>
      </c>
    </row>
    <row r="31" spans="1:8" s="1" customFormat="1" ht="13.5" customHeight="1" thickTop="1" x14ac:dyDescent="0.2">
      <c r="A31" s="45"/>
      <c r="B31" s="45">
        <v>75495</v>
      </c>
      <c r="C31" s="27"/>
      <c r="D31" s="38" t="s">
        <v>37</v>
      </c>
      <c r="E31" s="39">
        <v>343360</v>
      </c>
      <c r="F31" s="40">
        <f>SUM(F32,F34)</f>
        <v>497284</v>
      </c>
      <c r="G31" s="40">
        <f>SUM(G32,G34)</f>
        <v>0</v>
      </c>
      <c r="H31" s="39">
        <f>SUM(E31+F31-G31)</f>
        <v>840644</v>
      </c>
    </row>
    <row r="32" spans="1:8" s="1" customFormat="1" ht="24" customHeight="1" x14ac:dyDescent="0.2">
      <c r="A32" s="45"/>
      <c r="B32" s="45"/>
      <c r="C32" s="49"/>
      <c r="D32" s="379" t="s">
        <v>210</v>
      </c>
      <c r="E32" s="85">
        <v>343360</v>
      </c>
      <c r="F32" s="377">
        <f>SUM(F33:F33)</f>
        <v>301504</v>
      </c>
      <c r="G32" s="377">
        <f>SUM(G33:G33)</f>
        <v>0</v>
      </c>
      <c r="H32" s="85">
        <f t="shared" ref="H32:H35" si="8">SUM(E32+F32-G32)</f>
        <v>644864</v>
      </c>
    </row>
    <row r="33" spans="1:8" s="1" customFormat="1" ht="13.5" customHeight="1" x14ac:dyDescent="0.2">
      <c r="A33" s="45"/>
      <c r="B33" s="45"/>
      <c r="C33" s="41" t="s">
        <v>211</v>
      </c>
      <c r="D33" s="42" t="s">
        <v>212</v>
      </c>
      <c r="E33" s="43">
        <v>343360</v>
      </c>
      <c r="F33" s="43">
        <f>300000+1504</f>
        <v>301504</v>
      </c>
      <c r="G33" s="44"/>
      <c r="H33" s="43">
        <f t="shared" si="8"/>
        <v>644864</v>
      </c>
    </row>
    <row r="34" spans="1:8" s="1" customFormat="1" ht="24" customHeight="1" x14ac:dyDescent="0.2">
      <c r="A34" s="26"/>
      <c r="B34" s="33"/>
      <c r="C34" s="49"/>
      <c r="D34" s="379" t="s">
        <v>213</v>
      </c>
      <c r="E34" s="85">
        <v>0</v>
      </c>
      <c r="F34" s="377">
        <f>SUM(F35:F35)</f>
        <v>195780</v>
      </c>
      <c r="G34" s="377">
        <f>SUM(G35:G35)</f>
        <v>0</v>
      </c>
      <c r="H34" s="85">
        <f t="shared" si="8"/>
        <v>195780</v>
      </c>
    </row>
    <row r="35" spans="1:8" s="1" customFormat="1" ht="13.5" customHeight="1" x14ac:dyDescent="0.2">
      <c r="A35" s="26"/>
      <c r="B35" s="33"/>
      <c r="C35" s="41" t="s">
        <v>211</v>
      </c>
      <c r="D35" s="42" t="s">
        <v>212</v>
      </c>
      <c r="E35" s="43">
        <v>0</v>
      </c>
      <c r="F35" s="43">
        <v>195780</v>
      </c>
      <c r="G35" s="44"/>
      <c r="H35" s="43">
        <f t="shared" si="8"/>
        <v>195780</v>
      </c>
    </row>
    <row r="36" spans="1:8" s="1" customFormat="1" ht="12" customHeight="1" thickBot="1" x14ac:dyDescent="0.25">
      <c r="A36" s="33">
        <v>852</v>
      </c>
      <c r="B36" s="33"/>
      <c r="C36" s="34"/>
      <c r="D36" s="35" t="s">
        <v>25</v>
      </c>
      <c r="E36" s="36">
        <v>7227078.1799999997</v>
      </c>
      <c r="F36" s="36">
        <f>SUM(F37,F40,F43,F46)</f>
        <v>768166</v>
      </c>
      <c r="G36" s="36">
        <f>SUM(G37,G40,G43,G46)</f>
        <v>0</v>
      </c>
      <c r="H36" s="36">
        <f t="shared" si="6"/>
        <v>7995244.1799999997</v>
      </c>
    </row>
    <row r="37" spans="1:8" s="1" customFormat="1" ht="12" customHeight="1" thickTop="1" x14ac:dyDescent="0.2">
      <c r="A37" s="33"/>
      <c r="B37" s="45">
        <v>85203</v>
      </c>
      <c r="C37" s="27"/>
      <c r="D37" s="56" t="s">
        <v>31</v>
      </c>
      <c r="E37" s="39">
        <v>1051048</v>
      </c>
      <c r="F37" s="40">
        <f>SUM(F38)</f>
        <v>16296</v>
      </c>
      <c r="G37" s="40">
        <f>SUM(G38)</f>
        <v>0</v>
      </c>
      <c r="H37" s="39">
        <f t="shared" si="6"/>
        <v>1067344</v>
      </c>
    </row>
    <row r="38" spans="1:8" s="1" customFormat="1" ht="12" customHeight="1" x14ac:dyDescent="0.2">
      <c r="A38" s="33"/>
      <c r="B38" s="45"/>
      <c r="C38" s="27"/>
      <c r="D38" s="380" t="s">
        <v>22</v>
      </c>
      <c r="E38" s="85">
        <v>1051048</v>
      </c>
      <c r="F38" s="377">
        <f>SUM(F39)</f>
        <v>16296</v>
      </c>
      <c r="G38" s="377">
        <f>SUM(G39)</f>
        <v>0</v>
      </c>
      <c r="H38" s="85">
        <f t="shared" si="6"/>
        <v>1067344</v>
      </c>
    </row>
    <row r="39" spans="1:8" s="1" customFormat="1" ht="48" customHeight="1" x14ac:dyDescent="0.2">
      <c r="A39" s="52"/>
      <c r="B39" s="52"/>
      <c r="C39" s="53" t="s">
        <v>29</v>
      </c>
      <c r="D39" s="54" t="s">
        <v>30</v>
      </c>
      <c r="E39" s="55">
        <v>1051048</v>
      </c>
      <c r="F39" s="39">
        <v>16296</v>
      </c>
      <c r="G39" s="39"/>
      <c r="H39" s="55">
        <f t="shared" si="6"/>
        <v>1067344</v>
      </c>
    </row>
    <row r="40" spans="1:8" s="1" customFormat="1" ht="12" customHeight="1" x14ac:dyDescent="0.2">
      <c r="A40" s="33"/>
      <c r="B40" s="45">
        <v>85219</v>
      </c>
      <c r="C40" s="27"/>
      <c r="D40" s="38" t="s">
        <v>26</v>
      </c>
      <c r="E40" s="39">
        <v>12840</v>
      </c>
      <c r="F40" s="40">
        <f t="shared" ref="F40:G41" si="9">SUM(F41)</f>
        <v>1844</v>
      </c>
      <c r="G40" s="40">
        <f t="shared" si="9"/>
        <v>0</v>
      </c>
      <c r="H40" s="39">
        <f t="shared" ref="H40:H42" si="10">SUM(E40+F40-G40)</f>
        <v>14684</v>
      </c>
    </row>
    <row r="41" spans="1:8" s="1" customFormat="1" ht="12" customHeight="1" x14ac:dyDescent="0.2">
      <c r="A41" s="33"/>
      <c r="B41" s="45"/>
      <c r="C41" s="27"/>
      <c r="D41" s="380" t="s">
        <v>22</v>
      </c>
      <c r="E41" s="85">
        <v>12840</v>
      </c>
      <c r="F41" s="377">
        <f t="shared" si="9"/>
        <v>1844</v>
      </c>
      <c r="G41" s="377">
        <f t="shared" si="9"/>
        <v>0</v>
      </c>
      <c r="H41" s="85">
        <f t="shared" si="10"/>
        <v>14684</v>
      </c>
    </row>
    <row r="42" spans="1:8" s="1" customFormat="1" ht="48" customHeight="1" x14ac:dyDescent="0.2">
      <c r="A42" s="33"/>
      <c r="B42" s="33"/>
      <c r="C42" s="41" t="s">
        <v>29</v>
      </c>
      <c r="D42" s="57" t="s">
        <v>30</v>
      </c>
      <c r="E42" s="58">
        <v>12840</v>
      </c>
      <c r="F42" s="43">
        <v>1844</v>
      </c>
      <c r="G42" s="43"/>
      <c r="H42" s="58">
        <f t="shared" si="10"/>
        <v>14684</v>
      </c>
    </row>
    <row r="43" spans="1:8" s="1" customFormat="1" ht="12" customHeight="1" x14ac:dyDescent="0.2">
      <c r="A43" s="33"/>
      <c r="B43" s="45">
        <v>85228</v>
      </c>
      <c r="C43" s="27"/>
      <c r="D43" s="56" t="s">
        <v>214</v>
      </c>
      <c r="E43" s="39">
        <v>2074326</v>
      </c>
      <c r="F43" s="40">
        <f t="shared" ref="F43:G44" si="11">SUM(F44)</f>
        <v>746426</v>
      </c>
      <c r="G43" s="40">
        <f t="shared" si="11"/>
        <v>0</v>
      </c>
      <c r="H43" s="39">
        <f t="shared" si="6"/>
        <v>2820752</v>
      </c>
    </row>
    <row r="44" spans="1:8" s="1" customFormat="1" ht="12" customHeight="1" x14ac:dyDescent="0.2">
      <c r="A44" s="33"/>
      <c r="B44" s="45"/>
      <c r="C44" s="27"/>
      <c r="D44" s="380" t="s">
        <v>22</v>
      </c>
      <c r="E44" s="85">
        <v>2074326</v>
      </c>
      <c r="F44" s="377">
        <f t="shared" si="11"/>
        <v>746426</v>
      </c>
      <c r="G44" s="377">
        <f t="shared" si="11"/>
        <v>0</v>
      </c>
      <c r="H44" s="85">
        <f t="shared" si="6"/>
        <v>2820752</v>
      </c>
    </row>
    <row r="45" spans="1:8" s="1" customFormat="1" ht="47.25" customHeight="1" x14ac:dyDescent="0.2">
      <c r="A45" s="33"/>
      <c r="B45" s="33"/>
      <c r="C45" s="41" t="s">
        <v>29</v>
      </c>
      <c r="D45" s="57" t="s">
        <v>30</v>
      </c>
      <c r="E45" s="58">
        <v>2074326</v>
      </c>
      <c r="F45" s="43">
        <v>746426</v>
      </c>
      <c r="G45" s="43"/>
      <c r="H45" s="58">
        <f t="shared" si="6"/>
        <v>2820752</v>
      </c>
    </row>
    <row r="46" spans="1:8" s="1" customFormat="1" ht="12" customHeight="1" x14ac:dyDescent="0.2">
      <c r="A46" s="26"/>
      <c r="B46" s="45">
        <v>85231</v>
      </c>
      <c r="C46" s="27"/>
      <c r="D46" s="56" t="s">
        <v>32</v>
      </c>
      <c r="E46" s="39">
        <v>3000</v>
      </c>
      <c r="F46" s="40">
        <f t="shared" ref="F46:G47" si="12">SUM(F47)</f>
        <v>3600</v>
      </c>
      <c r="G46" s="40">
        <f t="shared" si="12"/>
        <v>0</v>
      </c>
      <c r="H46" s="39">
        <f t="shared" si="6"/>
        <v>6600</v>
      </c>
    </row>
    <row r="47" spans="1:8" s="1" customFormat="1" ht="12" customHeight="1" x14ac:dyDescent="0.2">
      <c r="A47" s="26"/>
      <c r="B47" s="45"/>
      <c r="C47" s="27"/>
      <c r="D47" s="380" t="s">
        <v>22</v>
      </c>
      <c r="E47" s="85">
        <v>3000</v>
      </c>
      <c r="F47" s="377">
        <f t="shared" si="12"/>
        <v>3600</v>
      </c>
      <c r="G47" s="377">
        <f t="shared" si="12"/>
        <v>0</v>
      </c>
      <c r="H47" s="85">
        <f t="shared" si="6"/>
        <v>6600</v>
      </c>
    </row>
    <row r="48" spans="1:8" s="1" customFormat="1" ht="45.75" customHeight="1" x14ac:dyDescent="0.2">
      <c r="A48" s="33"/>
      <c r="B48" s="33"/>
      <c r="C48" s="41" t="s">
        <v>29</v>
      </c>
      <c r="D48" s="57" t="s">
        <v>30</v>
      </c>
      <c r="E48" s="58">
        <v>3000</v>
      </c>
      <c r="F48" s="43">
        <v>3600</v>
      </c>
      <c r="G48" s="43"/>
      <c r="H48" s="58">
        <f t="shared" si="6"/>
        <v>6600</v>
      </c>
    </row>
    <row r="49" spans="1:8" s="1" customFormat="1" ht="12" customHeight="1" thickBot="1" x14ac:dyDescent="0.25">
      <c r="A49" s="33">
        <v>853</v>
      </c>
      <c r="B49" s="33"/>
      <c r="C49" s="34"/>
      <c r="D49" s="35" t="s">
        <v>36</v>
      </c>
      <c r="E49" s="36">
        <v>266220</v>
      </c>
      <c r="F49" s="36">
        <f>SUM(F50)</f>
        <v>11322</v>
      </c>
      <c r="G49" s="36">
        <f>SUM(G50)</f>
        <v>0</v>
      </c>
      <c r="H49" s="36">
        <f t="shared" si="6"/>
        <v>277542</v>
      </c>
    </row>
    <row r="50" spans="1:8" s="1" customFormat="1" ht="12" customHeight="1" thickTop="1" x14ac:dyDescent="0.2">
      <c r="A50" s="33"/>
      <c r="B50" s="45">
        <v>85395</v>
      </c>
      <c r="C50" s="27"/>
      <c r="D50" s="38" t="s">
        <v>37</v>
      </c>
      <c r="E50" s="39">
        <v>266220</v>
      </c>
      <c r="F50" s="40">
        <f t="shared" ref="F50:G50" si="13">SUM(F51)</f>
        <v>11322</v>
      </c>
      <c r="G50" s="40">
        <f t="shared" si="13"/>
        <v>0</v>
      </c>
      <c r="H50" s="39">
        <f t="shared" ref="H50:H52" si="14">SUM(E50+F50-G50)</f>
        <v>277542</v>
      </c>
    </row>
    <row r="51" spans="1:8" s="1" customFormat="1" ht="22.5" x14ac:dyDescent="0.2">
      <c r="A51" s="33"/>
      <c r="B51" s="45"/>
      <c r="C51" s="27"/>
      <c r="D51" s="378" t="s">
        <v>215</v>
      </c>
      <c r="E51" s="85">
        <v>266220</v>
      </c>
      <c r="F51" s="377">
        <f>SUM(F52)</f>
        <v>11322</v>
      </c>
      <c r="G51" s="377">
        <f>SUM(G52)</f>
        <v>0</v>
      </c>
      <c r="H51" s="85">
        <f t="shared" si="14"/>
        <v>277542</v>
      </c>
    </row>
    <row r="52" spans="1:8" s="1" customFormat="1" ht="45.75" customHeight="1" x14ac:dyDescent="0.2">
      <c r="A52" s="33"/>
      <c r="B52" s="33"/>
      <c r="C52" s="41" t="s">
        <v>205</v>
      </c>
      <c r="D52" s="42" t="s">
        <v>206</v>
      </c>
      <c r="E52" s="58">
        <v>266220</v>
      </c>
      <c r="F52" s="43">
        <v>11322</v>
      </c>
      <c r="G52" s="43"/>
      <c r="H52" s="58">
        <f t="shared" si="14"/>
        <v>277542</v>
      </c>
    </row>
    <row r="53" spans="1:8" s="1" customFormat="1" ht="19.899999999999999" customHeight="1" thickBot="1" x14ac:dyDescent="0.25">
      <c r="A53" s="26"/>
      <c r="B53" s="26"/>
      <c r="C53" s="27"/>
      <c r="D53" s="30" t="s">
        <v>34</v>
      </c>
      <c r="E53" s="31">
        <v>18537880.800000001</v>
      </c>
      <c r="F53" s="31">
        <f>SUM(F54)</f>
        <v>79808</v>
      </c>
      <c r="G53" s="31">
        <f>SUM(G54)</f>
        <v>0</v>
      </c>
      <c r="H53" s="31">
        <f t="shared" si="6"/>
        <v>18617688.800000001</v>
      </c>
    </row>
    <row r="54" spans="1:8" s="1" customFormat="1" ht="20.25" customHeight="1" thickTop="1" thickBot="1" x14ac:dyDescent="0.25">
      <c r="A54" s="33">
        <v>855</v>
      </c>
      <c r="B54" s="33"/>
      <c r="C54" s="34"/>
      <c r="D54" s="35" t="s">
        <v>33</v>
      </c>
      <c r="E54" s="31">
        <v>394899</v>
      </c>
      <c r="F54" s="31">
        <f>SUM(F55,F58)</f>
        <v>79808</v>
      </c>
      <c r="G54" s="31">
        <f>SUM(G55,G58)</f>
        <v>0</v>
      </c>
      <c r="H54" s="31">
        <f>SUM(E54+F54-G54)</f>
        <v>474707</v>
      </c>
    </row>
    <row r="55" spans="1:8" s="1" customFormat="1" ht="12" customHeight="1" thickTop="1" x14ac:dyDescent="0.2">
      <c r="A55" s="33"/>
      <c r="B55" s="62">
        <v>85508</v>
      </c>
      <c r="C55" s="80"/>
      <c r="D55" s="64" t="s">
        <v>111</v>
      </c>
      <c r="E55" s="39">
        <v>190700</v>
      </c>
      <c r="F55" s="39">
        <f t="shared" ref="F55:G55" si="15">SUM(F56)</f>
        <v>36213</v>
      </c>
      <c r="G55" s="39">
        <f t="shared" si="15"/>
        <v>0</v>
      </c>
      <c r="H55" s="39">
        <f>SUM(E55+F55-G55)</f>
        <v>226913</v>
      </c>
    </row>
    <row r="56" spans="1:8" s="1" customFormat="1" ht="12" customHeight="1" x14ac:dyDescent="0.2">
      <c r="A56" s="33"/>
      <c r="B56" s="45"/>
      <c r="C56" s="27"/>
      <c r="D56" s="380" t="s">
        <v>22</v>
      </c>
      <c r="E56" s="85">
        <v>190700</v>
      </c>
      <c r="F56" s="377">
        <f>SUM(F57)</f>
        <v>36213</v>
      </c>
      <c r="G56" s="377">
        <f>SUM(G60:G60)</f>
        <v>0</v>
      </c>
      <c r="H56" s="85">
        <f>SUM(E56+F56-G56)</f>
        <v>226913</v>
      </c>
    </row>
    <row r="57" spans="1:8" s="1" customFormat="1" ht="57" customHeight="1" x14ac:dyDescent="0.2">
      <c r="A57" s="33"/>
      <c r="B57" s="26"/>
      <c r="C57" s="59">
        <v>2160</v>
      </c>
      <c r="D57" s="60" t="s">
        <v>216</v>
      </c>
      <c r="E57" s="43">
        <v>190700</v>
      </c>
      <c r="F57" s="44">
        <v>36213</v>
      </c>
      <c r="G57" s="61"/>
      <c r="H57" s="43">
        <f t="shared" ref="H57" si="16">SUM(E57+F57-G57)</f>
        <v>226913</v>
      </c>
    </row>
    <row r="58" spans="1:8" s="1" customFormat="1" ht="12" customHeight="1" x14ac:dyDescent="0.2">
      <c r="A58" s="33"/>
      <c r="B58" s="45">
        <v>85510</v>
      </c>
      <c r="C58" s="37"/>
      <c r="D58" s="38" t="s">
        <v>112</v>
      </c>
      <c r="E58" s="39">
        <v>204199</v>
      </c>
      <c r="F58" s="39">
        <f t="shared" ref="F58:G58" si="17">SUM(F59)</f>
        <v>43595</v>
      </c>
      <c r="G58" s="39">
        <f t="shared" si="17"/>
        <v>0</v>
      </c>
      <c r="H58" s="39">
        <f>SUM(E58+F58-G58)</f>
        <v>247794</v>
      </c>
    </row>
    <row r="59" spans="1:8" s="1" customFormat="1" ht="12" customHeight="1" x14ac:dyDescent="0.2">
      <c r="A59" s="33"/>
      <c r="B59" s="45"/>
      <c r="C59" s="27"/>
      <c r="D59" s="380" t="s">
        <v>22</v>
      </c>
      <c r="E59" s="85">
        <v>204199</v>
      </c>
      <c r="F59" s="377">
        <f>SUM(F60)</f>
        <v>43595</v>
      </c>
      <c r="G59" s="377">
        <f>SUM(G60)</f>
        <v>0</v>
      </c>
      <c r="H59" s="85">
        <f>SUM(E59+F59-G59)</f>
        <v>247794</v>
      </c>
    </row>
    <row r="60" spans="1:8" s="1" customFormat="1" ht="57" customHeight="1" x14ac:dyDescent="0.2">
      <c r="A60" s="33"/>
      <c r="B60" s="26"/>
      <c r="C60" s="59">
        <v>2160</v>
      </c>
      <c r="D60" s="60" t="s">
        <v>216</v>
      </c>
      <c r="E60" s="43">
        <v>204199</v>
      </c>
      <c r="F60" s="44">
        <v>43595</v>
      </c>
      <c r="G60" s="61"/>
      <c r="H60" s="43">
        <f t="shared" ref="H60:H62" si="18">SUM(E60+F60-G60)</f>
        <v>247794</v>
      </c>
    </row>
    <row r="61" spans="1:8" s="1" customFormat="1" ht="19.5" customHeight="1" thickBot="1" x14ac:dyDescent="0.25">
      <c r="A61" s="45"/>
      <c r="B61" s="45"/>
      <c r="C61" s="27"/>
      <c r="D61" s="28" t="s">
        <v>38</v>
      </c>
      <c r="E61" s="29">
        <v>914485051.61000001</v>
      </c>
      <c r="F61" s="29">
        <f>SUM(F62,F311,F360)</f>
        <v>6241565.9600000009</v>
      </c>
      <c r="G61" s="29">
        <f>SUM(G62,G311,G360)</f>
        <v>4660181.5599999996</v>
      </c>
      <c r="H61" s="29">
        <f t="shared" si="18"/>
        <v>916066436.01000011</v>
      </c>
    </row>
    <row r="62" spans="1:8" s="1" customFormat="1" ht="19.5" customHeight="1" thickBot="1" x14ac:dyDescent="0.25">
      <c r="A62" s="45"/>
      <c r="B62" s="45"/>
      <c r="C62" s="27"/>
      <c r="D62" s="30" t="s">
        <v>39</v>
      </c>
      <c r="E62" s="31">
        <v>816060547.12000012</v>
      </c>
      <c r="F62" s="31">
        <f>SUM(F63,F78,F83,F87,F112,F117,F124,F248,F253,F258,F288,F294,F307)</f>
        <v>4872633.5600000005</v>
      </c>
      <c r="G62" s="31">
        <f>SUM(G63,G78,G83,G87,G112,G117,G124,G248,G253,G258,G288,G294,G307)</f>
        <v>4653602.5599999996</v>
      </c>
      <c r="H62" s="31">
        <f t="shared" si="18"/>
        <v>816279578.12000012</v>
      </c>
    </row>
    <row r="63" spans="1:8" s="1" customFormat="1" ht="18" customHeight="1" thickTop="1" thickBot="1" x14ac:dyDescent="0.25">
      <c r="A63" s="33">
        <v>600</v>
      </c>
      <c r="B63" s="33"/>
      <c r="C63" s="34"/>
      <c r="D63" s="35" t="s">
        <v>40</v>
      </c>
      <c r="E63" s="66">
        <v>106928676.17</v>
      </c>
      <c r="F63" s="66">
        <f>SUM(F64,F70,F75)</f>
        <v>2633000</v>
      </c>
      <c r="G63" s="66">
        <f>SUM(G64,G70,G75)</f>
        <v>133000</v>
      </c>
      <c r="H63" s="31">
        <f>SUM(E63+F63-G63)</f>
        <v>109428676.17</v>
      </c>
    </row>
    <row r="64" spans="1:8" s="1" customFormat="1" ht="12" customHeight="1" thickTop="1" x14ac:dyDescent="0.2">
      <c r="A64" s="33"/>
      <c r="B64" s="45">
        <v>60015</v>
      </c>
      <c r="C64" s="27"/>
      <c r="D64" s="38" t="s">
        <v>217</v>
      </c>
      <c r="E64" s="67">
        <v>35885394.770000003</v>
      </c>
      <c r="F64" s="67">
        <f>SUM(F65)</f>
        <v>93000</v>
      </c>
      <c r="G64" s="67">
        <f>SUM(G65)</f>
        <v>93000</v>
      </c>
      <c r="H64" s="39">
        <f>SUM(E64+F64-G64)</f>
        <v>35885394.770000003</v>
      </c>
    </row>
    <row r="65" spans="1:8" s="1" customFormat="1" ht="12" customHeight="1" x14ac:dyDescent="0.2">
      <c r="A65" s="33"/>
      <c r="B65" s="45"/>
      <c r="C65" s="203"/>
      <c r="D65" s="381" t="s">
        <v>218</v>
      </c>
      <c r="E65" s="85">
        <v>12678632</v>
      </c>
      <c r="F65" s="85">
        <f>SUM(F66:F69)</f>
        <v>93000</v>
      </c>
      <c r="G65" s="85">
        <f>SUM(G66:G69)</f>
        <v>93000</v>
      </c>
      <c r="H65" s="85">
        <f>SUM(E65+F65-G65)</f>
        <v>12678632</v>
      </c>
    </row>
    <row r="66" spans="1:8" s="1" customFormat="1" ht="12" customHeight="1" x14ac:dyDescent="0.2">
      <c r="A66" s="33"/>
      <c r="B66" s="45"/>
      <c r="C66" s="49" t="s">
        <v>109</v>
      </c>
      <c r="D66" s="77" t="s">
        <v>84</v>
      </c>
      <c r="E66" s="69">
        <v>168000</v>
      </c>
      <c r="F66" s="69">
        <v>18000</v>
      </c>
      <c r="G66" s="69"/>
      <c r="H66" s="43">
        <f t="shared" ref="H66:H69" si="19">SUM(E66+F66-G66)</f>
        <v>186000</v>
      </c>
    </row>
    <row r="67" spans="1:8" s="1" customFormat="1" ht="12" customHeight="1" x14ac:dyDescent="0.2">
      <c r="A67" s="33"/>
      <c r="B67" s="45"/>
      <c r="C67" s="37">
        <v>4270</v>
      </c>
      <c r="D67" s="68" t="s">
        <v>110</v>
      </c>
      <c r="E67" s="69">
        <v>3775000</v>
      </c>
      <c r="F67" s="69"/>
      <c r="G67" s="69">
        <v>75000</v>
      </c>
      <c r="H67" s="43">
        <f t="shared" si="19"/>
        <v>3700000</v>
      </c>
    </row>
    <row r="68" spans="1:8" s="1" customFormat="1" ht="12" customHeight="1" x14ac:dyDescent="0.2">
      <c r="A68" s="33"/>
      <c r="B68" s="33"/>
      <c r="C68" s="37">
        <v>4300</v>
      </c>
      <c r="D68" s="68" t="s">
        <v>44</v>
      </c>
      <c r="E68" s="69">
        <v>7507032</v>
      </c>
      <c r="F68" s="69">
        <v>75000</v>
      </c>
      <c r="G68" s="69"/>
      <c r="H68" s="43">
        <f t="shared" si="19"/>
        <v>7582032</v>
      </c>
    </row>
    <row r="69" spans="1:8" s="1" customFormat="1" ht="12" customHeight="1" x14ac:dyDescent="0.2">
      <c r="A69" s="33"/>
      <c r="B69" s="33"/>
      <c r="C69" s="37">
        <v>4610</v>
      </c>
      <c r="D69" s="204" t="s">
        <v>219</v>
      </c>
      <c r="E69" s="69">
        <v>30000</v>
      </c>
      <c r="F69" s="69"/>
      <c r="G69" s="69">
        <v>18000</v>
      </c>
      <c r="H69" s="43">
        <f t="shared" si="19"/>
        <v>12000</v>
      </c>
    </row>
    <row r="70" spans="1:8" s="1" customFormat="1" ht="12" customHeight="1" x14ac:dyDescent="0.2">
      <c r="A70" s="45"/>
      <c r="B70" s="45">
        <v>60016</v>
      </c>
      <c r="C70" s="27"/>
      <c r="D70" s="38" t="s">
        <v>41</v>
      </c>
      <c r="E70" s="67">
        <v>30909014.809999999</v>
      </c>
      <c r="F70" s="67">
        <f>SUM(F71,F73)</f>
        <v>2500000</v>
      </c>
      <c r="G70" s="67">
        <f>SUM(G71,G73)</f>
        <v>40000</v>
      </c>
      <c r="H70" s="39">
        <f>SUM(E70+F70-G70)</f>
        <v>33369014.809999999</v>
      </c>
    </row>
    <row r="71" spans="1:8" s="1" customFormat="1" ht="12" customHeight="1" x14ac:dyDescent="0.2">
      <c r="A71" s="45"/>
      <c r="B71" s="45"/>
      <c r="C71" s="62"/>
      <c r="D71" s="376" t="s">
        <v>42</v>
      </c>
      <c r="E71" s="85">
        <v>26349014.809999999</v>
      </c>
      <c r="F71" s="85">
        <f>SUM(F72:F72)</f>
        <v>2500000</v>
      </c>
      <c r="G71" s="85">
        <f>SUM(G72:G72)</f>
        <v>0</v>
      </c>
      <c r="H71" s="85">
        <f>SUM(E71+F71-G71)</f>
        <v>28849014.809999999</v>
      </c>
    </row>
    <row r="72" spans="1:8" s="1" customFormat="1" ht="12" customHeight="1" x14ac:dyDescent="0.2">
      <c r="A72" s="45"/>
      <c r="B72" s="33"/>
      <c r="C72" s="37">
        <v>6050</v>
      </c>
      <c r="D72" s="68" t="s">
        <v>43</v>
      </c>
      <c r="E72" s="69">
        <v>26335738</v>
      </c>
      <c r="F72" s="69">
        <v>2500000</v>
      </c>
      <c r="G72" s="69"/>
      <c r="H72" s="43">
        <f t="shared" ref="H72:H110" si="20">SUM(E72+F72-G72)</f>
        <v>28835738</v>
      </c>
    </row>
    <row r="73" spans="1:8" s="1" customFormat="1" ht="12" customHeight="1" x14ac:dyDescent="0.2">
      <c r="A73" s="45"/>
      <c r="B73" s="33"/>
      <c r="C73" s="62"/>
      <c r="D73" s="381" t="s">
        <v>218</v>
      </c>
      <c r="E73" s="85">
        <v>4560000</v>
      </c>
      <c r="F73" s="85">
        <f>SUM(F74:F74)</f>
        <v>0</v>
      </c>
      <c r="G73" s="85">
        <f>SUM(G74:G74)</f>
        <v>40000</v>
      </c>
      <c r="H73" s="85">
        <f>SUM(E73+F73-G73)</f>
        <v>4520000</v>
      </c>
    </row>
    <row r="74" spans="1:8" s="1" customFormat="1" ht="12" customHeight="1" x14ac:dyDescent="0.2">
      <c r="A74" s="45"/>
      <c r="B74" s="33"/>
      <c r="C74" s="37">
        <v>4270</v>
      </c>
      <c r="D74" s="68" t="s">
        <v>110</v>
      </c>
      <c r="E74" s="69">
        <v>2300000</v>
      </c>
      <c r="F74" s="69"/>
      <c r="G74" s="69">
        <v>40000</v>
      </c>
      <c r="H74" s="43">
        <f t="shared" ref="H74" si="21">SUM(E74+F74-G74)</f>
        <v>2260000</v>
      </c>
    </row>
    <row r="75" spans="1:8" s="1" customFormat="1" ht="12" customHeight="1" x14ac:dyDescent="0.2">
      <c r="A75" s="45"/>
      <c r="B75" s="62">
        <v>60017</v>
      </c>
      <c r="C75" s="80"/>
      <c r="D75" s="64" t="s">
        <v>220</v>
      </c>
      <c r="E75" s="67">
        <v>452700</v>
      </c>
      <c r="F75" s="67">
        <f>SUM(F76)</f>
        <v>40000</v>
      </c>
      <c r="G75" s="67">
        <f>SUM(G76)</f>
        <v>0</v>
      </c>
      <c r="H75" s="39">
        <f>SUM(E75+F75-G75)</f>
        <v>492700</v>
      </c>
    </row>
    <row r="76" spans="1:8" s="1" customFormat="1" ht="12" customHeight="1" x14ac:dyDescent="0.2">
      <c r="A76" s="45"/>
      <c r="B76" s="45"/>
      <c r="C76" s="62"/>
      <c r="D76" s="381" t="s">
        <v>218</v>
      </c>
      <c r="E76" s="85">
        <v>452700</v>
      </c>
      <c r="F76" s="85">
        <f>SUM(F77:F77)</f>
        <v>40000</v>
      </c>
      <c r="G76" s="85">
        <f>SUM(G77:G77)</f>
        <v>0</v>
      </c>
      <c r="H76" s="85">
        <f>SUM(E76+F76-G76)</f>
        <v>492700</v>
      </c>
    </row>
    <row r="77" spans="1:8" s="1" customFormat="1" ht="12" customHeight="1" x14ac:dyDescent="0.2">
      <c r="A77" s="78"/>
      <c r="B77" s="52"/>
      <c r="C77" s="79">
        <v>4270</v>
      </c>
      <c r="D77" s="38" t="s">
        <v>110</v>
      </c>
      <c r="E77" s="67">
        <v>200000</v>
      </c>
      <c r="F77" s="67">
        <v>40000</v>
      </c>
      <c r="G77" s="67"/>
      <c r="H77" s="39">
        <f t="shared" ref="H77:H84" si="22">SUM(E77+F77-G77)</f>
        <v>240000</v>
      </c>
    </row>
    <row r="78" spans="1:8" s="1" customFormat="1" ht="12" customHeight="1" thickBot="1" x14ac:dyDescent="0.25">
      <c r="A78" s="73">
        <v>630</v>
      </c>
      <c r="B78" s="73"/>
      <c r="C78" s="205"/>
      <c r="D78" s="206" t="s">
        <v>221</v>
      </c>
      <c r="E78" s="31">
        <v>2886255</v>
      </c>
      <c r="F78" s="31">
        <f>SUM(F79)</f>
        <v>10000</v>
      </c>
      <c r="G78" s="31">
        <f>SUM(G79)</f>
        <v>10000</v>
      </c>
      <c r="H78" s="31">
        <f>SUM(E78+F78-G78)</f>
        <v>2886255</v>
      </c>
    </row>
    <row r="79" spans="1:8" s="1" customFormat="1" ht="12" customHeight="1" thickTop="1" x14ac:dyDescent="0.2">
      <c r="A79" s="63"/>
      <c r="B79" s="62">
        <v>63003</v>
      </c>
      <c r="C79" s="80"/>
      <c r="D79" s="64" t="s">
        <v>222</v>
      </c>
      <c r="E79" s="67">
        <v>2886255</v>
      </c>
      <c r="F79" s="67">
        <f>SUM(F80)</f>
        <v>10000</v>
      </c>
      <c r="G79" s="67">
        <f>SUM(G80)</f>
        <v>10000</v>
      </c>
      <c r="H79" s="39">
        <f>SUM(E79+F79-G79)</f>
        <v>2886255</v>
      </c>
    </row>
    <row r="80" spans="1:8" s="1" customFormat="1" ht="12" customHeight="1" x14ac:dyDescent="0.2">
      <c r="A80" s="32"/>
      <c r="B80" s="37"/>
      <c r="C80" s="203"/>
      <c r="D80" s="382" t="s">
        <v>223</v>
      </c>
      <c r="E80" s="85">
        <v>1886255</v>
      </c>
      <c r="F80" s="85">
        <f>SUM(F81:F82)</f>
        <v>10000</v>
      </c>
      <c r="G80" s="85">
        <f>SUM(G81:G82)</f>
        <v>10000</v>
      </c>
      <c r="H80" s="85">
        <f>SUM(E80+F80-G80)</f>
        <v>1886255</v>
      </c>
    </row>
    <row r="81" spans="1:8" s="1" customFormat="1" ht="12" customHeight="1" x14ac:dyDescent="0.2">
      <c r="A81" s="32"/>
      <c r="B81" s="37"/>
      <c r="C81" s="37">
        <v>4280</v>
      </c>
      <c r="D81" s="68" t="s">
        <v>72</v>
      </c>
      <c r="E81" s="69">
        <v>3179</v>
      </c>
      <c r="F81" s="69">
        <v>10000</v>
      </c>
      <c r="G81" s="69"/>
      <c r="H81" s="43">
        <f t="shared" ref="H81:H82" si="23">SUM(E81+F81-G81)</f>
        <v>13179</v>
      </c>
    </row>
    <row r="82" spans="1:8" s="1" customFormat="1" ht="12" customHeight="1" x14ac:dyDescent="0.2">
      <c r="A82" s="32"/>
      <c r="B82" s="37"/>
      <c r="C82" s="37">
        <v>4710</v>
      </c>
      <c r="D82" s="77" t="s">
        <v>65</v>
      </c>
      <c r="E82" s="69">
        <v>12000</v>
      </c>
      <c r="F82" s="69"/>
      <c r="G82" s="69">
        <v>10000</v>
      </c>
      <c r="H82" s="43">
        <f t="shared" si="23"/>
        <v>2000</v>
      </c>
    </row>
    <row r="83" spans="1:8" s="1" customFormat="1" ht="12" customHeight="1" thickBot="1" x14ac:dyDescent="0.25">
      <c r="A83" s="32">
        <v>700</v>
      </c>
      <c r="B83" s="32"/>
      <c r="C83" s="34"/>
      <c r="D83" s="35" t="s">
        <v>35</v>
      </c>
      <c r="E83" s="31">
        <v>62047788.329999998</v>
      </c>
      <c r="F83" s="36">
        <f>SUM(F84)</f>
        <v>800000</v>
      </c>
      <c r="G83" s="36">
        <f>SUM(G84)</f>
        <v>0</v>
      </c>
      <c r="H83" s="31">
        <f t="shared" si="22"/>
        <v>62847788.329999998</v>
      </c>
    </row>
    <row r="84" spans="1:8" s="1" customFormat="1" ht="12" customHeight="1" thickTop="1" x14ac:dyDescent="0.2">
      <c r="A84" s="20"/>
      <c r="B84" s="62">
        <v>70007</v>
      </c>
      <c r="C84" s="80"/>
      <c r="D84" s="64" t="s">
        <v>224</v>
      </c>
      <c r="E84" s="39">
        <v>28982488.329999998</v>
      </c>
      <c r="F84" s="40">
        <f>SUM(F85)</f>
        <v>800000</v>
      </c>
      <c r="G84" s="40">
        <f>SUM(G85)</f>
        <v>0</v>
      </c>
      <c r="H84" s="39">
        <f t="shared" si="22"/>
        <v>29782488.329999998</v>
      </c>
    </row>
    <row r="85" spans="1:8" s="1" customFormat="1" ht="12" customHeight="1" x14ac:dyDescent="0.2">
      <c r="A85" s="20"/>
      <c r="B85" s="37"/>
      <c r="C85" s="27"/>
      <c r="D85" s="382" t="s">
        <v>225</v>
      </c>
      <c r="E85" s="83">
        <v>28873088.329999998</v>
      </c>
      <c r="F85" s="377">
        <f>SUM(F86:F86)</f>
        <v>800000</v>
      </c>
      <c r="G85" s="377">
        <f>SUM(G86:G86)</f>
        <v>0</v>
      </c>
      <c r="H85" s="85">
        <f>SUM(E85+F85-G85)</f>
        <v>29673088.329999998</v>
      </c>
    </row>
    <row r="86" spans="1:8" s="1" customFormat="1" ht="12" customHeight="1" x14ac:dyDescent="0.2">
      <c r="A86" s="20"/>
      <c r="B86" s="37"/>
      <c r="C86" s="37">
        <v>6050</v>
      </c>
      <c r="D86" s="68" t="s">
        <v>43</v>
      </c>
      <c r="E86" s="69">
        <v>1900000</v>
      </c>
      <c r="F86" s="69">
        <v>800000</v>
      </c>
      <c r="G86" s="69"/>
      <c r="H86" s="43">
        <f t="shared" ref="H86" si="24">SUM(E86+F86-G86)</f>
        <v>2700000</v>
      </c>
    </row>
    <row r="87" spans="1:8" s="1" customFormat="1" ht="12" customHeight="1" thickBot="1" x14ac:dyDescent="0.25">
      <c r="A87" s="32">
        <v>750</v>
      </c>
      <c r="B87" s="32"/>
      <c r="C87" s="34"/>
      <c r="D87" s="35" t="s">
        <v>15</v>
      </c>
      <c r="E87" s="31">
        <v>81940662.450000003</v>
      </c>
      <c r="F87" s="36">
        <f>SUM(F88,F91)</f>
        <v>113960</v>
      </c>
      <c r="G87" s="36">
        <f>SUM(G88,G91)</f>
        <v>113000</v>
      </c>
      <c r="H87" s="31">
        <f t="shared" si="20"/>
        <v>81941622.450000003</v>
      </c>
    </row>
    <row r="88" spans="1:8" s="1" customFormat="1" ht="12" customHeight="1" thickTop="1" x14ac:dyDescent="0.2">
      <c r="A88" s="32"/>
      <c r="B88" s="45">
        <v>75045</v>
      </c>
      <c r="C88" s="27"/>
      <c r="D88" s="71" t="s">
        <v>16</v>
      </c>
      <c r="E88" s="40">
        <v>28740</v>
      </c>
      <c r="F88" s="40">
        <f>SUM(F89)</f>
        <v>960</v>
      </c>
      <c r="G88" s="40">
        <f>SUM(G89)</f>
        <v>0</v>
      </c>
      <c r="H88" s="39">
        <f>SUM(E88+F88-G88)</f>
        <v>29700</v>
      </c>
    </row>
    <row r="89" spans="1:8" s="1" customFormat="1" ht="12" customHeight="1" x14ac:dyDescent="0.2">
      <c r="A89" s="32"/>
      <c r="B89" s="33"/>
      <c r="C89" s="27"/>
      <c r="D89" s="383" t="s">
        <v>47</v>
      </c>
      <c r="E89" s="384">
        <v>28740</v>
      </c>
      <c r="F89" s="384">
        <f>SUM(F90:F90)</f>
        <v>960</v>
      </c>
      <c r="G89" s="384">
        <f>SUM(G90:G90)</f>
        <v>0</v>
      </c>
      <c r="H89" s="83">
        <f>SUM(E89+F89-G89)</f>
        <v>29700</v>
      </c>
    </row>
    <row r="90" spans="1:8" s="1" customFormat="1" ht="12" customHeight="1" x14ac:dyDescent="0.2">
      <c r="A90" s="32"/>
      <c r="B90" s="33"/>
      <c r="C90" s="37">
        <v>4170</v>
      </c>
      <c r="D90" s="68" t="s">
        <v>48</v>
      </c>
      <c r="E90" s="58">
        <v>22140</v>
      </c>
      <c r="F90" s="58">
        <v>960</v>
      </c>
      <c r="G90" s="58"/>
      <c r="H90" s="58">
        <f t="shared" ref="H90" si="25">SUM(E90+F90-G90)</f>
        <v>23100</v>
      </c>
    </row>
    <row r="91" spans="1:8" s="1" customFormat="1" ht="12" customHeight="1" x14ac:dyDescent="0.2">
      <c r="A91" s="45"/>
      <c r="B91" s="27" t="s">
        <v>226</v>
      </c>
      <c r="C91" s="37"/>
      <c r="D91" s="38" t="s">
        <v>37</v>
      </c>
      <c r="E91" s="39">
        <v>34674991.170000002</v>
      </c>
      <c r="F91" s="40">
        <f>SUM(F92,F103,F106)</f>
        <v>113000</v>
      </c>
      <c r="G91" s="40">
        <f>SUM(G92,G103,G106)</f>
        <v>113000</v>
      </c>
      <c r="H91" s="39">
        <f t="shared" si="20"/>
        <v>34674991.170000002</v>
      </c>
    </row>
    <row r="92" spans="1:8" s="1" customFormat="1" ht="44.25" customHeight="1" x14ac:dyDescent="0.2">
      <c r="A92" s="45"/>
      <c r="B92" s="45"/>
      <c r="C92" s="62"/>
      <c r="D92" s="385" t="s">
        <v>227</v>
      </c>
      <c r="E92" s="83">
        <v>28046.93</v>
      </c>
      <c r="F92" s="83">
        <f>SUM(F93:F102)</f>
        <v>13000</v>
      </c>
      <c r="G92" s="83">
        <f>SUM(G93:G102)</f>
        <v>13000</v>
      </c>
      <c r="H92" s="83">
        <f t="shared" si="20"/>
        <v>28046.93</v>
      </c>
    </row>
    <row r="93" spans="1:8" s="1" customFormat="1" ht="12" customHeight="1" x14ac:dyDescent="0.2">
      <c r="A93" s="45"/>
      <c r="B93" s="45"/>
      <c r="C93" s="37">
        <v>4116</v>
      </c>
      <c r="D93" s="68" t="s">
        <v>61</v>
      </c>
      <c r="E93" s="44">
        <v>75</v>
      </c>
      <c r="F93" s="207"/>
      <c r="G93" s="44">
        <v>75</v>
      </c>
      <c r="H93" s="44">
        <f t="shared" si="20"/>
        <v>0</v>
      </c>
    </row>
    <row r="94" spans="1:8" s="1" customFormat="1" ht="12" customHeight="1" x14ac:dyDescent="0.2">
      <c r="A94" s="45"/>
      <c r="B94" s="45"/>
      <c r="C94" s="37">
        <v>4117</v>
      </c>
      <c r="D94" s="68" t="s">
        <v>61</v>
      </c>
      <c r="E94" s="44">
        <v>425</v>
      </c>
      <c r="F94" s="69"/>
      <c r="G94" s="44">
        <v>425</v>
      </c>
      <c r="H94" s="44">
        <f t="shared" si="20"/>
        <v>0</v>
      </c>
    </row>
    <row r="95" spans="1:8" s="1" customFormat="1" ht="12" customHeight="1" x14ac:dyDescent="0.2">
      <c r="A95" s="45"/>
      <c r="B95" s="45"/>
      <c r="C95" s="37">
        <v>4126</v>
      </c>
      <c r="D95" s="68" t="s">
        <v>62</v>
      </c>
      <c r="E95" s="44">
        <v>75</v>
      </c>
      <c r="F95" s="207"/>
      <c r="G95" s="44">
        <v>75</v>
      </c>
      <c r="H95" s="44">
        <f t="shared" si="20"/>
        <v>0</v>
      </c>
    </row>
    <row r="96" spans="1:8" s="1" customFormat="1" ht="12" customHeight="1" x14ac:dyDescent="0.2">
      <c r="A96" s="45"/>
      <c r="B96" s="45"/>
      <c r="C96" s="37">
        <v>4127</v>
      </c>
      <c r="D96" s="68" t="s">
        <v>62</v>
      </c>
      <c r="E96" s="44">
        <v>425</v>
      </c>
      <c r="F96" s="69"/>
      <c r="G96" s="44">
        <v>425</v>
      </c>
      <c r="H96" s="44">
        <f t="shared" si="20"/>
        <v>0</v>
      </c>
    </row>
    <row r="97" spans="1:8" s="1" customFormat="1" ht="12" customHeight="1" x14ac:dyDescent="0.2">
      <c r="A97" s="45"/>
      <c r="B97" s="33"/>
      <c r="C97" s="37">
        <v>4176</v>
      </c>
      <c r="D97" s="68" t="s">
        <v>48</v>
      </c>
      <c r="E97" s="44">
        <v>450</v>
      </c>
      <c r="F97" s="207"/>
      <c r="G97" s="44">
        <v>450</v>
      </c>
      <c r="H97" s="44">
        <f t="shared" si="20"/>
        <v>0</v>
      </c>
    </row>
    <row r="98" spans="1:8" s="1" customFormat="1" ht="12" customHeight="1" x14ac:dyDescent="0.2">
      <c r="A98" s="45"/>
      <c r="B98" s="33"/>
      <c r="C98" s="37">
        <v>4177</v>
      </c>
      <c r="D98" s="68" t="s">
        <v>48</v>
      </c>
      <c r="E98" s="44">
        <v>2550</v>
      </c>
      <c r="F98" s="69"/>
      <c r="G98" s="44">
        <v>2550</v>
      </c>
      <c r="H98" s="44">
        <f t="shared" si="20"/>
        <v>0</v>
      </c>
    </row>
    <row r="99" spans="1:8" s="1" customFormat="1" ht="12" customHeight="1" x14ac:dyDescent="0.2">
      <c r="A99" s="45"/>
      <c r="B99" s="33"/>
      <c r="C99" s="49" t="s">
        <v>228</v>
      </c>
      <c r="D99" s="77" t="s">
        <v>84</v>
      </c>
      <c r="E99" s="44">
        <v>450</v>
      </c>
      <c r="F99" s="207">
        <v>1950</v>
      </c>
      <c r="G99" s="44"/>
      <c r="H99" s="44">
        <f t="shared" si="20"/>
        <v>2400</v>
      </c>
    </row>
    <row r="100" spans="1:8" s="1" customFormat="1" ht="12" customHeight="1" x14ac:dyDescent="0.2">
      <c r="A100" s="45"/>
      <c r="B100" s="33"/>
      <c r="C100" s="49" t="s">
        <v>229</v>
      </c>
      <c r="D100" s="77" t="s">
        <v>84</v>
      </c>
      <c r="E100" s="44">
        <v>2550</v>
      </c>
      <c r="F100" s="69">
        <v>11050</v>
      </c>
      <c r="G100" s="44"/>
      <c r="H100" s="44">
        <f t="shared" si="20"/>
        <v>13600</v>
      </c>
    </row>
    <row r="101" spans="1:8" s="1" customFormat="1" ht="12" customHeight="1" x14ac:dyDescent="0.2">
      <c r="A101" s="45"/>
      <c r="B101" s="33"/>
      <c r="C101" s="37">
        <v>4306</v>
      </c>
      <c r="D101" s="68" t="s">
        <v>44</v>
      </c>
      <c r="E101" s="44">
        <v>3157.04</v>
      </c>
      <c r="F101" s="207"/>
      <c r="G101" s="44">
        <v>1350</v>
      </c>
      <c r="H101" s="44">
        <f t="shared" si="20"/>
        <v>1807.04</v>
      </c>
    </row>
    <row r="102" spans="1:8" s="1" customFormat="1" ht="12" customHeight="1" x14ac:dyDescent="0.2">
      <c r="A102" s="45"/>
      <c r="B102" s="33"/>
      <c r="C102" s="37">
        <v>4307</v>
      </c>
      <c r="D102" s="68" t="s">
        <v>44</v>
      </c>
      <c r="E102" s="44">
        <v>17889.89</v>
      </c>
      <c r="F102" s="69"/>
      <c r="G102" s="44">
        <v>7650</v>
      </c>
      <c r="H102" s="44">
        <f t="shared" si="20"/>
        <v>10239.89</v>
      </c>
    </row>
    <row r="103" spans="1:8" s="1" customFormat="1" ht="34.5" customHeight="1" x14ac:dyDescent="0.2">
      <c r="A103" s="45"/>
      <c r="B103" s="33"/>
      <c r="C103" s="62"/>
      <c r="D103" s="385" t="s">
        <v>230</v>
      </c>
      <c r="E103" s="83">
        <v>472334.00999999995</v>
      </c>
      <c r="F103" s="83">
        <f>SUM(F104:F105)</f>
        <v>0</v>
      </c>
      <c r="G103" s="83">
        <f>SUM(G104:G105)</f>
        <v>100000</v>
      </c>
      <c r="H103" s="83">
        <f t="shared" si="20"/>
        <v>372334.00999999995</v>
      </c>
    </row>
    <row r="104" spans="1:8" s="1" customFormat="1" ht="12" customHeight="1" x14ac:dyDescent="0.2">
      <c r="A104" s="45"/>
      <c r="B104" s="33"/>
      <c r="C104" s="37">
        <v>4306</v>
      </c>
      <c r="D104" s="68" t="s">
        <v>44</v>
      </c>
      <c r="E104" s="44">
        <v>43992.39</v>
      </c>
      <c r="F104" s="207"/>
      <c r="G104" s="44">
        <v>15000</v>
      </c>
      <c r="H104" s="44">
        <f t="shared" si="20"/>
        <v>28992.39</v>
      </c>
    </row>
    <row r="105" spans="1:8" s="1" customFormat="1" ht="12" customHeight="1" x14ac:dyDescent="0.2">
      <c r="A105" s="45"/>
      <c r="B105" s="33"/>
      <c r="C105" s="37">
        <v>4307</v>
      </c>
      <c r="D105" s="68" t="s">
        <v>44</v>
      </c>
      <c r="E105" s="44">
        <v>249290.21999999997</v>
      </c>
      <c r="F105" s="69"/>
      <c r="G105" s="44">
        <v>85000</v>
      </c>
      <c r="H105" s="44">
        <f t="shared" si="20"/>
        <v>164290.21999999997</v>
      </c>
    </row>
    <row r="106" spans="1:8" s="1" customFormat="1" ht="33.75" customHeight="1" x14ac:dyDescent="0.2">
      <c r="A106" s="45"/>
      <c r="B106" s="33"/>
      <c r="C106" s="62"/>
      <c r="D106" s="385" t="s">
        <v>231</v>
      </c>
      <c r="E106" s="83">
        <v>417057.93</v>
      </c>
      <c r="F106" s="83">
        <f>SUM(F107:F110)</f>
        <v>100000</v>
      </c>
      <c r="G106" s="83">
        <f>SUM(G107:G110)</f>
        <v>0</v>
      </c>
      <c r="H106" s="83">
        <f t="shared" si="20"/>
        <v>517057.93</v>
      </c>
    </row>
    <row r="107" spans="1:8" s="1" customFormat="1" ht="12" customHeight="1" x14ac:dyDescent="0.2">
      <c r="A107" s="45"/>
      <c r="B107" s="33"/>
      <c r="C107" s="49" t="s">
        <v>228</v>
      </c>
      <c r="D107" s="77" t="s">
        <v>84</v>
      </c>
      <c r="E107" s="44">
        <v>0</v>
      </c>
      <c r="F107" s="69">
        <v>6000</v>
      </c>
      <c r="G107" s="44"/>
      <c r="H107" s="44">
        <f t="shared" si="20"/>
        <v>6000</v>
      </c>
    </row>
    <row r="108" spans="1:8" s="1" customFormat="1" ht="12" customHeight="1" x14ac:dyDescent="0.2">
      <c r="A108" s="45"/>
      <c r="B108" s="33"/>
      <c r="C108" s="49" t="s">
        <v>229</v>
      </c>
      <c r="D108" s="77" t="s">
        <v>84</v>
      </c>
      <c r="E108" s="44">
        <v>0</v>
      </c>
      <c r="F108" s="69">
        <v>34000</v>
      </c>
      <c r="G108" s="44"/>
      <c r="H108" s="44">
        <f t="shared" si="20"/>
        <v>34000</v>
      </c>
    </row>
    <row r="109" spans="1:8" s="1" customFormat="1" ht="12" customHeight="1" x14ac:dyDescent="0.2">
      <c r="A109" s="45"/>
      <c r="B109" s="33"/>
      <c r="C109" s="37">
        <v>4306</v>
      </c>
      <c r="D109" s="68" t="s">
        <v>44</v>
      </c>
      <c r="E109" s="44">
        <v>42364.899999999994</v>
      </c>
      <c r="F109" s="207">
        <v>9000</v>
      </c>
      <c r="G109" s="44"/>
      <c r="H109" s="44">
        <f t="shared" si="20"/>
        <v>51364.899999999994</v>
      </c>
    </row>
    <row r="110" spans="1:8" s="1" customFormat="1" ht="12" customHeight="1" x14ac:dyDescent="0.2">
      <c r="A110" s="45"/>
      <c r="B110" s="33"/>
      <c r="C110" s="37">
        <v>4307</v>
      </c>
      <c r="D110" s="68" t="s">
        <v>44</v>
      </c>
      <c r="E110" s="44">
        <v>240067.79</v>
      </c>
      <c r="F110" s="69">
        <v>51000</v>
      </c>
      <c r="G110" s="44"/>
      <c r="H110" s="44">
        <f t="shared" si="20"/>
        <v>291067.79000000004</v>
      </c>
    </row>
    <row r="111" spans="1:8" s="1" customFormat="1" ht="12" customHeight="1" x14ac:dyDescent="0.2">
      <c r="A111" s="72">
        <v>754</v>
      </c>
      <c r="B111" s="73"/>
      <c r="C111" s="73"/>
      <c r="D111" s="74" t="s">
        <v>49</v>
      </c>
      <c r="E111" s="58"/>
      <c r="F111" s="58"/>
      <c r="G111" s="58"/>
      <c r="H111" s="58"/>
    </row>
    <row r="112" spans="1:8" s="1" customFormat="1" ht="12" customHeight="1" thickBot="1" x14ac:dyDescent="0.25">
      <c r="A112" s="72"/>
      <c r="B112" s="73"/>
      <c r="C112" s="73"/>
      <c r="D112" s="74" t="s">
        <v>21</v>
      </c>
      <c r="E112" s="31">
        <v>6117998</v>
      </c>
      <c r="F112" s="36">
        <f>SUM(F113)</f>
        <v>2400</v>
      </c>
      <c r="G112" s="36">
        <f>SUM(G113)</f>
        <v>2400</v>
      </c>
      <c r="H112" s="31">
        <f>SUM(E112+F112-G112)</f>
        <v>6117998</v>
      </c>
    </row>
    <row r="113" spans="1:8" s="1" customFormat="1" ht="12" customHeight="1" thickTop="1" x14ac:dyDescent="0.2">
      <c r="A113" s="25"/>
      <c r="B113" s="62">
        <v>75416</v>
      </c>
      <c r="C113" s="62"/>
      <c r="D113" s="82" t="s">
        <v>232</v>
      </c>
      <c r="E113" s="39">
        <v>5578476</v>
      </c>
      <c r="F113" s="40">
        <f>SUM(F114)</f>
        <v>2400</v>
      </c>
      <c r="G113" s="40">
        <f>SUM(G114)</f>
        <v>2400</v>
      </c>
      <c r="H113" s="39">
        <f>SUM(E113+F113-G113)</f>
        <v>5578476</v>
      </c>
    </row>
    <row r="114" spans="1:8" s="1" customFormat="1" ht="12" customHeight="1" x14ac:dyDescent="0.2">
      <c r="A114" s="25"/>
      <c r="B114" s="62"/>
      <c r="C114" s="62"/>
      <c r="D114" s="386" t="s">
        <v>233</v>
      </c>
      <c r="E114" s="83">
        <v>4364878</v>
      </c>
      <c r="F114" s="377">
        <f>SUM(F115:F116)</f>
        <v>2400</v>
      </c>
      <c r="G114" s="377">
        <f>SUM(G115:G116)</f>
        <v>2400</v>
      </c>
      <c r="H114" s="85">
        <f>SUM(E114+F114-G114)</f>
        <v>4364878</v>
      </c>
    </row>
    <row r="115" spans="1:8" s="1" customFormat="1" ht="12" customHeight="1" x14ac:dyDescent="0.2">
      <c r="A115" s="32"/>
      <c r="B115" s="27"/>
      <c r="C115" s="37">
        <v>4170</v>
      </c>
      <c r="D115" s="68" t="s">
        <v>48</v>
      </c>
      <c r="E115" s="208">
        <v>5000</v>
      </c>
      <c r="F115" s="208">
        <v>2400</v>
      </c>
      <c r="G115" s="208"/>
      <c r="H115" s="43">
        <f t="shared" ref="H115:H116" si="26">SUM(E115+F115-G115)</f>
        <v>7400</v>
      </c>
    </row>
    <row r="116" spans="1:8" s="1" customFormat="1" ht="12" customHeight="1" x14ac:dyDescent="0.2">
      <c r="A116" s="32"/>
      <c r="B116" s="27"/>
      <c r="C116" s="37">
        <v>4710</v>
      </c>
      <c r="D116" s="77" t="s">
        <v>65</v>
      </c>
      <c r="E116" s="208">
        <v>18000</v>
      </c>
      <c r="F116" s="208"/>
      <c r="G116" s="208">
        <v>2400</v>
      </c>
      <c r="H116" s="43">
        <f t="shared" si="26"/>
        <v>15600</v>
      </c>
    </row>
    <row r="117" spans="1:8" s="1" customFormat="1" ht="12" customHeight="1" thickBot="1" x14ac:dyDescent="0.25">
      <c r="A117" s="33">
        <v>758</v>
      </c>
      <c r="B117" s="33"/>
      <c r="C117" s="34"/>
      <c r="D117" s="35" t="s">
        <v>51</v>
      </c>
      <c r="E117" s="31">
        <v>25121563.849999998</v>
      </c>
      <c r="F117" s="36">
        <f>SUM(F118)</f>
        <v>0</v>
      </c>
      <c r="G117" s="36">
        <f>SUM(G118)</f>
        <v>3506800</v>
      </c>
      <c r="H117" s="31">
        <f>SUM(E117+F117-G117)</f>
        <v>21614763.849999998</v>
      </c>
    </row>
    <row r="118" spans="1:8" s="1" customFormat="1" ht="12" customHeight="1" thickTop="1" x14ac:dyDescent="0.2">
      <c r="A118" s="26"/>
      <c r="B118" s="45">
        <v>75818</v>
      </c>
      <c r="C118" s="27"/>
      <c r="D118" s="56" t="s">
        <v>52</v>
      </c>
      <c r="E118" s="39">
        <v>25121563.849999998</v>
      </c>
      <c r="F118" s="40">
        <f>SUM(F119,F121)</f>
        <v>0</v>
      </c>
      <c r="G118" s="40">
        <f>SUM(G119,G121)</f>
        <v>3506800</v>
      </c>
      <c r="H118" s="39">
        <f>SUM(E118+F118-G118)</f>
        <v>21614763.849999998</v>
      </c>
    </row>
    <row r="119" spans="1:8" s="1" customFormat="1" ht="12" customHeight="1" x14ac:dyDescent="0.2">
      <c r="A119" s="26"/>
      <c r="B119" s="45"/>
      <c r="C119" s="27" t="s">
        <v>53</v>
      </c>
      <c r="D119" s="75" t="s">
        <v>54</v>
      </c>
      <c r="E119" s="76">
        <v>16872747.539999999</v>
      </c>
      <c r="F119" s="76">
        <f>SUM(F120:F120)</f>
        <v>0</v>
      </c>
      <c r="G119" s="76">
        <f>SUM(G120:G120)</f>
        <v>56800</v>
      </c>
      <c r="H119" s="76">
        <f>SUM(E119+F119-G119)</f>
        <v>16815947.539999999</v>
      </c>
    </row>
    <row r="120" spans="1:8" s="1" customFormat="1" ht="12" customHeight="1" x14ac:dyDescent="0.2">
      <c r="A120" s="26"/>
      <c r="B120" s="45"/>
      <c r="C120" s="27"/>
      <c r="D120" s="77" t="s">
        <v>55</v>
      </c>
      <c r="E120" s="69">
        <v>14518847.539999999</v>
      </c>
      <c r="F120" s="69"/>
      <c r="G120" s="69">
        <v>56800</v>
      </c>
      <c r="H120" s="69">
        <f t="shared" ref="H120:H123" si="27">SUM(E120+F120-G120)</f>
        <v>14462047.539999999</v>
      </c>
    </row>
    <row r="121" spans="1:8" s="1" customFormat="1" ht="12" customHeight="1" x14ac:dyDescent="0.2">
      <c r="A121" s="33"/>
      <c r="B121" s="27"/>
      <c r="C121" s="27" t="s">
        <v>56</v>
      </c>
      <c r="D121" s="75" t="s">
        <v>57</v>
      </c>
      <c r="E121" s="58">
        <v>8248816.3099999996</v>
      </c>
      <c r="F121" s="69">
        <f t="shared" ref="F121" si="28">SUM(F122)</f>
        <v>0</v>
      </c>
      <c r="G121" s="69">
        <f>SUM(G122:G123)</f>
        <v>3450000</v>
      </c>
      <c r="H121" s="69">
        <f t="shared" si="27"/>
        <v>4798816.3099999996</v>
      </c>
    </row>
    <row r="122" spans="1:8" s="1" customFormat="1" ht="12" customHeight="1" x14ac:dyDescent="0.2">
      <c r="A122" s="33"/>
      <c r="B122" s="27"/>
      <c r="C122" s="27"/>
      <c r="D122" s="387" t="s">
        <v>58</v>
      </c>
      <c r="E122" s="58">
        <v>7248816.3099999996</v>
      </c>
      <c r="F122" s="69"/>
      <c r="G122" s="69">
        <v>2500000</v>
      </c>
      <c r="H122" s="69">
        <f t="shared" si="27"/>
        <v>4748816.3099999996</v>
      </c>
    </row>
    <row r="123" spans="1:8" s="1" customFormat="1" ht="12" customHeight="1" x14ac:dyDescent="0.2">
      <c r="A123" s="33"/>
      <c r="B123" s="27"/>
      <c r="C123" s="27"/>
      <c r="D123" s="387" t="s">
        <v>234</v>
      </c>
      <c r="E123" s="58">
        <v>1000000</v>
      </c>
      <c r="F123" s="69"/>
      <c r="G123" s="69">
        <v>950000</v>
      </c>
      <c r="H123" s="69">
        <f t="shared" si="27"/>
        <v>50000</v>
      </c>
    </row>
    <row r="124" spans="1:8" s="1" customFormat="1" ht="12" customHeight="1" thickBot="1" x14ac:dyDescent="0.25">
      <c r="A124" s="33">
        <v>801</v>
      </c>
      <c r="B124" s="33"/>
      <c r="C124" s="34"/>
      <c r="D124" s="35" t="s">
        <v>23</v>
      </c>
      <c r="E124" s="31">
        <v>291710641.57999998</v>
      </c>
      <c r="F124" s="36">
        <f>SUM(F125,F142,F149,F159,F169,F175,F182,F187,F190,F198,F203)</f>
        <v>900607.56</v>
      </c>
      <c r="G124" s="36">
        <f>SUM(G125,G142,G149,G159,G169,G175,G182,G187,G190,G198,G203)</f>
        <v>691662.55999999994</v>
      </c>
      <c r="H124" s="31">
        <f>SUM(E124+F124-G124)</f>
        <v>291919586.57999998</v>
      </c>
    </row>
    <row r="125" spans="1:8" s="1" customFormat="1" ht="12" customHeight="1" thickTop="1" x14ac:dyDescent="0.2">
      <c r="A125" s="33"/>
      <c r="B125" s="45">
        <v>80101</v>
      </c>
      <c r="C125" s="27"/>
      <c r="D125" s="38" t="s">
        <v>59</v>
      </c>
      <c r="E125" s="39">
        <v>78725708.539999992</v>
      </c>
      <c r="F125" s="40">
        <f>SUM(F126,F139)</f>
        <v>197355.17</v>
      </c>
      <c r="G125" s="40">
        <f>SUM(G126,G139)</f>
        <v>330678.17</v>
      </c>
      <c r="H125" s="39">
        <f>SUM(E125+F125-G125)</f>
        <v>78592385.539999992</v>
      </c>
    </row>
    <row r="126" spans="1:8" s="1" customFormat="1" ht="12" customHeight="1" x14ac:dyDescent="0.2">
      <c r="A126" s="33"/>
      <c r="B126" s="45"/>
      <c r="C126" s="27"/>
      <c r="D126" s="381" t="s">
        <v>60</v>
      </c>
      <c r="E126" s="83">
        <v>70119848.149999991</v>
      </c>
      <c r="F126" s="83">
        <f>SUM(F127:F138)</f>
        <v>191212</v>
      </c>
      <c r="G126" s="83">
        <f>SUM(G127:G138)</f>
        <v>324535</v>
      </c>
      <c r="H126" s="85">
        <f>SUM(E126+F126-G126)</f>
        <v>69986525.149999991</v>
      </c>
    </row>
    <row r="127" spans="1:8" s="1" customFormat="1" ht="12" customHeight="1" x14ac:dyDescent="0.2">
      <c r="A127" s="33"/>
      <c r="B127" s="45"/>
      <c r="C127" s="37">
        <v>3020</v>
      </c>
      <c r="D127" s="68" t="s">
        <v>89</v>
      </c>
      <c r="E127" s="69">
        <v>108109</v>
      </c>
      <c r="F127" s="69">
        <v>16994</v>
      </c>
      <c r="G127" s="69"/>
      <c r="H127" s="43">
        <f t="shared" ref="H127:H138" si="29">SUM(E127+F127-G127)</f>
        <v>125103</v>
      </c>
    </row>
    <row r="128" spans="1:8" s="1" customFormat="1" ht="12" customHeight="1" x14ac:dyDescent="0.2">
      <c r="A128" s="33"/>
      <c r="B128" s="45"/>
      <c r="C128" s="37">
        <v>4010</v>
      </c>
      <c r="D128" s="68" t="s">
        <v>70</v>
      </c>
      <c r="E128" s="69">
        <v>8411175</v>
      </c>
      <c r="F128" s="69">
        <v>25028</v>
      </c>
      <c r="G128" s="69"/>
      <c r="H128" s="43">
        <f t="shared" si="29"/>
        <v>8436203</v>
      </c>
    </row>
    <row r="129" spans="1:8" s="1" customFormat="1" ht="12" customHeight="1" x14ac:dyDescent="0.2">
      <c r="A129" s="33"/>
      <c r="B129" s="45"/>
      <c r="C129" s="37">
        <v>4040</v>
      </c>
      <c r="D129" s="68" t="s">
        <v>108</v>
      </c>
      <c r="E129" s="69">
        <v>741424</v>
      </c>
      <c r="F129" s="69"/>
      <c r="G129" s="69">
        <v>13737</v>
      </c>
      <c r="H129" s="43">
        <f t="shared" si="29"/>
        <v>727687</v>
      </c>
    </row>
    <row r="130" spans="1:8" s="1" customFormat="1" ht="12" customHeight="1" x14ac:dyDescent="0.2">
      <c r="A130" s="33"/>
      <c r="B130" s="45"/>
      <c r="C130" s="37">
        <v>4110</v>
      </c>
      <c r="D130" s="68" t="s">
        <v>61</v>
      </c>
      <c r="E130" s="69">
        <v>8773203.9399999995</v>
      </c>
      <c r="F130" s="69">
        <v>4185</v>
      </c>
      <c r="G130" s="69"/>
      <c r="H130" s="43">
        <f t="shared" si="29"/>
        <v>8777388.9399999995</v>
      </c>
    </row>
    <row r="131" spans="1:8" s="1" customFormat="1" ht="12" customHeight="1" x14ac:dyDescent="0.2">
      <c r="A131" s="52"/>
      <c r="B131" s="78"/>
      <c r="C131" s="79">
        <v>4120</v>
      </c>
      <c r="D131" s="38" t="s">
        <v>62</v>
      </c>
      <c r="E131" s="67">
        <v>1241539.4099999999</v>
      </c>
      <c r="F131" s="67">
        <v>947</v>
      </c>
      <c r="G131" s="67"/>
      <c r="H131" s="39">
        <f t="shared" si="29"/>
        <v>1242486.4099999999</v>
      </c>
    </row>
    <row r="132" spans="1:8" s="1" customFormat="1" ht="12" customHeight="1" x14ac:dyDescent="0.2">
      <c r="A132" s="33"/>
      <c r="B132" s="45"/>
      <c r="C132" s="49" t="s">
        <v>109</v>
      </c>
      <c r="D132" s="77" t="s">
        <v>84</v>
      </c>
      <c r="E132" s="69">
        <v>651897</v>
      </c>
      <c r="F132" s="69">
        <v>3700</v>
      </c>
      <c r="G132" s="69"/>
      <c r="H132" s="43">
        <f t="shared" si="29"/>
        <v>655597</v>
      </c>
    </row>
    <row r="133" spans="1:8" s="1" customFormat="1" ht="12" customHeight="1" x14ac:dyDescent="0.2">
      <c r="A133" s="33"/>
      <c r="B133" s="45"/>
      <c r="C133" s="37">
        <v>4260</v>
      </c>
      <c r="D133" s="68" t="s">
        <v>64</v>
      </c>
      <c r="E133" s="69">
        <v>3866286</v>
      </c>
      <c r="F133" s="69">
        <v>135000</v>
      </c>
      <c r="G133" s="69"/>
      <c r="H133" s="43">
        <f t="shared" si="29"/>
        <v>4001286</v>
      </c>
    </row>
    <row r="134" spans="1:8" s="1" customFormat="1" ht="12" customHeight="1" x14ac:dyDescent="0.2">
      <c r="A134" s="33"/>
      <c r="B134" s="45"/>
      <c r="C134" s="37">
        <v>4270</v>
      </c>
      <c r="D134" s="68" t="s">
        <v>110</v>
      </c>
      <c r="E134" s="69">
        <v>212428</v>
      </c>
      <c r="F134" s="69">
        <v>5300</v>
      </c>
      <c r="G134" s="69"/>
      <c r="H134" s="43">
        <f t="shared" si="29"/>
        <v>217728</v>
      </c>
    </row>
    <row r="135" spans="1:8" s="1" customFormat="1" ht="12" customHeight="1" x14ac:dyDescent="0.2">
      <c r="A135" s="33"/>
      <c r="B135" s="45"/>
      <c r="C135" s="45">
        <v>4300</v>
      </c>
      <c r="D135" s="68" t="s">
        <v>44</v>
      </c>
      <c r="E135" s="58">
        <v>824762</v>
      </c>
      <c r="F135" s="58"/>
      <c r="G135" s="58">
        <v>58</v>
      </c>
      <c r="H135" s="43">
        <f t="shared" si="29"/>
        <v>824704</v>
      </c>
    </row>
    <row r="136" spans="1:8" s="1" customFormat="1" ht="12" customHeight="1" x14ac:dyDescent="0.2">
      <c r="A136" s="33"/>
      <c r="B136" s="45"/>
      <c r="C136" s="37">
        <v>4430</v>
      </c>
      <c r="D136" s="68" t="s">
        <v>69</v>
      </c>
      <c r="E136" s="58">
        <v>8122</v>
      </c>
      <c r="F136" s="58">
        <v>58</v>
      </c>
      <c r="G136" s="58"/>
      <c r="H136" s="43">
        <f t="shared" si="29"/>
        <v>8180</v>
      </c>
    </row>
    <row r="137" spans="1:8" s="1" customFormat="1" ht="12" customHeight="1" x14ac:dyDescent="0.2">
      <c r="A137" s="33"/>
      <c r="B137" s="45"/>
      <c r="C137" s="37">
        <v>4710</v>
      </c>
      <c r="D137" s="77" t="s">
        <v>65</v>
      </c>
      <c r="E137" s="58">
        <v>294608.18</v>
      </c>
      <c r="F137" s="58"/>
      <c r="G137" s="58">
        <v>85500</v>
      </c>
      <c r="H137" s="43">
        <f t="shared" si="29"/>
        <v>209108.18</v>
      </c>
    </row>
    <row r="138" spans="1:8" s="1" customFormat="1" ht="12" customHeight="1" x14ac:dyDescent="0.2">
      <c r="A138" s="33"/>
      <c r="B138" s="45"/>
      <c r="C138" s="62">
        <v>4800</v>
      </c>
      <c r="D138" s="81" t="s">
        <v>77</v>
      </c>
      <c r="E138" s="69">
        <v>3452140</v>
      </c>
      <c r="F138" s="69"/>
      <c r="G138" s="69">
        <v>225240</v>
      </c>
      <c r="H138" s="43">
        <f t="shared" si="29"/>
        <v>3226900</v>
      </c>
    </row>
    <row r="139" spans="1:8" s="1" customFormat="1" ht="21.75" customHeight="1" x14ac:dyDescent="0.2">
      <c r="A139" s="33"/>
      <c r="B139" s="45"/>
      <c r="C139" s="27"/>
      <c r="D139" s="385" t="s">
        <v>235</v>
      </c>
      <c r="E139" s="83">
        <v>568477.54</v>
      </c>
      <c r="F139" s="83">
        <f>SUM(F140:F141)</f>
        <v>6143.17</v>
      </c>
      <c r="G139" s="83">
        <f>SUM(G140:G141)</f>
        <v>6143.17</v>
      </c>
      <c r="H139" s="85">
        <f>SUM(E139+F139-G139)</f>
        <v>568477.54</v>
      </c>
    </row>
    <row r="140" spans="1:8" s="1" customFormat="1" ht="12" customHeight="1" x14ac:dyDescent="0.2">
      <c r="A140" s="33"/>
      <c r="B140" s="45"/>
      <c r="C140" s="49" t="s">
        <v>109</v>
      </c>
      <c r="D140" s="77" t="s">
        <v>84</v>
      </c>
      <c r="E140" s="69">
        <v>97868.56</v>
      </c>
      <c r="F140" s="69"/>
      <c r="G140" s="69">
        <v>6143.17</v>
      </c>
      <c r="H140" s="43">
        <f t="shared" ref="H140:H141" si="30">SUM(E140+F140-G140)</f>
        <v>91725.39</v>
      </c>
    </row>
    <row r="141" spans="1:8" s="1" customFormat="1" ht="12" customHeight="1" x14ac:dyDescent="0.2">
      <c r="A141" s="33"/>
      <c r="B141" s="45"/>
      <c r="C141" s="37">
        <v>4240</v>
      </c>
      <c r="D141" s="68" t="s">
        <v>63</v>
      </c>
      <c r="E141" s="69">
        <v>470608.98</v>
      </c>
      <c r="F141" s="69">
        <v>6143.17</v>
      </c>
      <c r="G141" s="69"/>
      <c r="H141" s="43">
        <f t="shared" si="30"/>
        <v>476752.14999999997</v>
      </c>
    </row>
    <row r="142" spans="1:8" s="1" customFormat="1" ht="12" customHeight="1" x14ac:dyDescent="0.2">
      <c r="A142" s="33"/>
      <c r="B142" s="45">
        <v>80102</v>
      </c>
      <c r="C142" s="27"/>
      <c r="D142" s="38" t="s">
        <v>66</v>
      </c>
      <c r="E142" s="40">
        <v>10092062</v>
      </c>
      <c r="F142" s="40">
        <f>SUM(F143)</f>
        <v>4156</v>
      </c>
      <c r="G142" s="40">
        <f>SUM(G143)</f>
        <v>25000</v>
      </c>
      <c r="H142" s="39">
        <f>SUM(E142+F142-G142)</f>
        <v>10071218</v>
      </c>
    </row>
    <row r="143" spans="1:8" s="1" customFormat="1" ht="12" customHeight="1" x14ac:dyDescent="0.2">
      <c r="A143" s="33"/>
      <c r="B143" s="45"/>
      <c r="C143" s="27"/>
      <c r="D143" s="381" t="s">
        <v>60</v>
      </c>
      <c r="E143" s="83">
        <v>10092062</v>
      </c>
      <c r="F143" s="83">
        <f>SUM(F144:F148)</f>
        <v>4156</v>
      </c>
      <c r="G143" s="83">
        <f>SUM(G144:G148)</f>
        <v>25000</v>
      </c>
      <c r="H143" s="85">
        <f>SUM(E143+F143-G143)</f>
        <v>10071218</v>
      </c>
    </row>
    <row r="144" spans="1:8" s="1" customFormat="1" ht="12" customHeight="1" x14ac:dyDescent="0.2">
      <c r="A144" s="33"/>
      <c r="B144" s="45"/>
      <c r="C144" s="37">
        <v>4010</v>
      </c>
      <c r="D144" s="68" t="s">
        <v>70</v>
      </c>
      <c r="E144" s="69">
        <v>1117863</v>
      </c>
      <c r="F144" s="69">
        <v>3368</v>
      </c>
      <c r="G144" s="69"/>
      <c r="H144" s="43">
        <f t="shared" ref="H144:H148" si="31">SUM(E144+F144-G144)</f>
        <v>1121231</v>
      </c>
    </row>
    <row r="145" spans="1:8" s="1" customFormat="1" ht="12" customHeight="1" x14ac:dyDescent="0.2">
      <c r="A145" s="33"/>
      <c r="B145" s="45"/>
      <c r="C145" s="37">
        <v>4040</v>
      </c>
      <c r="D145" s="68" t="s">
        <v>108</v>
      </c>
      <c r="E145" s="69">
        <v>88164</v>
      </c>
      <c r="F145" s="69"/>
      <c r="G145" s="69">
        <v>5000</v>
      </c>
      <c r="H145" s="43">
        <f t="shared" si="31"/>
        <v>83164</v>
      </c>
    </row>
    <row r="146" spans="1:8" s="1" customFormat="1" ht="12" customHeight="1" x14ac:dyDescent="0.2">
      <c r="A146" s="33"/>
      <c r="B146" s="45"/>
      <c r="C146" s="37">
        <v>4110</v>
      </c>
      <c r="D146" s="68" t="s">
        <v>61</v>
      </c>
      <c r="E146" s="69">
        <v>1367906</v>
      </c>
      <c r="F146" s="69">
        <v>579</v>
      </c>
      <c r="G146" s="69"/>
      <c r="H146" s="43">
        <f t="shared" si="31"/>
        <v>1368485</v>
      </c>
    </row>
    <row r="147" spans="1:8" s="1" customFormat="1" ht="12" customHeight="1" x14ac:dyDescent="0.2">
      <c r="A147" s="33"/>
      <c r="B147" s="45"/>
      <c r="C147" s="37">
        <v>4120</v>
      </c>
      <c r="D147" s="68" t="s">
        <v>62</v>
      </c>
      <c r="E147" s="69">
        <v>220412</v>
      </c>
      <c r="F147" s="69">
        <v>209</v>
      </c>
      <c r="G147" s="69"/>
      <c r="H147" s="43">
        <f t="shared" si="31"/>
        <v>220621</v>
      </c>
    </row>
    <row r="148" spans="1:8" s="1" customFormat="1" ht="12" customHeight="1" x14ac:dyDescent="0.2">
      <c r="A148" s="33"/>
      <c r="B148" s="45"/>
      <c r="C148" s="37">
        <v>4710</v>
      </c>
      <c r="D148" s="77" t="s">
        <v>65</v>
      </c>
      <c r="E148" s="69">
        <v>65105</v>
      </c>
      <c r="F148" s="69"/>
      <c r="G148" s="69">
        <v>20000</v>
      </c>
      <c r="H148" s="43">
        <f t="shared" si="31"/>
        <v>45105</v>
      </c>
    </row>
    <row r="149" spans="1:8" s="1" customFormat="1" ht="12" customHeight="1" x14ac:dyDescent="0.2">
      <c r="A149" s="33"/>
      <c r="B149" s="45">
        <v>80104</v>
      </c>
      <c r="C149" s="27"/>
      <c r="D149" s="38" t="s">
        <v>67</v>
      </c>
      <c r="E149" s="40">
        <v>37516773.460000001</v>
      </c>
      <c r="F149" s="40">
        <f>SUM(F150)</f>
        <v>23682</v>
      </c>
      <c r="G149" s="40">
        <f>SUM(G150)</f>
        <v>15015</v>
      </c>
      <c r="H149" s="39">
        <f>SUM(E149+F149-G149)</f>
        <v>37525440.460000001</v>
      </c>
    </row>
    <row r="150" spans="1:8" s="1" customFormat="1" ht="12" customHeight="1" x14ac:dyDescent="0.2">
      <c r="A150" s="33"/>
      <c r="B150" s="45"/>
      <c r="C150" s="27"/>
      <c r="D150" s="381" t="s">
        <v>60</v>
      </c>
      <c r="E150" s="83">
        <v>27845875</v>
      </c>
      <c r="F150" s="83">
        <f>SUM(F151:F158)</f>
        <v>23682</v>
      </c>
      <c r="G150" s="83">
        <f>SUM(G151:G158)</f>
        <v>15015</v>
      </c>
      <c r="H150" s="85">
        <f>SUM(E150+F150-G150)</f>
        <v>27854542</v>
      </c>
    </row>
    <row r="151" spans="1:8" s="1" customFormat="1" ht="12" customHeight="1" x14ac:dyDescent="0.2">
      <c r="A151" s="33"/>
      <c r="B151" s="45"/>
      <c r="C151" s="37">
        <v>4010</v>
      </c>
      <c r="D151" s="68" t="s">
        <v>70</v>
      </c>
      <c r="E151" s="58">
        <v>8095747</v>
      </c>
      <c r="F151" s="58">
        <v>7086</v>
      </c>
      <c r="G151" s="58"/>
      <c r="H151" s="43">
        <f t="shared" ref="H151:H158" si="32">SUM(E151+F151-G151)</f>
        <v>8102833</v>
      </c>
    </row>
    <row r="152" spans="1:8" s="1" customFormat="1" ht="12" customHeight="1" x14ac:dyDescent="0.2">
      <c r="A152" s="33"/>
      <c r="B152" s="45"/>
      <c r="C152" s="37">
        <v>4110</v>
      </c>
      <c r="D152" s="68" t="s">
        <v>61</v>
      </c>
      <c r="E152" s="58">
        <v>3434658</v>
      </c>
      <c r="F152" s="58">
        <v>1212</v>
      </c>
      <c r="G152" s="58"/>
      <c r="H152" s="43">
        <f t="shared" si="32"/>
        <v>3435870</v>
      </c>
    </row>
    <row r="153" spans="1:8" s="1" customFormat="1" ht="12" customHeight="1" x14ac:dyDescent="0.2">
      <c r="A153" s="33"/>
      <c r="B153" s="45"/>
      <c r="C153" s="37">
        <v>4120</v>
      </c>
      <c r="D153" s="68" t="s">
        <v>62</v>
      </c>
      <c r="E153" s="58">
        <v>485133</v>
      </c>
      <c r="F153" s="58">
        <v>369</v>
      </c>
      <c r="G153" s="58"/>
      <c r="H153" s="43">
        <f t="shared" si="32"/>
        <v>485502</v>
      </c>
    </row>
    <row r="154" spans="1:8" s="1" customFormat="1" ht="12" customHeight="1" x14ac:dyDescent="0.2">
      <c r="A154" s="33"/>
      <c r="B154" s="45"/>
      <c r="C154" s="37">
        <v>4260</v>
      </c>
      <c r="D154" s="68" t="s">
        <v>64</v>
      </c>
      <c r="E154" s="58">
        <v>1323382</v>
      </c>
      <c r="F154" s="58">
        <v>15000</v>
      </c>
      <c r="G154" s="58"/>
      <c r="H154" s="43">
        <f t="shared" si="32"/>
        <v>1338382</v>
      </c>
    </row>
    <row r="155" spans="1:8" s="1" customFormat="1" ht="12" customHeight="1" x14ac:dyDescent="0.2">
      <c r="A155" s="33"/>
      <c r="B155" s="45"/>
      <c r="C155" s="45">
        <v>4300</v>
      </c>
      <c r="D155" s="68" t="s">
        <v>44</v>
      </c>
      <c r="E155" s="58">
        <v>575436</v>
      </c>
      <c r="F155" s="58"/>
      <c r="G155" s="58">
        <v>15</v>
      </c>
      <c r="H155" s="43">
        <f t="shared" si="32"/>
        <v>575421</v>
      </c>
    </row>
    <row r="156" spans="1:8" s="1" customFormat="1" ht="12" customHeight="1" x14ac:dyDescent="0.2">
      <c r="A156" s="33"/>
      <c r="B156" s="45"/>
      <c r="C156" s="37">
        <v>4410</v>
      </c>
      <c r="D156" s="77" t="s">
        <v>68</v>
      </c>
      <c r="E156" s="58">
        <v>5319</v>
      </c>
      <c r="F156" s="58">
        <v>15</v>
      </c>
      <c r="G156" s="58"/>
      <c r="H156" s="43">
        <f t="shared" si="32"/>
        <v>5334</v>
      </c>
    </row>
    <row r="157" spans="1:8" s="1" customFormat="1" ht="12" customHeight="1" x14ac:dyDescent="0.2">
      <c r="A157" s="33"/>
      <c r="B157" s="45"/>
      <c r="C157" s="37">
        <v>4710</v>
      </c>
      <c r="D157" s="77" t="s">
        <v>65</v>
      </c>
      <c r="E157" s="58">
        <v>205458</v>
      </c>
      <c r="F157" s="58"/>
      <c r="G157" s="58">
        <v>2000</v>
      </c>
      <c r="H157" s="43">
        <f t="shared" si="32"/>
        <v>203458</v>
      </c>
    </row>
    <row r="158" spans="1:8" s="1" customFormat="1" ht="12" customHeight="1" x14ac:dyDescent="0.2">
      <c r="A158" s="33"/>
      <c r="B158" s="45"/>
      <c r="C158" s="62">
        <v>4800</v>
      </c>
      <c r="D158" s="81" t="s">
        <v>77</v>
      </c>
      <c r="E158" s="58">
        <v>987568</v>
      </c>
      <c r="F158" s="58"/>
      <c r="G158" s="58">
        <v>13000</v>
      </c>
      <c r="H158" s="43">
        <f t="shared" si="32"/>
        <v>974568</v>
      </c>
    </row>
    <row r="159" spans="1:8" s="1" customFormat="1" ht="12" customHeight="1" x14ac:dyDescent="0.2">
      <c r="A159" s="33"/>
      <c r="B159" s="45">
        <v>80115</v>
      </c>
      <c r="C159" s="27"/>
      <c r="D159" s="38" t="s">
        <v>71</v>
      </c>
      <c r="E159" s="39">
        <v>40074238.149999999</v>
      </c>
      <c r="F159" s="40">
        <f>SUM(F160)</f>
        <v>73000</v>
      </c>
      <c r="G159" s="40">
        <f>SUM(G160)</f>
        <v>108400</v>
      </c>
      <c r="H159" s="39">
        <f>SUM(E159+F159-G159)</f>
        <v>40038838.149999999</v>
      </c>
    </row>
    <row r="160" spans="1:8" s="1" customFormat="1" ht="12" customHeight="1" x14ac:dyDescent="0.2">
      <c r="A160" s="33"/>
      <c r="B160" s="45"/>
      <c r="C160" s="27"/>
      <c r="D160" s="381" t="s">
        <v>60</v>
      </c>
      <c r="E160" s="83">
        <v>36669058.149999999</v>
      </c>
      <c r="F160" s="83">
        <f>SUM(F161:F168)</f>
        <v>73000</v>
      </c>
      <c r="G160" s="83">
        <f>SUM(G161:G168)</f>
        <v>108400</v>
      </c>
      <c r="H160" s="85">
        <f>SUM(E160+F160-G160)</f>
        <v>36633658.149999999</v>
      </c>
    </row>
    <row r="161" spans="1:8" s="1" customFormat="1" ht="12" customHeight="1" x14ac:dyDescent="0.2">
      <c r="A161" s="33"/>
      <c r="B161" s="45"/>
      <c r="C161" s="37">
        <v>4040</v>
      </c>
      <c r="D161" s="68" t="s">
        <v>108</v>
      </c>
      <c r="E161" s="43">
        <v>389970</v>
      </c>
      <c r="F161" s="44"/>
      <c r="G161" s="44">
        <v>7800</v>
      </c>
      <c r="H161" s="44">
        <f t="shared" ref="H161:H168" si="33">SUM(E161+F161-G161)</f>
        <v>382170</v>
      </c>
    </row>
    <row r="162" spans="1:8" s="1" customFormat="1" ht="22.5" customHeight="1" x14ac:dyDescent="0.2">
      <c r="A162" s="33"/>
      <c r="B162" s="45"/>
      <c r="C162" s="209">
        <v>4140</v>
      </c>
      <c r="D162" s="70" t="s">
        <v>236</v>
      </c>
      <c r="E162" s="43">
        <v>20350</v>
      </c>
      <c r="F162" s="44"/>
      <c r="G162" s="44">
        <v>2000</v>
      </c>
      <c r="H162" s="44">
        <f t="shared" si="33"/>
        <v>18350</v>
      </c>
    </row>
    <row r="163" spans="1:8" s="1" customFormat="1" ht="12" customHeight="1" x14ac:dyDescent="0.2">
      <c r="A163" s="33"/>
      <c r="B163" s="45"/>
      <c r="C163" s="37">
        <v>4240</v>
      </c>
      <c r="D163" s="68" t="s">
        <v>63</v>
      </c>
      <c r="E163" s="43">
        <v>265010</v>
      </c>
      <c r="F163" s="44"/>
      <c r="G163" s="44">
        <f>5200+18500</f>
        <v>23700</v>
      </c>
      <c r="H163" s="44">
        <f t="shared" si="33"/>
        <v>241310</v>
      </c>
    </row>
    <row r="164" spans="1:8" s="1" customFormat="1" ht="12" customHeight="1" x14ac:dyDescent="0.2">
      <c r="A164" s="33"/>
      <c r="B164" s="45"/>
      <c r="C164" s="37">
        <v>4260</v>
      </c>
      <c r="D164" s="68" t="s">
        <v>64</v>
      </c>
      <c r="E164" s="43">
        <v>1761022</v>
      </c>
      <c r="F164" s="69">
        <v>52000</v>
      </c>
      <c r="G164" s="69"/>
      <c r="H164" s="58">
        <f t="shared" si="33"/>
        <v>1813022</v>
      </c>
    </row>
    <row r="165" spans="1:8" s="1" customFormat="1" ht="12" customHeight="1" x14ac:dyDescent="0.2">
      <c r="A165" s="33"/>
      <c r="B165" s="45"/>
      <c r="C165" s="37">
        <v>4270</v>
      </c>
      <c r="D165" s="68" t="s">
        <v>110</v>
      </c>
      <c r="E165" s="43">
        <v>189548</v>
      </c>
      <c r="F165" s="69"/>
      <c r="G165" s="69">
        <v>16900</v>
      </c>
      <c r="H165" s="58">
        <f t="shared" si="33"/>
        <v>172648</v>
      </c>
    </row>
    <row r="166" spans="1:8" s="1" customFormat="1" ht="12" customHeight="1" x14ac:dyDescent="0.2">
      <c r="A166" s="33"/>
      <c r="B166" s="45"/>
      <c r="C166" s="45">
        <v>4300</v>
      </c>
      <c r="D166" s="68" t="s">
        <v>44</v>
      </c>
      <c r="E166" s="43">
        <v>334658</v>
      </c>
      <c r="F166" s="69">
        <v>21000</v>
      </c>
      <c r="G166" s="69"/>
      <c r="H166" s="58">
        <f t="shared" si="33"/>
        <v>355658</v>
      </c>
    </row>
    <row r="167" spans="1:8" s="1" customFormat="1" ht="12" customHeight="1" x14ac:dyDescent="0.2">
      <c r="A167" s="33"/>
      <c r="B167" s="45"/>
      <c r="C167" s="37">
        <v>4710</v>
      </c>
      <c r="D167" s="77" t="s">
        <v>65</v>
      </c>
      <c r="E167" s="43">
        <v>160238.16</v>
      </c>
      <c r="F167" s="69"/>
      <c r="G167" s="69">
        <f>2000+43000</f>
        <v>45000</v>
      </c>
      <c r="H167" s="58">
        <f t="shared" si="33"/>
        <v>115238.16</v>
      </c>
    </row>
    <row r="168" spans="1:8" s="1" customFormat="1" ht="12" customHeight="1" x14ac:dyDescent="0.2">
      <c r="A168" s="33"/>
      <c r="B168" s="45"/>
      <c r="C168" s="62">
        <v>4800</v>
      </c>
      <c r="D168" s="81" t="s">
        <v>77</v>
      </c>
      <c r="E168" s="43">
        <v>1862493</v>
      </c>
      <c r="F168" s="69"/>
      <c r="G168" s="69">
        <f>4000+9000</f>
        <v>13000</v>
      </c>
      <c r="H168" s="58">
        <f t="shared" si="33"/>
        <v>1849493</v>
      </c>
    </row>
    <row r="169" spans="1:8" s="1" customFormat="1" ht="12" customHeight="1" x14ac:dyDescent="0.2">
      <c r="A169" s="33"/>
      <c r="B169" s="45">
        <v>80117</v>
      </c>
      <c r="C169" s="27"/>
      <c r="D169" s="38" t="s">
        <v>73</v>
      </c>
      <c r="E169" s="67">
        <v>8267645.2400000002</v>
      </c>
      <c r="F169" s="40">
        <f>SUM(F170)</f>
        <v>61600</v>
      </c>
      <c r="G169" s="40">
        <f>SUM(G170)</f>
        <v>6100</v>
      </c>
      <c r="H169" s="39">
        <f>SUM(E169+F169-G169)</f>
        <v>8323145.2400000002</v>
      </c>
    </row>
    <row r="170" spans="1:8" s="1" customFormat="1" ht="12" customHeight="1" x14ac:dyDescent="0.2">
      <c r="A170" s="33"/>
      <c r="B170" s="33"/>
      <c r="C170" s="27"/>
      <c r="D170" s="381" t="s">
        <v>60</v>
      </c>
      <c r="E170" s="83">
        <v>5610661.2400000002</v>
      </c>
      <c r="F170" s="83">
        <f>SUM(F171:F174)</f>
        <v>61600</v>
      </c>
      <c r="G170" s="83">
        <f>SUM(G171:G174)</f>
        <v>6100</v>
      </c>
      <c r="H170" s="83">
        <f t="shared" ref="H170:H174" si="34">SUM(E170+F170-G170)</f>
        <v>5666161.2400000002</v>
      </c>
    </row>
    <row r="171" spans="1:8" s="1" customFormat="1" ht="12" customHeight="1" x14ac:dyDescent="0.2">
      <c r="A171" s="33"/>
      <c r="B171" s="45"/>
      <c r="C171" s="37">
        <v>4240</v>
      </c>
      <c r="D171" s="68" t="s">
        <v>63</v>
      </c>
      <c r="E171" s="58">
        <v>37577</v>
      </c>
      <c r="F171" s="69">
        <v>3500</v>
      </c>
      <c r="G171" s="69"/>
      <c r="H171" s="58">
        <f t="shared" si="34"/>
        <v>41077</v>
      </c>
    </row>
    <row r="172" spans="1:8" s="1" customFormat="1" ht="12" customHeight="1" x14ac:dyDescent="0.2">
      <c r="A172" s="33"/>
      <c r="B172" s="45"/>
      <c r="C172" s="37">
        <v>4260</v>
      </c>
      <c r="D172" s="68" t="s">
        <v>64</v>
      </c>
      <c r="E172" s="58">
        <v>378427</v>
      </c>
      <c r="F172" s="69">
        <v>52000</v>
      </c>
      <c r="G172" s="69"/>
      <c r="H172" s="58">
        <f t="shared" si="34"/>
        <v>430427</v>
      </c>
    </row>
    <row r="173" spans="1:8" s="1" customFormat="1" ht="12" customHeight="1" x14ac:dyDescent="0.2">
      <c r="A173" s="33"/>
      <c r="B173" s="45"/>
      <c r="C173" s="45">
        <v>4300</v>
      </c>
      <c r="D173" s="68" t="s">
        <v>44</v>
      </c>
      <c r="E173" s="58">
        <v>61619</v>
      </c>
      <c r="F173" s="69">
        <v>6100</v>
      </c>
      <c r="G173" s="69"/>
      <c r="H173" s="58">
        <f t="shared" si="34"/>
        <v>67719</v>
      </c>
    </row>
    <row r="174" spans="1:8" s="1" customFormat="1" ht="12" customHeight="1" x14ac:dyDescent="0.2">
      <c r="A174" s="33"/>
      <c r="B174" s="45"/>
      <c r="C174" s="62">
        <v>4800</v>
      </c>
      <c r="D174" s="81" t="s">
        <v>77</v>
      </c>
      <c r="E174" s="58">
        <v>273542</v>
      </c>
      <c r="F174" s="69"/>
      <c r="G174" s="69">
        <v>6100</v>
      </c>
      <c r="H174" s="58">
        <f t="shared" si="34"/>
        <v>267442</v>
      </c>
    </row>
    <row r="175" spans="1:8" s="1" customFormat="1" ht="12" customHeight="1" x14ac:dyDescent="0.2">
      <c r="A175" s="33"/>
      <c r="B175" s="62">
        <v>80120</v>
      </c>
      <c r="C175" s="80"/>
      <c r="D175" s="64" t="s">
        <v>74</v>
      </c>
      <c r="E175" s="67">
        <v>28070931.899999999</v>
      </c>
      <c r="F175" s="40">
        <f>SUM(F176,F180)</f>
        <v>94000</v>
      </c>
      <c r="G175" s="40">
        <f>SUM(G176,G180)</f>
        <v>59964.19</v>
      </c>
      <c r="H175" s="39">
        <f>SUM(E175+F175-G175)</f>
        <v>28104967.709999997</v>
      </c>
    </row>
    <row r="176" spans="1:8" s="1" customFormat="1" ht="12" customHeight="1" x14ac:dyDescent="0.2">
      <c r="A176" s="33"/>
      <c r="B176" s="33"/>
      <c r="C176" s="27"/>
      <c r="D176" s="381" t="s">
        <v>60</v>
      </c>
      <c r="E176" s="83">
        <v>20888568.25</v>
      </c>
      <c r="F176" s="83">
        <f>SUM(F177:F179)</f>
        <v>94000</v>
      </c>
      <c r="G176" s="83">
        <f>SUM(G177:G179)</f>
        <v>55500</v>
      </c>
      <c r="H176" s="83">
        <f t="shared" ref="H176:H179" si="35">SUM(E176+F176-G176)</f>
        <v>20927068.25</v>
      </c>
    </row>
    <row r="177" spans="1:8" s="1" customFormat="1" ht="12" customHeight="1" x14ac:dyDescent="0.2">
      <c r="A177" s="33"/>
      <c r="B177" s="45"/>
      <c r="C177" s="37">
        <v>4260</v>
      </c>
      <c r="D177" s="68" t="s">
        <v>64</v>
      </c>
      <c r="E177" s="43">
        <v>1210017</v>
      </c>
      <c r="F177" s="44">
        <v>94000</v>
      </c>
      <c r="G177" s="44"/>
      <c r="H177" s="44">
        <f t="shared" si="35"/>
        <v>1304017</v>
      </c>
    </row>
    <row r="178" spans="1:8" s="1" customFormat="1" ht="12" customHeight="1" x14ac:dyDescent="0.2">
      <c r="A178" s="33"/>
      <c r="B178" s="45"/>
      <c r="C178" s="37">
        <v>4710</v>
      </c>
      <c r="D178" s="77" t="s">
        <v>65</v>
      </c>
      <c r="E178" s="43">
        <v>134078.96</v>
      </c>
      <c r="F178" s="69"/>
      <c r="G178" s="69">
        <v>40000</v>
      </c>
      <c r="H178" s="58">
        <f t="shared" si="35"/>
        <v>94078.959999999992</v>
      </c>
    </row>
    <row r="179" spans="1:8" s="1" customFormat="1" ht="12" customHeight="1" x14ac:dyDescent="0.2">
      <c r="A179" s="33"/>
      <c r="B179" s="45"/>
      <c r="C179" s="62">
        <v>4800</v>
      </c>
      <c r="D179" s="81" t="s">
        <v>77</v>
      </c>
      <c r="E179" s="43">
        <v>1114132</v>
      </c>
      <c r="F179" s="69"/>
      <c r="G179" s="69">
        <v>15500</v>
      </c>
      <c r="H179" s="58">
        <f t="shared" si="35"/>
        <v>1098632</v>
      </c>
    </row>
    <row r="180" spans="1:8" s="1" customFormat="1" ht="12" customHeight="1" x14ac:dyDescent="0.2">
      <c r="A180" s="33"/>
      <c r="B180" s="45"/>
      <c r="C180" s="27"/>
      <c r="D180" s="376" t="s">
        <v>42</v>
      </c>
      <c r="E180" s="83">
        <v>400000</v>
      </c>
      <c r="F180" s="83">
        <f>SUM(F181:F181)</f>
        <v>0</v>
      </c>
      <c r="G180" s="83">
        <f>SUM(G181:G181)</f>
        <v>4464.1899999999996</v>
      </c>
      <c r="H180" s="85">
        <f>SUM(E180+F180-G180)</f>
        <v>395535.81</v>
      </c>
    </row>
    <row r="181" spans="1:8" s="1" customFormat="1" ht="12" customHeight="1" x14ac:dyDescent="0.2">
      <c r="A181" s="33"/>
      <c r="B181" s="45"/>
      <c r="C181" s="37">
        <v>4270</v>
      </c>
      <c r="D181" s="68" t="s">
        <v>110</v>
      </c>
      <c r="E181" s="69">
        <v>400000</v>
      </c>
      <c r="F181" s="69"/>
      <c r="G181" s="69">
        <v>4464.1899999999996</v>
      </c>
      <c r="H181" s="43">
        <f t="shared" ref="H181" si="36">SUM(E181+F181-G181)</f>
        <v>395535.81</v>
      </c>
    </row>
    <row r="182" spans="1:8" s="1" customFormat="1" ht="12" customHeight="1" x14ac:dyDescent="0.2">
      <c r="A182" s="33"/>
      <c r="B182" s="37">
        <v>80132</v>
      </c>
      <c r="C182" s="27"/>
      <c r="D182" s="38" t="s">
        <v>237</v>
      </c>
      <c r="E182" s="39">
        <v>14352356.710000001</v>
      </c>
      <c r="F182" s="40">
        <f>SUM(F183)</f>
        <v>0</v>
      </c>
      <c r="G182" s="40">
        <f>SUM(G183)</f>
        <v>35000</v>
      </c>
      <c r="H182" s="39">
        <f>SUM(E182+F182-G182)</f>
        <v>14317356.710000001</v>
      </c>
    </row>
    <row r="183" spans="1:8" s="1" customFormat="1" ht="12" customHeight="1" x14ac:dyDescent="0.2">
      <c r="A183" s="33"/>
      <c r="B183" s="37"/>
      <c r="C183" s="27"/>
      <c r="D183" s="381" t="s">
        <v>60</v>
      </c>
      <c r="E183" s="83">
        <v>5702356.71</v>
      </c>
      <c r="F183" s="83">
        <f>SUM(F184:F186)</f>
        <v>0</v>
      </c>
      <c r="G183" s="83">
        <f>SUM(G184:G186)</f>
        <v>35000</v>
      </c>
      <c r="H183" s="85">
        <f>SUM(E183+F183-G183)</f>
        <v>5667356.71</v>
      </c>
    </row>
    <row r="184" spans="1:8" s="1" customFormat="1" ht="12" customHeight="1" x14ac:dyDescent="0.2">
      <c r="A184" s="33"/>
      <c r="B184" s="37"/>
      <c r="C184" s="37">
        <v>4040</v>
      </c>
      <c r="D184" s="68" t="s">
        <v>108</v>
      </c>
      <c r="E184" s="69">
        <v>43000</v>
      </c>
      <c r="F184" s="69"/>
      <c r="G184" s="69">
        <v>5000</v>
      </c>
      <c r="H184" s="43">
        <f t="shared" ref="H184:H186" si="37">SUM(E184+F184-G184)</f>
        <v>38000</v>
      </c>
    </row>
    <row r="185" spans="1:8" s="1" customFormat="1" ht="12" customHeight="1" x14ac:dyDescent="0.2">
      <c r="A185" s="33"/>
      <c r="B185" s="37"/>
      <c r="C185" s="37">
        <v>4710</v>
      </c>
      <c r="D185" s="77" t="s">
        <v>65</v>
      </c>
      <c r="E185" s="69">
        <v>32478.880000000001</v>
      </c>
      <c r="F185" s="69"/>
      <c r="G185" s="69">
        <v>10000</v>
      </c>
      <c r="H185" s="43">
        <f t="shared" si="37"/>
        <v>22478.880000000001</v>
      </c>
    </row>
    <row r="186" spans="1:8" s="1" customFormat="1" ht="12" customHeight="1" x14ac:dyDescent="0.2">
      <c r="A186" s="33"/>
      <c r="B186" s="37"/>
      <c r="C186" s="62">
        <v>4800</v>
      </c>
      <c r="D186" s="81" t="s">
        <v>77</v>
      </c>
      <c r="E186" s="69">
        <v>310000</v>
      </c>
      <c r="F186" s="69"/>
      <c r="G186" s="69">
        <v>20000</v>
      </c>
      <c r="H186" s="43">
        <f t="shared" si="37"/>
        <v>290000</v>
      </c>
    </row>
    <row r="187" spans="1:8" s="1" customFormat="1" ht="12" customHeight="1" x14ac:dyDescent="0.2">
      <c r="A187" s="33"/>
      <c r="B187" s="45">
        <v>80134</v>
      </c>
      <c r="C187" s="27"/>
      <c r="D187" s="56" t="s">
        <v>188</v>
      </c>
      <c r="E187" s="67">
        <v>9042502</v>
      </c>
      <c r="F187" s="40">
        <f>SUM(F188)</f>
        <v>0</v>
      </c>
      <c r="G187" s="40">
        <f>SUM(G188)</f>
        <v>20000</v>
      </c>
      <c r="H187" s="39">
        <f>SUM(E187+F187-G187)</f>
        <v>9022502</v>
      </c>
    </row>
    <row r="188" spans="1:8" s="1" customFormat="1" ht="12" customHeight="1" x14ac:dyDescent="0.2">
      <c r="A188" s="33"/>
      <c r="B188" s="33"/>
      <c r="C188" s="27"/>
      <c r="D188" s="381" t="s">
        <v>60</v>
      </c>
      <c r="E188" s="83">
        <v>8742502</v>
      </c>
      <c r="F188" s="83">
        <f>SUM(F189:F189)</f>
        <v>0</v>
      </c>
      <c r="G188" s="83">
        <f>SUM(G189:G189)</f>
        <v>20000</v>
      </c>
      <c r="H188" s="83">
        <f t="shared" ref="H188:H189" si="38">SUM(E188+F188-G188)</f>
        <v>8722502</v>
      </c>
    </row>
    <row r="189" spans="1:8" s="1" customFormat="1" ht="12" customHeight="1" x14ac:dyDescent="0.2">
      <c r="A189" s="52"/>
      <c r="B189" s="78"/>
      <c r="C189" s="79">
        <v>4710</v>
      </c>
      <c r="D189" s="82" t="s">
        <v>65</v>
      </c>
      <c r="E189" s="39">
        <v>64407</v>
      </c>
      <c r="F189" s="40"/>
      <c r="G189" s="40">
        <v>20000</v>
      </c>
      <c r="H189" s="40">
        <f t="shared" si="38"/>
        <v>44407</v>
      </c>
    </row>
    <row r="190" spans="1:8" s="1" customFormat="1" ht="12" customHeight="1" x14ac:dyDescent="0.2">
      <c r="A190" s="33"/>
      <c r="B190" s="48">
        <v>80146</v>
      </c>
      <c r="C190" s="49"/>
      <c r="D190" s="38" t="s">
        <v>24</v>
      </c>
      <c r="E190" s="39">
        <v>1324592</v>
      </c>
      <c r="F190" s="40">
        <f>SUM(F191,F196)</f>
        <v>1265</v>
      </c>
      <c r="G190" s="40">
        <f>SUM(G191,G196)</f>
        <v>1265</v>
      </c>
      <c r="H190" s="39">
        <f>SUM(E190+F190-G190)</f>
        <v>1324592</v>
      </c>
    </row>
    <row r="191" spans="1:8" s="1" customFormat="1" ht="12" customHeight="1" x14ac:dyDescent="0.2">
      <c r="A191" s="33"/>
      <c r="B191" s="45"/>
      <c r="C191" s="27"/>
      <c r="D191" s="381" t="s">
        <v>60</v>
      </c>
      <c r="E191" s="85">
        <v>1091142</v>
      </c>
      <c r="F191" s="384">
        <f>SUM(F192:F195)</f>
        <v>1265</v>
      </c>
      <c r="G191" s="384">
        <f>SUM(G192:G195)</f>
        <v>1265</v>
      </c>
      <c r="H191" s="83">
        <f t="shared" ref="H191:H195" si="39">SUM(E191+F191-G191)</f>
        <v>1091142</v>
      </c>
    </row>
    <row r="192" spans="1:8" s="1" customFormat="1" ht="12" customHeight="1" x14ac:dyDescent="0.2">
      <c r="A192" s="33"/>
      <c r="B192" s="45"/>
      <c r="C192" s="37">
        <v>3020</v>
      </c>
      <c r="D192" s="68" t="s">
        <v>89</v>
      </c>
      <c r="E192" s="43">
        <v>0</v>
      </c>
      <c r="F192" s="58">
        <v>1115</v>
      </c>
      <c r="G192" s="58"/>
      <c r="H192" s="44">
        <f t="shared" si="39"/>
        <v>1115</v>
      </c>
    </row>
    <row r="193" spans="1:8" s="1" customFormat="1" ht="12" customHeight="1" x14ac:dyDescent="0.2">
      <c r="A193" s="33"/>
      <c r="B193" s="45"/>
      <c r="C193" s="37">
        <v>4300</v>
      </c>
      <c r="D193" s="68" t="s">
        <v>44</v>
      </c>
      <c r="E193" s="43">
        <v>217742</v>
      </c>
      <c r="F193" s="58">
        <v>150</v>
      </c>
      <c r="G193" s="58"/>
      <c r="H193" s="44">
        <f t="shared" si="39"/>
        <v>217892</v>
      </c>
    </row>
    <row r="194" spans="1:8" s="1" customFormat="1" ht="20.45" customHeight="1" x14ac:dyDescent="0.2">
      <c r="A194" s="33"/>
      <c r="B194" s="45"/>
      <c r="C194" s="59">
        <v>4700</v>
      </c>
      <c r="D194" s="210" t="s">
        <v>46</v>
      </c>
      <c r="E194" s="43">
        <v>493271</v>
      </c>
      <c r="F194" s="58"/>
      <c r="G194" s="58">
        <v>150</v>
      </c>
      <c r="H194" s="44">
        <f t="shared" si="39"/>
        <v>493121</v>
      </c>
    </row>
    <row r="195" spans="1:8" s="1" customFormat="1" ht="12" customHeight="1" x14ac:dyDescent="0.2">
      <c r="A195" s="33"/>
      <c r="B195" s="45"/>
      <c r="C195" s="62">
        <v>4790</v>
      </c>
      <c r="D195" s="81" t="s">
        <v>75</v>
      </c>
      <c r="E195" s="43">
        <v>214357</v>
      </c>
      <c r="F195" s="58"/>
      <c r="G195" s="58">
        <v>1115</v>
      </c>
      <c r="H195" s="44">
        <f t="shared" si="39"/>
        <v>213242</v>
      </c>
    </row>
    <row r="196" spans="1:8" s="1" customFormat="1" ht="12" customHeight="1" x14ac:dyDescent="0.2">
      <c r="A196" s="33"/>
      <c r="B196" s="45">
        <v>80150</v>
      </c>
      <c r="C196" s="49"/>
      <c r="D196" s="77" t="s">
        <v>80</v>
      </c>
      <c r="E196" s="44"/>
      <c r="F196" s="44"/>
      <c r="G196" s="44"/>
      <c r="H196" s="44"/>
    </row>
    <row r="197" spans="1:8" s="1" customFormat="1" ht="12" customHeight="1" x14ac:dyDescent="0.2">
      <c r="A197" s="33"/>
      <c r="B197" s="45"/>
      <c r="C197" s="49"/>
      <c r="D197" s="77" t="s">
        <v>81</v>
      </c>
      <c r="E197" s="44"/>
      <c r="F197" s="44"/>
      <c r="G197" s="44"/>
      <c r="H197" s="44"/>
    </row>
    <row r="198" spans="1:8" s="1" customFormat="1" ht="12" customHeight="1" x14ac:dyDescent="0.2">
      <c r="A198" s="33"/>
      <c r="B198" s="45"/>
      <c r="C198" s="27"/>
      <c r="D198" s="38" t="s">
        <v>238</v>
      </c>
      <c r="E198" s="39">
        <v>8922011</v>
      </c>
      <c r="F198" s="40">
        <f>SUM(F199)</f>
        <v>110000</v>
      </c>
      <c r="G198" s="40">
        <f>SUM(G199)</f>
        <v>0</v>
      </c>
      <c r="H198" s="39">
        <f>SUM(E198+F198-G198)</f>
        <v>9032011</v>
      </c>
    </row>
    <row r="199" spans="1:8" s="1" customFormat="1" ht="12" customHeight="1" x14ac:dyDescent="0.2">
      <c r="A199" s="33"/>
      <c r="B199" s="33"/>
      <c r="C199" s="27"/>
      <c r="D199" s="381" t="s">
        <v>60</v>
      </c>
      <c r="E199" s="83">
        <v>8756712</v>
      </c>
      <c r="F199" s="83">
        <f>SUM(F200:F202)</f>
        <v>110000</v>
      </c>
      <c r="G199" s="83">
        <f>SUM(G200:G202)</f>
        <v>0</v>
      </c>
      <c r="H199" s="83">
        <f t="shared" ref="H199:H202" si="40">SUM(E199+F199-G199)</f>
        <v>8866712</v>
      </c>
    </row>
    <row r="200" spans="1:8" s="1" customFormat="1" ht="12" customHeight="1" x14ac:dyDescent="0.2">
      <c r="A200" s="33"/>
      <c r="B200" s="33"/>
      <c r="C200" s="37">
        <v>4110</v>
      </c>
      <c r="D200" s="68" t="s">
        <v>61</v>
      </c>
      <c r="E200" s="43">
        <v>1202785</v>
      </c>
      <c r="F200" s="43">
        <v>22000</v>
      </c>
      <c r="G200" s="44"/>
      <c r="H200" s="44">
        <f t="shared" si="40"/>
        <v>1224785</v>
      </c>
    </row>
    <row r="201" spans="1:8" s="1" customFormat="1" ht="12" customHeight="1" x14ac:dyDescent="0.2">
      <c r="A201" s="33"/>
      <c r="B201" s="45"/>
      <c r="C201" s="37">
        <v>4120</v>
      </c>
      <c r="D201" s="68" t="s">
        <v>62</v>
      </c>
      <c r="E201" s="58">
        <v>164619</v>
      </c>
      <c r="F201" s="44">
        <v>2500</v>
      </c>
      <c r="G201" s="44"/>
      <c r="H201" s="44">
        <f t="shared" si="40"/>
        <v>167119</v>
      </c>
    </row>
    <row r="202" spans="1:8" s="1" customFormat="1" ht="12" customHeight="1" x14ac:dyDescent="0.2">
      <c r="A202" s="33"/>
      <c r="B202" s="45"/>
      <c r="C202" s="62">
        <v>4790</v>
      </c>
      <c r="D202" s="81" t="s">
        <v>75</v>
      </c>
      <c r="E202" s="58">
        <v>6337964</v>
      </c>
      <c r="F202" s="44">
        <v>85500</v>
      </c>
      <c r="G202" s="44"/>
      <c r="H202" s="44">
        <f t="shared" si="40"/>
        <v>6423464</v>
      </c>
    </row>
    <row r="203" spans="1:8" s="1" customFormat="1" ht="12" customHeight="1" x14ac:dyDescent="0.2">
      <c r="A203" s="33"/>
      <c r="B203" s="45">
        <v>80195</v>
      </c>
      <c r="C203" s="27"/>
      <c r="D203" s="38" t="s">
        <v>37</v>
      </c>
      <c r="E203" s="39">
        <v>26844960.579999994</v>
      </c>
      <c r="F203" s="40">
        <f>SUM(F204,F206,F208,F211,F217,F229,F238,F240,F246)</f>
        <v>335549.39</v>
      </c>
      <c r="G203" s="40">
        <f>SUM(G204,G206,G208,G211,G217,G229,G238,G240,G246)</f>
        <v>90240.2</v>
      </c>
      <c r="H203" s="39">
        <f>SUM(E203+F203-G203)</f>
        <v>27090269.769999996</v>
      </c>
    </row>
    <row r="204" spans="1:8" s="1" customFormat="1" ht="12" customHeight="1" x14ac:dyDescent="0.2">
      <c r="A204" s="33"/>
      <c r="B204" s="45"/>
      <c r="C204" s="27"/>
      <c r="D204" s="385" t="s">
        <v>78</v>
      </c>
      <c r="E204" s="85">
        <v>1306930</v>
      </c>
      <c r="F204" s="377">
        <f>SUM(F205:F205)</f>
        <v>0</v>
      </c>
      <c r="G204" s="377">
        <f>SUM(G205:G205)</f>
        <v>2750</v>
      </c>
      <c r="H204" s="377">
        <f t="shared" ref="H204:H210" si="41">SUM(E204+F204-G204)</f>
        <v>1304180</v>
      </c>
    </row>
    <row r="205" spans="1:8" s="1" customFormat="1" ht="12" customHeight="1" x14ac:dyDescent="0.2">
      <c r="A205" s="33"/>
      <c r="B205" s="45"/>
      <c r="C205" s="62">
        <v>4300</v>
      </c>
      <c r="D205" s="48" t="s">
        <v>44</v>
      </c>
      <c r="E205" s="69">
        <v>225600</v>
      </c>
      <c r="F205" s="58"/>
      <c r="G205" s="58">
        <v>2750</v>
      </c>
      <c r="H205" s="44">
        <f t="shared" si="41"/>
        <v>222850</v>
      </c>
    </row>
    <row r="206" spans="1:8" s="1" customFormat="1" ht="12" customHeight="1" x14ac:dyDescent="0.2">
      <c r="A206" s="33"/>
      <c r="B206" s="45"/>
      <c r="C206" s="27"/>
      <c r="D206" s="385" t="s">
        <v>60</v>
      </c>
      <c r="E206" s="85">
        <v>1562557</v>
      </c>
      <c r="F206" s="377">
        <f>SUM(F207:F207)</f>
        <v>34650</v>
      </c>
      <c r="G206" s="377">
        <f>SUM(G207:G207)</f>
        <v>0</v>
      </c>
      <c r="H206" s="377">
        <f t="shared" si="41"/>
        <v>1597207</v>
      </c>
    </row>
    <row r="207" spans="1:8" s="1" customFormat="1" ht="12" customHeight="1" x14ac:dyDescent="0.2">
      <c r="A207" s="33"/>
      <c r="B207" s="45"/>
      <c r="C207" s="62">
        <v>4300</v>
      </c>
      <c r="D207" s="48" t="s">
        <v>44</v>
      </c>
      <c r="E207" s="69">
        <v>17931</v>
      </c>
      <c r="F207" s="58">
        <f>2750+31900</f>
        <v>34650</v>
      </c>
      <c r="G207" s="58"/>
      <c r="H207" s="44">
        <f t="shared" si="41"/>
        <v>52581</v>
      </c>
    </row>
    <row r="208" spans="1:8" s="1" customFormat="1" ht="32.450000000000003" customHeight="1" x14ac:dyDescent="0.2">
      <c r="A208" s="33"/>
      <c r="B208" s="45"/>
      <c r="C208" s="27"/>
      <c r="D208" s="385" t="s">
        <v>86</v>
      </c>
      <c r="E208" s="85">
        <v>47257.97</v>
      </c>
      <c r="F208" s="377">
        <f>SUM(F209:F210)</f>
        <v>5000</v>
      </c>
      <c r="G208" s="377">
        <f>SUM(G209:G210)</f>
        <v>5000</v>
      </c>
      <c r="H208" s="377">
        <f t="shared" si="41"/>
        <v>47257.97</v>
      </c>
    </row>
    <row r="209" spans="1:8" s="1" customFormat="1" ht="12" customHeight="1" x14ac:dyDescent="0.2">
      <c r="A209" s="33"/>
      <c r="B209" s="45"/>
      <c r="C209" s="37">
        <v>4241</v>
      </c>
      <c r="D209" s="68" t="s">
        <v>63</v>
      </c>
      <c r="E209" s="69">
        <v>0</v>
      </c>
      <c r="F209" s="58">
        <v>5000</v>
      </c>
      <c r="G209" s="58"/>
      <c r="H209" s="44">
        <f t="shared" si="41"/>
        <v>5000</v>
      </c>
    </row>
    <row r="210" spans="1:8" s="1" customFormat="1" ht="12" customHeight="1" x14ac:dyDescent="0.2">
      <c r="A210" s="33"/>
      <c r="B210" s="45"/>
      <c r="C210" s="37">
        <v>4421</v>
      </c>
      <c r="D210" s="77" t="s">
        <v>87</v>
      </c>
      <c r="E210" s="69">
        <v>28987.97</v>
      </c>
      <c r="F210" s="58"/>
      <c r="G210" s="58">
        <v>5000</v>
      </c>
      <c r="H210" s="44">
        <f t="shared" si="41"/>
        <v>23987.97</v>
      </c>
    </row>
    <row r="211" spans="1:8" s="1" customFormat="1" ht="22.9" customHeight="1" x14ac:dyDescent="0.2">
      <c r="A211" s="33"/>
      <c r="B211" s="45"/>
      <c r="C211" s="49"/>
      <c r="D211" s="385" t="s">
        <v>239</v>
      </c>
      <c r="E211" s="377">
        <v>432984.74</v>
      </c>
      <c r="F211" s="377">
        <f>SUM(F212:F216)</f>
        <v>42608</v>
      </c>
      <c r="G211" s="377">
        <f>SUM(G212:G216)</f>
        <v>42608</v>
      </c>
      <c r="H211" s="83">
        <f>SUM(E211+F211-G211)</f>
        <v>432984.74</v>
      </c>
    </row>
    <row r="212" spans="1:8" s="1" customFormat="1" ht="12" customHeight="1" x14ac:dyDescent="0.2">
      <c r="A212" s="33"/>
      <c r="B212" s="45"/>
      <c r="C212" s="37">
        <v>4211</v>
      </c>
      <c r="D212" s="68" t="s">
        <v>84</v>
      </c>
      <c r="E212" s="58">
        <v>2655</v>
      </c>
      <c r="F212" s="58"/>
      <c r="G212" s="58">
        <v>2655</v>
      </c>
      <c r="H212" s="44">
        <f>SUM(E212+F212-G212)</f>
        <v>0</v>
      </c>
    </row>
    <row r="213" spans="1:8" s="1" customFormat="1" ht="12" customHeight="1" x14ac:dyDescent="0.2">
      <c r="A213" s="33"/>
      <c r="B213" s="45"/>
      <c r="C213" s="37">
        <v>4241</v>
      </c>
      <c r="D213" s="68" t="s">
        <v>63</v>
      </c>
      <c r="E213" s="58">
        <v>31222</v>
      </c>
      <c r="F213" s="58"/>
      <c r="G213" s="58">
        <v>26473</v>
      </c>
      <c r="H213" s="44">
        <f>SUM(E213+F213-G213)</f>
        <v>4749</v>
      </c>
    </row>
    <row r="214" spans="1:8" s="1" customFormat="1" ht="12" customHeight="1" x14ac:dyDescent="0.2">
      <c r="A214" s="33"/>
      <c r="B214" s="45"/>
      <c r="C214" s="45">
        <v>4301</v>
      </c>
      <c r="D214" s="68" t="s">
        <v>44</v>
      </c>
      <c r="E214" s="58">
        <v>347345.74</v>
      </c>
      <c r="F214" s="58">
        <v>42608</v>
      </c>
      <c r="G214" s="58"/>
      <c r="H214" s="44">
        <f>SUM(E214+F214-G214)</f>
        <v>389953.74</v>
      </c>
    </row>
    <row r="215" spans="1:8" s="1" customFormat="1" ht="12" customHeight="1" x14ac:dyDescent="0.2">
      <c r="A215" s="33"/>
      <c r="B215" s="45"/>
      <c r="C215" s="37">
        <v>4421</v>
      </c>
      <c r="D215" s="77" t="s">
        <v>87</v>
      </c>
      <c r="E215" s="58">
        <v>25000</v>
      </c>
      <c r="F215" s="58"/>
      <c r="G215" s="58">
        <v>10000</v>
      </c>
      <c r="H215" s="44">
        <f>SUM(E215+F215-G215)</f>
        <v>15000</v>
      </c>
    </row>
    <row r="216" spans="1:8" s="1" customFormat="1" ht="12" customHeight="1" x14ac:dyDescent="0.2">
      <c r="A216" s="33"/>
      <c r="B216" s="45"/>
      <c r="C216" s="37">
        <v>4431</v>
      </c>
      <c r="D216" s="68" t="s">
        <v>69</v>
      </c>
      <c r="E216" s="69">
        <v>4480</v>
      </c>
      <c r="F216" s="58"/>
      <c r="G216" s="58">
        <v>3480</v>
      </c>
      <c r="H216" s="44">
        <f t="shared" ref="H216:H227" si="42">SUM(E216+F216-G216)</f>
        <v>1000</v>
      </c>
    </row>
    <row r="217" spans="1:8" s="1" customFormat="1" ht="21" customHeight="1" x14ac:dyDescent="0.2">
      <c r="A217" s="33"/>
      <c r="B217" s="45"/>
      <c r="C217" s="49"/>
      <c r="D217" s="388" t="s">
        <v>88</v>
      </c>
      <c r="E217" s="85">
        <v>211620.25</v>
      </c>
      <c r="F217" s="377">
        <f>SUM(F218:F227)</f>
        <v>15848</v>
      </c>
      <c r="G217" s="377">
        <f>SUM(G218:G227)</f>
        <v>15848</v>
      </c>
      <c r="H217" s="83">
        <f t="shared" si="42"/>
        <v>211620.25</v>
      </c>
    </row>
    <row r="218" spans="1:8" s="1" customFormat="1" ht="12" customHeight="1" x14ac:dyDescent="0.2">
      <c r="A218" s="33"/>
      <c r="B218" s="45"/>
      <c r="C218" s="37">
        <v>4217</v>
      </c>
      <c r="D218" s="68" t="s">
        <v>84</v>
      </c>
      <c r="E218" s="69">
        <v>19640</v>
      </c>
      <c r="F218" s="58">
        <v>10200</v>
      </c>
      <c r="G218" s="58"/>
      <c r="H218" s="58">
        <f t="shared" si="42"/>
        <v>29840</v>
      </c>
    </row>
    <row r="219" spans="1:8" s="1" customFormat="1" ht="12" customHeight="1" x14ac:dyDescent="0.2">
      <c r="A219" s="33"/>
      <c r="B219" s="45"/>
      <c r="C219" s="37">
        <v>4219</v>
      </c>
      <c r="D219" s="68" t="s">
        <v>84</v>
      </c>
      <c r="E219" s="69">
        <v>3466</v>
      </c>
      <c r="F219" s="58">
        <v>1800</v>
      </c>
      <c r="G219" s="58"/>
      <c r="H219" s="58">
        <f t="shared" si="42"/>
        <v>5266</v>
      </c>
    </row>
    <row r="220" spans="1:8" s="1" customFormat="1" ht="12" customHeight="1" x14ac:dyDescent="0.2">
      <c r="A220" s="33"/>
      <c r="B220" s="45"/>
      <c r="C220" s="62">
        <v>4307</v>
      </c>
      <c r="D220" s="48" t="s">
        <v>44</v>
      </c>
      <c r="E220" s="69">
        <v>15388.16</v>
      </c>
      <c r="F220" s="58"/>
      <c r="G220" s="58">
        <v>211</v>
      </c>
      <c r="H220" s="58">
        <f t="shared" si="42"/>
        <v>15177.16</v>
      </c>
    </row>
    <row r="221" spans="1:8" s="1" customFormat="1" ht="12" customHeight="1" x14ac:dyDescent="0.2">
      <c r="A221" s="33"/>
      <c r="B221" s="45"/>
      <c r="C221" s="62">
        <v>4309</v>
      </c>
      <c r="D221" s="48" t="s">
        <v>44</v>
      </c>
      <c r="E221" s="69">
        <v>2716.09</v>
      </c>
      <c r="F221" s="58"/>
      <c r="G221" s="58">
        <v>37</v>
      </c>
      <c r="H221" s="58">
        <f t="shared" si="42"/>
        <v>2679.09</v>
      </c>
    </row>
    <row r="222" spans="1:8" s="1" customFormat="1" ht="12" customHeight="1" x14ac:dyDescent="0.2">
      <c r="A222" s="33"/>
      <c r="B222" s="45"/>
      <c r="C222" s="37">
        <v>4437</v>
      </c>
      <c r="D222" s="68" t="s">
        <v>69</v>
      </c>
      <c r="E222" s="69">
        <v>510</v>
      </c>
      <c r="F222" s="58">
        <v>211</v>
      </c>
      <c r="G222" s="58"/>
      <c r="H222" s="58">
        <f t="shared" si="42"/>
        <v>721</v>
      </c>
    </row>
    <row r="223" spans="1:8" s="1" customFormat="1" ht="12" customHeight="1" x14ac:dyDescent="0.2">
      <c r="A223" s="33"/>
      <c r="B223" s="45"/>
      <c r="C223" s="37">
        <v>4439</v>
      </c>
      <c r="D223" s="68" t="s">
        <v>69</v>
      </c>
      <c r="E223" s="69">
        <v>90</v>
      </c>
      <c r="F223" s="58">
        <v>37</v>
      </c>
      <c r="G223" s="58"/>
      <c r="H223" s="58">
        <f t="shared" si="42"/>
        <v>127</v>
      </c>
    </row>
    <row r="224" spans="1:8" s="1" customFormat="1" ht="12" customHeight="1" x14ac:dyDescent="0.2">
      <c r="A224" s="33"/>
      <c r="B224" s="45"/>
      <c r="C224" s="62">
        <v>4797</v>
      </c>
      <c r="D224" s="81" t="s">
        <v>75</v>
      </c>
      <c r="E224" s="69">
        <v>52823</v>
      </c>
      <c r="F224" s="58"/>
      <c r="G224" s="58">
        <v>13260</v>
      </c>
      <c r="H224" s="58">
        <f t="shared" si="42"/>
        <v>39563</v>
      </c>
    </row>
    <row r="225" spans="1:8" s="1" customFormat="1" ht="12" customHeight="1" x14ac:dyDescent="0.2">
      <c r="A225" s="33"/>
      <c r="B225" s="45"/>
      <c r="C225" s="62">
        <v>4799</v>
      </c>
      <c r="D225" s="81" t="s">
        <v>75</v>
      </c>
      <c r="E225" s="69">
        <v>9410</v>
      </c>
      <c r="F225" s="58"/>
      <c r="G225" s="58">
        <v>2340</v>
      </c>
      <c r="H225" s="58">
        <f t="shared" si="42"/>
        <v>7070</v>
      </c>
    </row>
    <row r="226" spans="1:8" s="1" customFormat="1" ht="12" customHeight="1" x14ac:dyDescent="0.2">
      <c r="A226" s="33"/>
      <c r="B226" s="45"/>
      <c r="C226" s="62">
        <v>4807</v>
      </c>
      <c r="D226" s="81" t="s">
        <v>77</v>
      </c>
      <c r="E226" s="69">
        <v>0</v>
      </c>
      <c r="F226" s="58">
        <v>3060</v>
      </c>
      <c r="G226" s="58"/>
      <c r="H226" s="58">
        <f t="shared" si="42"/>
        <v>3060</v>
      </c>
    </row>
    <row r="227" spans="1:8" s="1" customFormat="1" ht="12" customHeight="1" x14ac:dyDescent="0.2">
      <c r="A227" s="33"/>
      <c r="B227" s="45"/>
      <c r="C227" s="62">
        <v>4809</v>
      </c>
      <c r="D227" s="81" t="s">
        <v>77</v>
      </c>
      <c r="E227" s="69">
        <v>0</v>
      </c>
      <c r="F227" s="58">
        <v>540</v>
      </c>
      <c r="G227" s="58"/>
      <c r="H227" s="58">
        <f t="shared" si="42"/>
        <v>540</v>
      </c>
    </row>
    <row r="228" spans="1:8" s="1" customFormat="1" ht="12" customHeight="1" x14ac:dyDescent="0.2">
      <c r="A228" s="33"/>
      <c r="B228" s="45"/>
      <c r="C228" s="27"/>
      <c r="D228" s="389" t="s">
        <v>82</v>
      </c>
      <c r="E228" s="43"/>
      <c r="F228" s="44"/>
      <c r="G228" s="44"/>
      <c r="H228" s="43"/>
    </row>
    <row r="229" spans="1:8" s="1" customFormat="1" ht="12" customHeight="1" x14ac:dyDescent="0.2">
      <c r="A229" s="33"/>
      <c r="B229" s="45"/>
      <c r="C229" s="49"/>
      <c r="D229" s="380" t="s">
        <v>83</v>
      </c>
      <c r="E229" s="85">
        <v>248915</v>
      </c>
      <c r="F229" s="377">
        <f>SUM(F230:F237)</f>
        <v>14870.89</v>
      </c>
      <c r="G229" s="377">
        <f>SUM(G230:G237)</f>
        <v>14870.890000000001</v>
      </c>
      <c r="H229" s="83">
        <f t="shared" ref="H229:H248" si="43">SUM(E229+F229-G229)</f>
        <v>248915</v>
      </c>
    </row>
    <row r="230" spans="1:8" s="1" customFormat="1" ht="12" customHeight="1" x14ac:dyDescent="0.2">
      <c r="A230" s="33"/>
      <c r="B230" s="45"/>
      <c r="C230" s="62">
        <v>4117</v>
      </c>
      <c r="D230" s="48" t="s">
        <v>90</v>
      </c>
      <c r="E230" s="69">
        <v>18485</v>
      </c>
      <c r="F230" s="58">
        <f>0.03</f>
        <v>0.03</v>
      </c>
      <c r="G230" s="58">
        <f>1748.66+1727.78</f>
        <v>3476.44</v>
      </c>
      <c r="H230" s="44">
        <f t="shared" si="43"/>
        <v>15008.589999999998</v>
      </c>
    </row>
    <row r="231" spans="1:8" s="1" customFormat="1" ht="12" customHeight="1" x14ac:dyDescent="0.2">
      <c r="A231" s="33"/>
      <c r="B231" s="45"/>
      <c r="C231" s="62">
        <v>4127</v>
      </c>
      <c r="D231" s="48" t="s">
        <v>91</v>
      </c>
      <c r="E231" s="69">
        <v>2501</v>
      </c>
      <c r="F231" s="58"/>
      <c r="G231" s="58">
        <f>219.89+222.78</f>
        <v>442.66999999999996</v>
      </c>
      <c r="H231" s="44">
        <f t="shared" si="43"/>
        <v>2058.33</v>
      </c>
    </row>
    <row r="232" spans="1:8" s="1" customFormat="1" ht="12" customHeight="1" x14ac:dyDescent="0.2">
      <c r="A232" s="33"/>
      <c r="B232" s="45"/>
      <c r="C232" s="37">
        <v>4177</v>
      </c>
      <c r="D232" s="68" t="s">
        <v>48</v>
      </c>
      <c r="E232" s="69">
        <v>72362</v>
      </c>
      <c r="F232" s="58">
        <f>1946.64+1928.65</f>
        <v>3875.29</v>
      </c>
      <c r="G232" s="58">
        <f>0.02</f>
        <v>0.02</v>
      </c>
      <c r="H232" s="44">
        <f t="shared" si="43"/>
        <v>76237.26999999999</v>
      </c>
    </row>
    <row r="233" spans="1:8" s="1" customFormat="1" ht="12" customHeight="1" x14ac:dyDescent="0.2">
      <c r="A233" s="33"/>
      <c r="B233" s="45"/>
      <c r="C233" s="62">
        <v>4217</v>
      </c>
      <c r="D233" s="48" t="s">
        <v>240</v>
      </c>
      <c r="E233" s="69">
        <v>40066.47</v>
      </c>
      <c r="F233" s="58">
        <f>119.52+5000+5000</f>
        <v>10119.52</v>
      </c>
      <c r="G233" s="58">
        <f>287.12</f>
        <v>287.12</v>
      </c>
      <c r="H233" s="44">
        <f t="shared" si="43"/>
        <v>49898.87</v>
      </c>
    </row>
    <row r="234" spans="1:8" s="1" customFormat="1" ht="12" customHeight="1" x14ac:dyDescent="0.2">
      <c r="A234" s="33"/>
      <c r="B234" s="45"/>
      <c r="C234" s="62">
        <v>4227</v>
      </c>
      <c r="D234" s="48" t="s">
        <v>85</v>
      </c>
      <c r="E234" s="69">
        <v>2025</v>
      </c>
      <c r="F234" s="58">
        <f>287.12+312.03</f>
        <v>599.15</v>
      </c>
      <c r="G234" s="58"/>
      <c r="H234" s="44">
        <f t="shared" si="43"/>
        <v>2624.15</v>
      </c>
    </row>
    <row r="235" spans="1:8" s="1" customFormat="1" ht="12" customHeight="1" x14ac:dyDescent="0.2">
      <c r="A235" s="33"/>
      <c r="B235" s="45"/>
      <c r="C235" s="62">
        <v>4307</v>
      </c>
      <c r="D235" s="48" t="s">
        <v>44</v>
      </c>
      <c r="E235" s="69">
        <v>14796</v>
      </c>
      <c r="F235" s="58"/>
      <c r="G235" s="58">
        <f>233.08+431.55+5000+5000</f>
        <v>10664.630000000001</v>
      </c>
      <c r="H235" s="44">
        <f t="shared" si="43"/>
        <v>4131.369999999999</v>
      </c>
    </row>
    <row r="236" spans="1:8" s="1" customFormat="1" ht="12" customHeight="1" x14ac:dyDescent="0.2">
      <c r="A236" s="33"/>
      <c r="B236" s="45"/>
      <c r="C236" s="37">
        <v>4417</v>
      </c>
      <c r="D236" s="77" t="s">
        <v>68</v>
      </c>
      <c r="E236" s="69">
        <v>0</v>
      </c>
      <c r="F236" s="58">
        <v>233.08</v>
      </c>
      <c r="G236" s="58"/>
      <c r="H236" s="44">
        <f t="shared" si="43"/>
        <v>233.08</v>
      </c>
    </row>
    <row r="237" spans="1:8" s="1" customFormat="1" ht="12" customHeight="1" x14ac:dyDescent="0.2">
      <c r="A237" s="33"/>
      <c r="B237" s="45"/>
      <c r="C237" s="62">
        <v>4717</v>
      </c>
      <c r="D237" s="81" t="s">
        <v>65</v>
      </c>
      <c r="E237" s="69">
        <v>180</v>
      </c>
      <c r="F237" s="58">
        <f>21.91+21.91</f>
        <v>43.82</v>
      </c>
      <c r="G237" s="58">
        <f>0.01</f>
        <v>0.01</v>
      </c>
      <c r="H237" s="44">
        <f t="shared" si="43"/>
        <v>223.81</v>
      </c>
    </row>
    <row r="238" spans="1:8" s="1" customFormat="1" ht="25.5" customHeight="1" x14ac:dyDescent="0.2">
      <c r="A238" s="33"/>
      <c r="B238" s="50"/>
      <c r="C238" s="27"/>
      <c r="D238" s="378" t="s">
        <v>241</v>
      </c>
      <c r="E238" s="85">
        <v>1134.1500000000001</v>
      </c>
      <c r="F238" s="377">
        <f>SUM(F239:F239)</f>
        <v>3854.01</v>
      </c>
      <c r="G238" s="377">
        <f>SUM(G239:G239)</f>
        <v>0</v>
      </c>
      <c r="H238" s="83">
        <f t="shared" si="43"/>
        <v>4988.16</v>
      </c>
    </row>
    <row r="239" spans="1:8" s="1" customFormat="1" ht="33" customHeight="1" x14ac:dyDescent="0.2">
      <c r="A239" s="33"/>
      <c r="B239" s="50"/>
      <c r="C239" s="59">
        <v>2830</v>
      </c>
      <c r="D239" s="60" t="s">
        <v>242</v>
      </c>
      <c r="E239" s="69">
        <v>1134.1500000000001</v>
      </c>
      <c r="F239" s="58">
        <v>3854.01</v>
      </c>
      <c r="G239" s="58"/>
      <c r="H239" s="44">
        <f t="shared" si="43"/>
        <v>4988.16</v>
      </c>
    </row>
    <row r="240" spans="1:8" s="1" customFormat="1" ht="22.5" customHeight="1" x14ac:dyDescent="0.2">
      <c r="A240" s="33"/>
      <c r="B240" s="45"/>
      <c r="C240" s="49"/>
      <c r="D240" s="378" t="s">
        <v>243</v>
      </c>
      <c r="E240" s="85">
        <v>54113.85</v>
      </c>
      <c r="F240" s="377">
        <f>SUM(F241:F245)</f>
        <v>214254.30000000002</v>
      </c>
      <c r="G240" s="377">
        <f>SUM(G241:G245)</f>
        <v>9163.31</v>
      </c>
      <c r="H240" s="83">
        <f t="shared" si="43"/>
        <v>259204.84000000003</v>
      </c>
    </row>
    <row r="241" spans="1:8" s="1" customFormat="1" ht="12" customHeight="1" x14ac:dyDescent="0.2">
      <c r="A241" s="33"/>
      <c r="B241" s="45"/>
      <c r="C241" s="37">
        <v>4110</v>
      </c>
      <c r="D241" s="68" t="s">
        <v>61</v>
      </c>
      <c r="E241" s="69">
        <v>0</v>
      </c>
      <c r="F241" s="58">
        <f>7613.82+32323.13+4574.16</f>
        <v>44511.11</v>
      </c>
      <c r="G241" s="58"/>
      <c r="H241" s="58">
        <f t="shared" si="43"/>
        <v>44511.11</v>
      </c>
    </row>
    <row r="242" spans="1:8" s="1" customFormat="1" ht="12" customHeight="1" x14ac:dyDescent="0.2">
      <c r="A242" s="52"/>
      <c r="B242" s="78"/>
      <c r="C242" s="79">
        <v>4120</v>
      </c>
      <c r="D242" s="38" t="s">
        <v>62</v>
      </c>
      <c r="E242" s="67">
        <v>0</v>
      </c>
      <c r="F242" s="55">
        <f>1046.73+4353.47+616.06</f>
        <v>6016.26</v>
      </c>
      <c r="G242" s="55"/>
      <c r="H242" s="55">
        <f t="shared" si="43"/>
        <v>6016.26</v>
      </c>
    </row>
    <row r="243" spans="1:8" s="1" customFormat="1" ht="12" customHeight="1" x14ac:dyDescent="0.2">
      <c r="A243" s="33"/>
      <c r="B243" s="45"/>
      <c r="C243" s="62">
        <v>4300</v>
      </c>
      <c r="D243" s="48" t="s">
        <v>44</v>
      </c>
      <c r="E243" s="69">
        <v>827.5</v>
      </c>
      <c r="F243" s="58">
        <f>2000+250</f>
        <v>2250</v>
      </c>
      <c r="G243" s="58"/>
      <c r="H243" s="58">
        <f t="shared" si="43"/>
        <v>3077.5</v>
      </c>
    </row>
    <row r="244" spans="1:8" s="1" customFormat="1" ht="12" customHeight="1" x14ac:dyDescent="0.2">
      <c r="A244" s="33"/>
      <c r="B244" s="45"/>
      <c r="C244" s="37">
        <v>4710</v>
      </c>
      <c r="D244" s="77" t="s">
        <v>65</v>
      </c>
      <c r="E244" s="69">
        <v>0</v>
      </c>
      <c r="F244" s="58">
        <v>502.76</v>
      </c>
      <c r="G244" s="58"/>
      <c r="H244" s="58">
        <f t="shared" si="43"/>
        <v>502.76</v>
      </c>
    </row>
    <row r="245" spans="1:8" s="1" customFormat="1" ht="12" customHeight="1" x14ac:dyDescent="0.2">
      <c r="A245" s="33"/>
      <c r="B245" s="45"/>
      <c r="C245" s="62">
        <v>4790</v>
      </c>
      <c r="D245" s="81" t="s">
        <v>75</v>
      </c>
      <c r="E245" s="69">
        <v>53286.35</v>
      </c>
      <c r="F245" s="58">
        <f>141018.39+19955.78</f>
        <v>160974.17000000001</v>
      </c>
      <c r="G245" s="58">
        <v>9163.31</v>
      </c>
      <c r="H245" s="58">
        <f t="shared" si="43"/>
        <v>205097.21000000002</v>
      </c>
    </row>
    <row r="246" spans="1:8" s="1" customFormat="1" ht="12" customHeight="1" x14ac:dyDescent="0.2">
      <c r="A246" s="33"/>
      <c r="B246" s="45"/>
      <c r="C246" s="27"/>
      <c r="D246" s="376" t="s">
        <v>42</v>
      </c>
      <c r="E246" s="83">
        <v>3972761.92</v>
      </c>
      <c r="F246" s="83">
        <f>SUM(F247:F247)</f>
        <v>4464.1899999999996</v>
      </c>
      <c r="G246" s="83">
        <f>SUM(G247:G247)</f>
        <v>0</v>
      </c>
      <c r="H246" s="85">
        <f>SUM(E246+F246-G246)</f>
        <v>3977226.11</v>
      </c>
    </row>
    <row r="247" spans="1:8" s="1" customFormat="1" ht="12" customHeight="1" x14ac:dyDescent="0.2">
      <c r="A247" s="33"/>
      <c r="B247" s="45"/>
      <c r="C247" s="37">
        <v>4580</v>
      </c>
      <c r="D247" s="68" t="s">
        <v>244</v>
      </c>
      <c r="E247" s="69">
        <v>0</v>
      </c>
      <c r="F247" s="69">
        <v>4464.1899999999996</v>
      </c>
      <c r="G247" s="69"/>
      <c r="H247" s="43">
        <f t="shared" ref="H247" si="44">SUM(E247+F247-G247)</f>
        <v>4464.1899999999996</v>
      </c>
    </row>
    <row r="248" spans="1:8" s="1" customFormat="1" ht="12" customHeight="1" thickBot="1" x14ac:dyDescent="0.25">
      <c r="A248" s="34" t="s">
        <v>92</v>
      </c>
      <c r="B248" s="33"/>
      <c r="C248" s="34"/>
      <c r="D248" s="35" t="s">
        <v>25</v>
      </c>
      <c r="E248" s="31">
        <v>64706047.07</v>
      </c>
      <c r="F248" s="36">
        <f>SUM(F249)</f>
        <v>41600</v>
      </c>
      <c r="G248" s="36">
        <f>SUM(G249)</f>
        <v>41600</v>
      </c>
      <c r="H248" s="31">
        <f t="shared" si="43"/>
        <v>64706047.07</v>
      </c>
    </row>
    <row r="249" spans="1:8" s="1" customFormat="1" ht="12" customHeight="1" thickTop="1" x14ac:dyDescent="0.2">
      <c r="A249" s="211"/>
      <c r="B249" s="45">
        <v>85295</v>
      </c>
      <c r="C249" s="27"/>
      <c r="D249" s="38" t="s">
        <v>37</v>
      </c>
      <c r="E249" s="39">
        <v>4484714.67</v>
      </c>
      <c r="F249" s="40">
        <f>SUM(F250)</f>
        <v>41600</v>
      </c>
      <c r="G249" s="40">
        <f>SUM(G250)</f>
        <v>41600</v>
      </c>
      <c r="H249" s="39">
        <f>SUM(E249+F249-G249)</f>
        <v>4484714.67</v>
      </c>
    </row>
    <row r="250" spans="1:8" s="1" customFormat="1" ht="12" customHeight="1" x14ac:dyDescent="0.2">
      <c r="A250" s="211"/>
      <c r="B250" s="33"/>
      <c r="C250" s="27"/>
      <c r="D250" s="390" t="s">
        <v>245</v>
      </c>
      <c r="E250" s="85">
        <v>326250</v>
      </c>
      <c r="F250" s="384">
        <f>SUM(F251:F252)</f>
        <v>41600</v>
      </c>
      <c r="G250" s="384">
        <f>SUM(G251:G252)</f>
        <v>41600</v>
      </c>
      <c r="H250" s="85">
        <f t="shared" ref="H250:H254" si="45">SUM(E250+F250-G250)</f>
        <v>326250</v>
      </c>
    </row>
    <row r="251" spans="1:8" s="1" customFormat="1" ht="12" customHeight="1" x14ac:dyDescent="0.2">
      <c r="A251" s="211"/>
      <c r="B251" s="33"/>
      <c r="C251" s="37">
        <v>4177</v>
      </c>
      <c r="D251" s="68" t="s">
        <v>48</v>
      </c>
      <c r="E251" s="69">
        <v>0</v>
      </c>
      <c r="F251" s="58">
        <v>41600</v>
      </c>
      <c r="G251" s="58"/>
      <c r="H251" s="44">
        <f t="shared" si="45"/>
        <v>41600</v>
      </c>
    </row>
    <row r="252" spans="1:8" s="1" customFormat="1" ht="12" customHeight="1" x14ac:dyDescent="0.2">
      <c r="A252" s="211"/>
      <c r="B252" s="33"/>
      <c r="C252" s="62">
        <v>4307</v>
      </c>
      <c r="D252" s="48" t="s">
        <v>44</v>
      </c>
      <c r="E252" s="69">
        <v>113900</v>
      </c>
      <c r="F252" s="58"/>
      <c r="G252" s="58">
        <v>41600</v>
      </c>
      <c r="H252" s="44">
        <f t="shared" si="45"/>
        <v>72300</v>
      </c>
    </row>
    <row r="253" spans="1:8" s="1" customFormat="1" ht="12" customHeight="1" thickBot="1" x14ac:dyDescent="0.25">
      <c r="A253" s="32">
        <v>853</v>
      </c>
      <c r="B253" s="32"/>
      <c r="C253" s="34"/>
      <c r="D253" s="35" t="s">
        <v>36</v>
      </c>
      <c r="E253" s="31">
        <v>10090926.859999999</v>
      </c>
      <c r="F253" s="36">
        <f>SUM(F254)</f>
        <v>20000</v>
      </c>
      <c r="G253" s="36">
        <f>SUM(G254)</f>
        <v>0</v>
      </c>
      <c r="H253" s="31">
        <f t="shared" si="45"/>
        <v>10110926.859999999</v>
      </c>
    </row>
    <row r="254" spans="1:8" s="1" customFormat="1" ht="12" customHeight="1" thickTop="1" x14ac:dyDescent="0.2">
      <c r="A254" s="34"/>
      <c r="B254" s="37">
        <v>85395</v>
      </c>
      <c r="C254" s="27"/>
      <c r="D254" s="38" t="s">
        <v>37</v>
      </c>
      <c r="E254" s="67">
        <v>6130654.8600000003</v>
      </c>
      <c r="F254" s="39">
        <f>SUM(F256)</f>
        <v>20000</v>
      </c>
      <c r="G254" s="39">
        <f>SUM(G256)</f>
        <v>0</v>
      </c>
      <c r="H254" s="39">
        <f t="shared" si="45"/>
        <v>6150654.8600000003</v>
      </c>
    </row>
    <row r="255" spans="1:8" s="1" customFormat="1" ht="12" customHeight="1" x14ac:dyDescent="0.2">
      <c r="A255" s="34"/>
      <c r="B255" s="37"/>
      <c r="C255" s="27"/>
      <c r="D255" s="68" t="s">
        <v>246</v>
      </c>
      <c r="E255" s="43"/>
      <c r="F255" s="44"/>
      <c r="G255" s="44"/>
      <c r="H255" s="43"/>
    </row>
    <row r="256" spans="1:8" s="1" customFormat="1" ht="12" customHeight="1" x14ac:dyDescent="0.2">
      <c r="A256" s="34"/>
      <c r="B256" s="37"/>
      <c r="C256" s="49"/>
      <c r="D256" s="376" t="s">
        <v>247</v>
      </c>
      <c r="E256" s="85">
        <v>402605</v>
      </c>
      <c r="F256" s="377">
        <f>SUM(F257:F257)</f>
        <v>20000</v>
      </c>
      <c r="G256" s="377">
        <f>SUM(G257:G257)</f>
        <v>0</v>
      </c>
      <c r="H256" s="85">
        <f>SUM(E256+F256-G256)</f>
        <v>422605</v>
      </c>
    </row>
    <row r="257" spans="1:8" s="1" customFormat="1" ht="12" customHeight="1" x14ac:dyDescent="0.2">
      <c r="A257" s="34"/>
      <c r="B257" s="37"/>
      <c r="C257" s="37">
        <v>4300</v>
      </c>
      <c r="D257" s="68" t="s">
        <v>44</v>
      </c>
      <c r="E257" s="69">
        <v>50793</v>
      </c>
      <c r="F257" s="44">
        <v>20000</v>
      </c>
      <c r="G257" s="44"/>
      <c r="H257" s="44">
        <f>SUM(E257+F257-G257)</f>
        <v>70793</v>
      </c>
    </row>
    <row r="258" spans="1:8" s="1" customFormat="1" ht="12" customHeight="1" thickBot="1" x14ac:dyDescent="0.25">
      <c r="A258" s="33">
        <v>854</v>
      </c>
      <c r="B258" s="33"/>
      <c r="C258" s="34"/>
      <c r="D258" s="35" t="s">
        <v>94</v>
      </c>
      <c r="E258" s="31">
        <v>15054248</v>
      </c>
      <c r="F258" s="36">
        <f>SUM(F260,F264,F272,F285)</f>
        <v>103140</v>
      </c>
      <c r="G258" s="36">
        <f>SUM(G260,G264,G272,G285)</f>
        <v>103140</v>
      </c>
      <c r="H258" s="31">
        <f>SUM(E258+F258-G258)</f>
        <v>15054248</v>
      </c>
    </row>
    <row r="259" spans="1:8" s="1" customFormat="1" ht="12" customHeight="1" thickTop="1" x14ac:dyDescent="0.2">
      <c r="A259" s="33"/>
      <c r="B259" s="37">
        <v>85406</v>
      </c>
      <c r="C259" s="37"/>
      <c r="D259" s="68" t="s">
        <v>96</v>
      </c>
      <c r="E259" s="87"/>
      <c r="F259" s="212"/>
      <c r="G259" s="212"/>
      <c r="H259" s="87"/>
    </row>
    <row r="260" spans="1:8" s="1" customFormat="1" ht="12" customHeight="1" x14ac:dyDescent="0.2">
      <c r="A260" s="33"/>
      <c r="B260" s="37"/>
      <c r="C260" s="27"/>
      <c r="D260" s="56" t="s">
        <v>97</v>
      </c>
      <c r="E260" s="39">
        <v>4056407</v>
      </c>
      <c r="F260" s="40">
        <f>SUM(F261)</f>
        <v>0</v>
      </c>
      <c r="G260" s="40">
        <f>SUM(G261)</f>
        <v>34000</v>
      </c>
      <c r="H260" s="39">
        <f t="shared" ref="H260" si="46">SUM(E260+F260-G260)</f>
        <v>4022407</v>
      </c>
    </row>
    <row r="261" spans="1:8" s="1" customFormat="1" ht="12" customHeight="1" x14ac:dyDescent="0.2">
      <c r="A261" s="33"/>
      <c r="B261" s="37"/>
      <c r="C261" s="27"/>
      <c r="D261" s="381" t="s">
        <v>60</v>
      </c>
      <c r="E261" s="83">
        <v>3838806</v>
      </c>
      <c r="F261" s="83">
        <f>SUM(F262:F263)</f>
        <v>0</v>
      </c>
      <c r="G261" s="83">
        <f>SUM(G262:G263)</f>
        <v>34000</v>
      </c>
      <c r="H261" s="85">
        <f>SUM(E261+F261-G261)</f>
        <v>3804806</v>
      </c>
    </row>
    <row r="262" spans="1:8" s="1" customFormat="1" ht="12" customHeight="1" x14ac:dyDescent="0.2">
      <c r="A262" s="33"/>
      <c r="B262" s="37"/>
      <c r="C262" s="37">
        <v>4710</v>
      </c>
      <c r="D262" s="77" t="s">
        <v>65</v>
      </c>
      <c r="E262" s="69">
        <v>35377</v>
      </c>
      <c r="F262" s="69"/>
      <c r="G262" s="69">
        <v>20000</v>
      </c>
      <c r="H262" s="43">
        <f t="shared" ref="H262:H263" si="47">SUM(E262+F262-G262)</f>
        <v>15377</v>
      </c>
    </row>
    <row r="263" spans="1:8" s="1" customFormat="1" ht="12" customHeight="1" x14ac:dyDescent="0.2">
      <c r="A263" s="33"/>
      <c r="B263" s="37"/>
      <c r="C263" s="62">
        <v>4800</v>
      </c>
      <c r="D263" s="81" t="s">
        <v>77</v>
      </c>
      <c r="E263" s="69">
        <v>215985</v>
      </c>
      <c r="F263" s="69"/>
      <c r="G263" s="69">
        <v>14000</v>
      </c>
      <c r="H263" s="43">
        <f t="shared" si="47"/>
        <v>201985</v>
      </c>
    </row>
    <row r="264" spans="1:8" s="1" customFormat="1" ht="12" customHeight="1" x14ac:dyDescent="0.2">
      <c r="A264" s="33"/>
      <c r="B264" s="62">
        <v>85410</v>
      </c>
      <c r="C264" s="63"/>
      <c r="D264" s="64" t="s">
        <v>196</v>
      </c>
      <c r="E264" s="40">
        <v>3504664</v>
      </c>
      <c r="F264" s="40">
        <f>SUM(F265)</f>
        <v>27000</v>
      </c>
      <c r="G264" s="40">
        <f>SUM(G265)</f>
        <v>37900</v>
      </c>
      <c r="H264" s="39">
        <f>SUM(E264+F264-G264)</f>
        <v>3493764</v>
      </c>
    </row>
    <row r="265" spans="1:8" s="1" customFormat="1" ht="12" customHeight="1" x14ac:dyDescent="0.2">
      <c r="A265" s="33"/>
      <c r="B265" s="37"/>
      <c r="C265" s="27"/>
      <c r="D265" s="381" t="s">
        <v>60</v>
      </c>
      <c r="E265" s="391">
        <v>2352657</v>
      </c>
      <c r="F265" s="384">
        <f>SUM(F266:F270)</f>
        <v>27000</v>
      </c>
      <c r="G265" s="384">
        <f>SUM(G266:G270)</f>
        <v>37900</v>
      </c>
      <c r="H265" s="83">
        <f t="shared" ref="H265:H270" si="48">SUM(E265+F265-G265)</f>
        <v>2341757</v>
      </c>
    </row>
    <row r="266" spans="1:8" s="1" customFormat="1" ht="12" customHeight="1" x14ac:dyDescent="0.2">
      <c r="A266" s="33"/>
      <c r="B266" s="37"/>
      <c r="C266" s="37">
        <v>4040</v>
      </c>
      <c r="D266" s="68" t="s">
        <v>108</v>
      </c>
      <c r="E266" s="69">
        <v>63976</v>
      </c>
      <c r="F266" s="69"/>
      <c r="G266" s="69">
        <v>7000</v>
      </c>
      <c r="H266" s="43">
        <f t="shared" si="48"/>
        <v>56976</v>
      </c>
    </row>
    <row r="267" spans="1:8" s="1" customFormat="1" ht="12" customHeight="1" x14ac:dyDescent="0.2">
      <c r="A267" s="33"/>
      <c r="B267" s="37"/>
      <c r="C267" s="37">
        <v>4260</v>
      </c>
      <c r="D267" s="68" t="s">
        <v>64</v>
      </c>
      <c r="E267" s="69">
        <v>155000</v>
      </c>
      <c r="F267" s="69">
        <v>27000</v>
      </c>
      <c r="G267" s="69"/>
      <c r="H267" s="43">
        <f t="shared" si="48"/>
        <v>182000</v>
      </c>
    </row>
    <row r="268" spans="1:8" s="1" customFormat="1" ht="12" customHeight="1" x14ac:dyDescent="0.2">
      <c r="A268" s="33"/>
      <c r="B268" s="37"/>
      <c r="C268" s="37">
        <v>4270</v>
      </c>
      <c r="D268" s="68" t="s">
        <v>110</v>
      </c>
      <c r="E268" s="69">
        <v>113000</v>
      </c>
      <c r="F268" s="69"/>
      <c r="G268" s="69">
        <v>20000</v>
      </c>
      <c r="H268" s="43">
        <f t="shared" si="48"/>
        <v>93000</v>
      </c>
    </row>
    <row r="269" spans="1:8" s="1" customFormat="1" ht="12" customHeight="1" x14ac:dyDescent="0.2">
      <c r="A269" s="33"/>
      <c r="B269" s="37"/>
      <c r="C269" s="37">
        <v>4710</v>
      </c>
      <c r="D269" s="77" t="s">
        <v>65</v>
      </c>
      <c r="E269" s="69">
        <v>11988</v>
      </c>
      <c r="F269" s="69"/>
      <c r="G269" s="69">
        <v>7000</v>
      </c>
      <c r="H269" s="43">
        <f t="shared" si="48"/>
        <v>4988</v>
      </c>
    </row>
    <row r="270" spans="1:8" s="1" customFormat="1" ht="12" customHeight="1" x14ac:dyDescent="0.2">
      <c r="A270" s="33"/>
      <c r="B270" s="37"/>
      <c r="C270" s="62">
        <v>4800</v>
      </c>
      <c r="D270" s="81" t="s">
        <v>77</v>
      </c>
      <c r="E270" s="69">
        <v>74104</v>
      </c>
      <c r="F270" s="69"/>
      <c r="G270" s="69">
        <v>3900</v>
      </c>
      <c r="H270" s="43">
        <f t="shared" si="48"/>
        <v>70204</v>
      </c>
    </row>
    <row r="271" spans="1:8" s="1" customFormat="1" ht="12" customHeight="1" x14ac:dyDescent="0.2">
      <c r="A271" s="33"/>
      <c r="B271" s="37">
        <v>85412</v>
      </c>
      <c r="C271" s="45"/>
      <c r="D271" s="68" t="s">
        <v>197</v>
      </c>
      <c r="E271" s="87"/>
      <c r="F271" s="87"/>
      <c r="G271" s="87"/>
      <c r="H271" s="87"/>
    </row>
    <row r="272" spans="1:8" s="1" customFormat="1" ht="12" customHeight="1" x14ac:dyDescent="0.2">
      <c r="A272" s="33"/>
      <c r="B272" s="202"/>
      <c r="C272" s="45"/>
      <c r="D272" s="38" t="s">
        <v>248</v>
      </c>
      <c r="E272" s="39">
        <v>55000</v>
      </c>
      <c r="F272" s="39">
        <f>SUM(F273,F277)</f>
        <v>31240</v>
      </c>
      <c r="G272" s="39">
        <f>SUM(G273,G277)</f>
        <v>31240</v>
      </c>
      <c r="H272" s="39">
        <f>SUM(E272+F272-G272)</f>
        <v>55000</v>
      </c>
    </row>
    <row r="273" spans="1:8" s="1" customFormat="1" ht="12" customHeight="1" x14ac:dyDescent="0.2">
      <c r="A273" s="33"/>
      <c r="B273" s="202"/>
      <c r="C273" s="27"/>
      <c r="D273" s="381" t="s">
        <v>78</v>
      </c>
      <c r="E273" s="85">
        <v>31290</v>
      </c>
      <c r="F273" s="85">
        <f>SUM(F274:F276)</f>
        <v>0</v>
      </c>
      <c r="G273" s="85">
        <f>SUM(G274:G276)</f>
        <v>31240</v>
      </c>
      <c r="H273" s="85">
        <f>SUM(E273+F273-G273)</f>
        <v>50</v>
      </c>
    </row>
    <row r="274" spans="1:8" s="1" customFormat="1" ht="12" customHeight="1" x14ac:dyDescent="0.2">
      <c r="A274" s="33"/>
      <c r="B274" s="202"/>
      <c r="C274" s="62">
        <v>4210</v>
      </c>
      <c r="D274" s="77" t="s">
        <v>84</v>
      </c>
      <c r="E274" s="69">
        <v>2192</v>
      </c>
      <c r="F274" s="69"/>
      <c r="G274" s="69">
        <v>2192</v>
      </c>
      <c r="H274" s="44">
        <f>SUM(E274+F274-G274)</f>
        <v>0</v>
      </c>
    </row>
    <row r="275" spans="1:8" s="1" customFormat="1" ht="12" customHeight="1" x14ac:dyDescent="0.2">
      <c r="A275" s="33"/>
      <c r="B275" s="202"/>
      <c r="C275" s="37">
        <v>4220</v>
      </c>
      <c r="D275" s="68" t="s">
        <v>85</v>
      </c>
      <c r="E275" s="69">
        <v>11170</v>
      </c>
      <c r="F275" s="69"/>
      <c r="G275" s="69">
        <v>11170</v>
      </c>
      <c r="H275" s="44">
        <f t="shared" ref="H275:H276" si="49">SUM(E275+F275-G275)</f>
        <v>0</v>
      </c>
    </row>
    <row r="276" spans="1:8" s="1" customFormat="1" ht="12" customHeight="1" x14ac:dyDescent="0.2">
      <c r="A276" s="33"/>
      <c r="B276" s="202"/>
      <c r="C276" s="48">
        <v>4300</v>
      </c>
      <c r="D276" s="77" t="s">
        <v>44</v>
      </c>
      <c r="E276" s="69">
        <v>17928</v>
      </c>
      <c r="F276" s="69"/>
      <c r="G276" s="69">
        <v>17878</v>
      </c>
      <c r="H276" s="44">
        <f t="shared" si="49"/>
        <v>50</v>
      </c>
    </row>
    <row r="277" spans="1:8" s="1" customFormat="1" ht="12" customHeight="1" x14ac:dyDescent="0.2">
      <c r="A277" s="33"/>
      <c r="B277" s="45"/>
      <c r="C277" s="27"/>
      <c r="D277" s="381" t="s">
        <v>60</v>
      </c>
      <c r="E277" s="83">
        <v>23710</v>
      </c>
      <c r="F277" s="83">
        <f>SUM(F278:F284)</f>
        <v>31240</v>
      </c>
      <c r="G277" s="83">
        <f>SUM(G278:G284)</f>
        <v>0</v>
      </c>
      <c r="H277" s="85">
        <f>SUM(E277+F277-G277)</f>
        <v>54950</v>
      </c>
    </row>
    <row r="278" spans="1:8" s="1" customFormat="1" ht="12" customHeight="1" x14ac:dyDescent="0.2">
      <c r="A278" s="33"/>
      <c r="B278" s="48"/>
      <c r="C278" s="62">
        <v>4110</v>
      </c>
      <c r="D278" s="77" t="s">
        <v>61</v>
      </c>
      <c r="E278" s="69">
        <v>2444</v>
      </c>
      <c r="F278" s="69">
        <v>2730</v>
      </c>
      <c r="G278" s="69"/>
      <c r="H278" s="44">
        <f>SUM(E278+F278-G278)</f>
        <v>5174</v>
      </c>
    </row>
    <row r="279" spans="1:8" s="1" customFormat="1" ht="12" customHeight="1" x14ac:dyDescent="0.2">
      <c r="A279" s="33"/>
      <c r="B279" s="48"/>
      <c r="C279" s="62">
        <v>4120</v>
      </c>
      <c r="D279" s="68" t="s">
        <v>62</v>
      </c>
      <c r="E279" s="69">
        <v>330</v>
      </c>
      <c r="F279" s="69">
        <v>387</v>
      </c>
      <c r="G279" s="69"/>
      <c r="H279" s="44">
        <f t="shared" ref="H279:H284" si="50">SUM(E279+F279-G279)</f>
        <v>717</v>
      </c>
    </row>
    <row r="280" spans="1:8" s="1" customFormat="1" ht="12" customHeight="1" x14ac:dyDescent="0.2">
      <c r="A280" s="33"/>
      <c r="B280" s="48"/>
      <c r="C280" s="49" t="s">
        <v>249</v>
      </c>
      <c r="D280" s="213" t="s">
        <v>48</v>
      </c>
      <c r="E280" s="69">
        <v>14213</v>
      </c>
      <c r="F280" s="69">
        <v>15880</v>
      </c>
      <c r="G280" s="69"/>
      <c r="H280" s="44">
        <f t="shared" si="50"/>
        <v>30093</v>
      </c>
    </row>
    <row r="281" spans="1:8" s="1" customFormat="1" ht="12" customHeight="1" x14ac:dyDescent="0.2">
      <c r="A281" s="33"/>
      <c r="B281" s="48"/>
      <c r="C281" s="62">
        <v>4210</v>
      </c>
      <c r="D281" s="77" t="s">
        <v>84</v>
      </c>
      <c r="E281" s="69">
        <v>1404</v>
      </c>
      <c r="F281" s="69">
        <v>1170</v>
      </c>
      <c r="G281" s="69"/>
      <c r="H281" s="44">
        <f t="shared" si="50"/>
        <v>2574</v>
      </c>
    </row>
    <row r="282" spans="1:8" s="1" customFormat="1" ht="12" customHeight="1" x14ac:dyDescent="0.2">
      <c r="A282" s="33"/>
      <c r="B282" s="48"/>
      <c r="C282" s="37">
        <v>4220</v>
      </c>
      <c r="D282" s="68" t="s">
        <v>85</v>
      </c>
      <c r="E282" s="69">
        <v>1830</v>
      </c>
      <c r="F282" s="69">
        <v>5440</v>
      </c>
      <c r="G282" s="69"/>
      <c r="H282" s="44">
        <f t="shared" si="50"/>
        <v>7270</v>
      </c>
    </row>
    <row r="283" spans="1:8" s="1" customFormat="1" ht="12" customHeight="1" x14ac:dyDescent="0.2">
      <c r="A283" s="33"/>
      <c r="B283" s="48"/>
      <c r="C283" s="48">
        <v>4300</v>
      </c>
      <c r="D283" s="77" t="s">
        <v>44</v>
      </c>
      <c r="E283" s="69">
        <v>3476</v>
      </c>
      <c r="F283" s="69">
        <v>5630</v>
      </c>
      <c r="G283" s="69"/>
      <c r="H283" s="44">
        <f t="shared" si="50"/>
        <v>9106</v>
      </c>
    </row>
    <row r="284" spans="1:8" s="1" customFormat="1" ht="12" customHeight="1" x14ac:dyDescent="0.2">
      <c r="A284" s="33"/>
      <c r="B284" s="48"/>
      <c r="C284" s="37">
        <v>4710</v>
      </c>
      <c r="D284" s="77" t="s">
        <v>65</v>
      </c>
      <c r="E284" s="69">
        <v>13</v>
      </c>
      <c r="F284" s="69">
        <v>3</v>
      </c>
      <c r="G284" s="69"/>
      <c r="H284" s="44">
        <f t="shared" si="50"/>
        <v>16</v>
      </c>
    </row>
    <row r="285" spans="1:8" s="1" customFormat="1" ht="12" customHeight="1" x14ac:dyDescent="0.2">
      <c r="A285" s="33"/>
      <c r="B285" s="80">
        <v>85417</v>
      </c>
      <c r="C285" s="80"/>
      <c r="D285" s="64" t="s">
        <v>199</v>
      </c>
      <c r="E285" s="39">
        <v>79691</v>
      </c>
      <c r="F285" s="40">
        <f>SUM(F286)</f>
        <v>44900</v>
      </c>
      <c r="G285" s="40">
        <f>SUM(G286)</f>
        <v>0</v>
      </c>
      <c r="H285" s="39">
        <f>SUM(E285+F285-G285)</f>
        <v>124591</v>
      </c>
    </row>
    <row r="286" spans="1:8" s="1" customFormat="1" ht="12" customHeight="1" x14ac:dyDescent="0.2">
      <c r="A286" s="33"/>
      <c r="B286" s="45"/>
      <c r="C286" s="27"/>
      <c r="D286" s="381" t="s">
        <v>60</v>
      </c>
      <c r="E286" s="85">
        <v>79691</v>
      </c>
      <c r="F286" s="384">
        <f>SUM(F287:F287)</f>
        <v>44900</v>
      </c>
      <c r="G286" s="384">
        <f>SUM(G287:G287)</f>
        <v>0</v>
      </c>
      <c r="H286" s="85">
        <f>SUM(E286+F286-G286)</f>
        <v>124591</v>
      </c>
    </row>
    <row r="287" spans="1:8" s="1" customFormat="1" ht="12" customHeight="1" x14ac:dyDescent="0.2">
      <c r="A287" s="33"/>
      <c r="B287" s="45"/>
      <c r="C287" s="37">
        <v>4260</v>
      </c>
      <c r="D287" s="68" t="s">
        <v>64</v>
      </c>
      <c r="E287" s="43">
        <v>40000</v>
      </c>
      <c r="F287" s="58">
        <v>44900</v>
      </c>
      <c r="G287" s="58"/>
      <c r="H287" s="44">
        <f t="shared" ref="H287:H354" si="51">SUM(E287+F287-G287)</f>
        <v>84900</v>
      </c>
    </row>
    <row r="288" spans="1:8" s="1" customFormat="1" ht="12" customHeight="1" thickBot="1" x14ac:dyDescent="0.25">
      <c r="A288" s="33">
        <v>855</v>
      </c>
      <c r="B288" s="33"/>
      <c r="C288" s="34"/>
      <c r="D288" s="35" t="s">
        <v>33</v>
      </c>
      <c r="E288" s="36">
        <v>22020673</v>
      </c>
      <c r="F288" s="36">
        <f>SUM(F289)</f>
        <v>9126</v>
      </c>
      <c r="G288" s="36">
        <f>SUM(G289)</f>
        <v>0</v>
      </c>
      <c r="H288" s="36">
        <f>SUM(E288+F288-G288)</f>
        <v>22029799</v>
      </c>
    </row>
    <row r="289" spans="1:8" s="1" customFormat="1" ht="36" customHeight="1" thickTop="1" x14ac:dyDescent="0.2">
      <c r="A289" s="37"/>
      <c r="B289" s="59">
        <v>85502</v>
      </c>
      <c r="C289" s="27"/>
      <c r="D289" s="65" t="s">
        <v>207</v>
      </c>
      <c r="E289" s="39">
        <v>1025141</v>
      </c>
      <c r="F289" s="40">
        <f t="shared" ref="F289:G289" si="52">SUM(F290)</f>
        <v>9126</v>
      </c>
      <c r="G289" s="40">
        <f t="shared" si="52"/>
        <v>0</v>
      </c>
      <c r="H289" s="39">
        <f>SUM(E289+F289-G289)</f>
        <v>1034267</v>
      </c>
    </row>
    <row r="290" spans="1:8" s="1" customFormat="1" ht="24" customHeight="1" x14ac:dyDescent="0.2">
      <c r="A290" s="25"/>
      <c r="B290" s="33"/>
      <c r="C290" s="49"/>
      <c r="D290" s="379" t="s">
        <v>250</v>
      </c>
      <c r="E290" s="85">
        <v>9095</v>
      </c>
      <c r="F290" s="377">
        <f>SUM(F291:F293)</f>
        <v>9126</v>
      </c>
      <c r="G290" s="377">
        <f>SUM(G291:G291)</f>
        <v>0</v>
      </c>
      <c r="H290" s="85">
        <f t="shared" ref="H290:H293" si="53">SUM(E290+F290-G290)</f>
        <v>18221</v>
      </c>
    </row>
    <row r="291" spans="1:8" s="1" customFormat="1" ht="12" customHeight="1" x14ac:dyDescent="0.2">
      <c r="A291" s="25"/>
      <c r="B291" s="33"/>
      <c r="C291" s="37">
        <v>3110</v>
      </c>
      <c r="D291" s="68" t="s">
        <v>105</v>
      </c>
      <c r="E291" s="43">
        <v>8830</v>
      </c>
      <c r="F291" s="43">
        <v>8891</v>
      </c>
      <c r="G291" s="44"/>
      <c r="H291" s="43">
        <f t="shared" si="53"/>
        <v>17721</v>
      </c>
    </row>
    <row r="292" spans="1:8" s="1" customFormat="1" ht="12" customHeight="1" x14ac:dyDescent="0.2">
      <c r="A292" s="34"/>
      <c r="B292" s="45"/>
      <c r="C292" s="37">
        <v>4010</v>
      </c>
      <c r="D292" s="68" t="s">
        <v>70</v>
      </c>
      <c r="E292" s="58">
        <v>265</v>
      </c>
      <c r="F292" s="69">
        <v>205</v>
      </c>
      <c r="G292" s="58"/>
      <c r="H292" s="43">
        <f t="shared" si="53"/>
        <v>470</v>
      </c>
    </row>
    <row r="293" spans="1:8" s="1" customFormat="1" ht="12" customHeight="1" x14ac:dyDescent="0.2">
      <c r="A293" s="34"/>
      <c r="B293" s="45"/>
      <c r="C293" s="37">
        <v>4300</v>
      </c>
      <c r="D293" s="68" t="s">
        <v>44</v>
      </c>
      <c r="E293" s="58">
        <v>0</v>
      </c>
      <c r="F293" s="69">
        <v>30</v>
      </c>
      <c r="G293" s="58"/>
      <c r="H293" s="43">
        <f t="shared" si="53"/>
        <v>30</v>
      </c>
    </row>
    <row r="294" spans="1:8" s="1" customFormat="1" ht="12" customHeight="1" thickBot="1" x14ac:dyDescent="0.25">
      <c r="A294" s="33">
        <v>900</v>
      </c>
      <c r="B294" s="33"/>
      <c r="C294" s="34"/>
      <c r="D294" s="35" t="s">
        <v>98</v>
      </c>
      <c r="E294" s="31">
        <v>72727365.549999997</v>
      </c>
      <c r="F294" s="36">
        <f>SUM(F295,F298,F301)</f>
        <v>202000</v>
      </c>
      <c r="G294" s="36">
        <f>SUM(G295,G298,G301)</f>
        <v>52000</v>
      </c>
      <c r="H294" s="31">
        <f t="shared" si="51"/>
        <v>72877365.549999997</v>
      </c>
    </row>
    <row r="295" spans="1:8" s="1" customFormat="1" ht="12" customHeight="1" thickTop="1" x14ac:dyDescent="0.2">
      <c r="A295" s="33"/>
      <c r="B295" s="62">
        <v>90004</v>
      </c>
      <c r="C295" s="80"/>
      <c r="D295" s="64" t="s">
        <v>251</v>
      </c>
      <c r="E295" s="39">
        <v>654000</v>
      </c>
      <c r="F295" s="40">
        <f t="shared" ref="F295:G295" si="54">SUM(F296)</f>
        <v>0</v>
      </c>
      <c r="G295" s="40">
        <f t="shared" si="54"/>
        <v>50000</v>
      </c>
      <c r="H295" s="39">
        <f t="shared" si="51"/>
        <v>604000</v>
      </c>
    </row>
    <row r="296" spans="1:8" s="1" customFormat="1" ht="23.45" customHeight="1" x14ac:dyDescent="0.2">
      <c r="A296" s="33"/>
      <c r="B296" s="37"/>
      <c r="C296" s="37"/>
      <c r="D296" s="385" t="s">
        <v>252</v>
      </c>
      <c r="E296" s="83">
        <v>270000</v>
      </c>
      <c r="F296" s="83">
        <f>SUM(F297:F297)</f>
        <v>0</v>
      </c>
      <c r="G296" s="83">
        <f>SUM(G297:G297)</f>
        <v>50000</v>
      </c>
      <c r="H296" s="83">
        <f t="shared" si="51"/>
        <v>220000</v>
      </c>
    </row>
    <row r="297" spans="1:8" s="1" customFormat="1" ht="12" customHeight="1" x14ac:dyDescent="0.2">
      <c r="A297" s="52"/>
      <c r="B297" s="79"/>
      <c r="C297" s="79">
        <v>4270</v>
      </c>
      <c r="D297" s="38" t="s">
        <v>110</v>
      </c>
      <c r="E297" s="55">
        <v>70000</v>
      </c>
      <c r="F297" s="55"/>
      <c r="G297" s="55">
        <v>50000</v>
      </c>
      <c r="H297" s="40">
        <f t="shared" si="51"/>
        <v>20000</v>
      </c>
    </row>
    <row r="298" spans="1:8" s="1" customFormat="1" ht="12" customHeight="1" x14ac:dyDescent="0.2">
      <c r="A298" s="33"/>
      <c r="B298" s="37">
        <v>90013</v>
      </c>
      <c r="C298" s="34"/>
      <c r="D298" s="38" t="s">
        <v>253</v>
      </c>
      <c r="E298" s="39">
        <v>1431029</v>
      </c>
      <c r="F298" s="40">
        <f t="shared" ref="F298:G298" si="55">SUM(F299)</f>
        <v>50000</v>
      </c>
      <c r="G298" s="40">
        <f t="shared" si="55"/>
        <v>0</v>
      </c>
      <c r="H298" s="39">
        <f t="shared" si="51"/>
        <v>1481029</v>
      </c>
    </row>
    <row r="299" spans="1:8" s="1" customFormat="1" ht="12" customHeight="1" x14ac:dyDescent="0.2">
      <c r="A299" s="33"/>
      <c r="B299" s="37"/>
      <c r="C299" s="37"/>
      <c r="D299" s="392" t="s">
        <v>254</v>
      </c>
      <c r="E299" s="83">
        <v>1431029</v>
      </c>
      <c r="F299" s="83">
        <f>SUM(F300:F300)</f>
        <v>50000</v>
      </c>
      <c r="G299" s="83">
        <f>SUM(G300:G300)</f>
        <v>0</v>
      </c>
      <c r="H299" s="83">
        <f t="shared" si="51"/>
        <v>1481029</v>
      </c>
    </row>
    <row r="300" spans="1:8" s="1" customFormat="1" ht="12" customHeight="1" x14ac:dyDescent="0.2">
      <c r="A300" s="33"/>
      <c r="B300" s="37"/>
      <c r="C300" s="62">
        <v>4210</v>
      </c>
      <c r="D300" s="77" t="s">
        <v>84</v>
      </c>
      <c r="E300" s="58">
        <v>76500</v>
      </c>
      <c r="F300" s="58">
        <v>50000</v>
      </c>
      <c r="G300" s="58"/>
      <c r="H300" s="44">
        <f t="shared" si="51"/>
        <v>126500</v>
      </c>
    </row>
    <row r="301" spans="1:8" s="1" customFormat="1" ht="12" customHeight="1" x14ac:dyDescent="0.2">
      <c r="A301" s="214"/>
      <c r="B301" s="45">
        <v>90095</v>
      </c>
      <c r="C301" s="34"/>
      <c r="D301" s="82" t="s">
        <v>37</v>
      </c>
      <c r="E301" s="39">
        <v>30477391.549999997</v>
      </c>
      <c r="F301" s="39">
        <f>SUM(F302,F305)</f>
        <v>152000</v>
      </c>
      <c r="G301" s="39">
        <f>SUM(G302,G305)</f>
        <v>2000</v>
      </c>
      <c r="H301" s="39">
        <f t="shared" si="51"/>
        <v>30627391.549999997</v>
      </c>
    </row>
    <row r="302" spans="1:8" s="1" customFormat="1" ht="13.5" customHeight="1" x14ac:dyDescent="0.2">
      <c r="A302" s="214"/>
      <c r="B302" s="45"/>
      <c r="C302" s="37"/>
      <c r="D302" s="376" t="s">
        <v>255</v>
      </c>
      <c r="E302" s="83">
        <v>844300.2</v>
      </c>
      <c r="F302" s="83">
        <f>SUM(F303:F304)</f>
        <v>2000</v>
      </c>
      <c r="G302" s="83">
        <f>SUM(G303:G304)</f>
        <v>2000</v>
      </c>
      <c r="H302" s="83">
        <f t="shared" si="51"/>
        <v>844300.2</v>
      </c>
    </row>
    <row r="303" spans="1:8" s="1" customFormat="1" ht="12" customHeight="1" x14ac:dyDescent="0.2">
      <c r="A303" s="214"/>
      <c r="B303" s="45"/>
      <c r="C303" s="37">
        <v>4300</v>
      </c>
      <c r="D303" s="68" t="s">
        <v>44</v>
      </c>
      <c r="E303" s="44">
        <v>0</v>
      </c>
      <c r="F303" s="44">
        <v>2000</v>
      </c>
      <c r="G303" s="44"/>
      <c r="H303" s="44">
        <f t="shared" si="51"/>
        <v>2000</v>
      </c>
    </row>
    <row r="304" spans="1:8" s="1" customFormat="1" ht="21" customHeight="1" x14ac:dyDescent="0.2">
      <c r="A304" s="214"/>
      <c r="B304" s="45"/>
      <c r="C304" s="59">
        <v>4390</v>
      </c>
      <c r="D304" s="60" t="s">
        <v>45</v>
      </c>
      <c r="E304" s="69">
        <v>25000</v>
      </c>
      <c r="F304" s="69"/>
      <c r="G304" s="69">
        <v>2000</v>
      </c>
      <c r="H304" s="69">
        <f t="shared" si="51"/>
        <v>23000</v>
      </c>
    </row>
    <row r="305" spans="1:8" s="1" customFormat="1" ht="23.25" customHeight="1" x14ac:dyDescent="0.2">
      <c r="A305" s="214"/>
      <c r="B305" s="45"/>
      <c r="C305" s="37"/>
      <c r="D305" s="385" t="s">
        <v>252</v>
      </c>
      <c r="E305" s="83">
        <v>646000</v>
      </c>
      <c r="F305" s="83">
        <f>SUM(F306)</f>
        <v>150000</v>
      </c>
      <c r="G305" s="83">
        <f>SUM(G306)</f>
        <v>0</v>
      </c>
      <c r="H305" s="83">
        <f t="shared" si="51"/>
        <v>796000</v>
      </c>
    </row>
    <row r="306" spans="1:8" s="1" customFormat="1" ht="12" customHeight="1" x14ac:dyDescent="0.2">
      <c r="A306" s="214"/>
      <c r="B306" s="45"/>
      <c r="C306" s="37">
        <v>6050</v>
      </c>
      <c r="D306" s="68" t="s">
        <v>43</v>
      </c>
      <c r="E306" s="44">
        <v>100000</v>
      </c>
      <c r="F306" s="44">
        <v>150000</v>
      </c>
      <c r="G306" s="44"/>
      <c r="H306" s="44">
        <f t="shared" si="51"/>
        <v>250000</v>
      </c>
    </row>
    <row r="307" spans="1:8" s="1" customFormat="1" ht="12" customHeight="1" thickBot="1" x14ac:dyDescent="0.25">
      <c r="A307" s="32">
        <v>921</v>
      </c>
      <c r="B307" s="32"/>
      <c r="C307" s="34"/>
      <c r="D307" s="35" t="s">
        <v>256</v>
      </c>
      <c r="E307" s="31">
        <v>11735039.02</v>
      </c>
      <c r="F307" s="31">
        <f>SUM(F308)</f>
        <v>36800</v>
      </c>
      <c r="G307" s="31">
        <f>SUM(G308)</f>
        <v>0</v>
      </c>
      <c r="H307" s="31">
        <f t="shared" si="51"/>
        <v>11771839.02</v>
      </c>
    </row>
    <row r="308" spans="1:8" s="1" customFormat="1" ht="12" customHeight="1" thickTop="1" x14ac:dyDescent="0.2">
      <c r="A308" s="214"/>
      <c r="B308" s="62">
        <v>92195</v>
      </c>
      <c r="C308" s="80"/>
      <c r="D308" s="82" t="s">
        <v>37</v>
      </c>
      <c r="E308" s="39">
        <v>935266.26</v>
      </c>
      <c r="F308" s="39">
        <f>SUM(F309)</f>
        <v>36800</v>
      </c>
      <c r="G308" s="39">
        <f>SUM(G309)</f>
        <v>0</v>
      </c>
      <c r="H308" s="39">
        <f t="shared" si="51"/>
        <v>972066.26</v>
      </c>
    </row>
    <row r="309" spans="1:8" s="1" customFormat="1" ht="12" customHeight="1" x14ac:dyDescent="0.2">
      <c r="A309" s="214"/>
      <c r="B309" s="84"/>
      <c r="C309" s="62"/>
      <c r="D309" s="393" t="s">
        <v>257</v>
      </c>
      <c r="E309" s="85">
        <v>614730</v>
      </c>
      <c r="F309" s="384">
        <f>SUM(F310:F310)</f>
        <v>36800</v>
      </c>
      <c r="G309" s="384">
        <f>SUM(G310:G310)</f>
        <v>0</v>
      </c>
      <c r="H309" s="83">
        <f t="shared" si="51"/>
        <v>651530</v>
      </c>
    </row>
    <row r="310" spans="1:8" s="1" customFormat="1" ht="12" customHeight="1" x14ac:dyDescent="0.2">
      <c r="A310" s="214"/>
      <c r="B310" s="84"/>
      <c r="C310" s="37">
        <v>4300</v>
      </c>
      <c r="D310" s="68" t="s">
        <v>44</v>
      </c>
      <c r="E310" s="44">
        <v>346000</v>
      </c>
      <c r="F310" s="44">
        <v>36800</v>
      </c>
      <c r="G310" s="44"/>
      <c r="H310" s="44">
        <f t="shared" si="51"/>
        <v>382800</v>
      </c>
    </row>
    <row r="311" spans="1:8" s="1" customFormat="1" ht="18.600000000000001" customHeight="1" thickBot="1" x14ac:dyDescent="0.25">
      <c r="A311" s="214"/>
      <c r="B311" s="45"/>
      <c r="C311" s="37"/>
      <c r="D311" s="30" t="s">
        <v>102</v>
      </c>
      <c r="E311" s="31">
        <v>79886623.689999998</v>
      </c>
      <c r="F311" s="31">
        <f>SUM(F312,F319,F328,F353)</f>
        <v>1289124.3999999999</v>
      </c>
      <c r="G311" s="31">
        <f>SUM(G312,G319,G328,G353)</f>
        <v>6579</v>
      </c>
      <c r="H311" s="31">
        <f t="shared" si="51"/>
        <v>81169169.090000004</v>
      </c>
    </row>
    <row r="312" spans="1:8" s="1" customFormat="1" ht="21" customHeight="1" thickTop="1" thickBot="1" x14ac:dyDescent="0.25">
      <c r="A312" s="33">
        <v>750</v>
      </c>
      <c r="B312" s="33"/>
      <c r="C312" s="34"/>
      <c r="D312" s="35" t="s">
        <v>15</v>
      </c>
      <c r="E312" s="31">
        <v>1668642.96</v>
      </c>
      <c r="F312" s="31">
        <f>SUM(F313)</f>
        <v>5773.4</v>
      </c>
      <c r="G312" s="31">
        <f>SUM(G313)</f>
        <v>0</v>
      </c>
      <c r="H312" s="31">
        <f t="shared" si="51"/>
        <v>1674416.3599999999</v>
      </c>
    </row>
    <row r="313" spans="1:8" s="1" customFormat="1" ht="12" customHeight="1" thickTop="1" x14ac:dyDescent="0.2">
      <c r="A313" s="33"/>
      <c r="B313" s="37">
        <v>75011</v>
      </c>
      <c r="C313" s="50"/>
      <c r="D313" s="51" t="s">
        <v>28</v>
      </c>
      <c r="E313" s="67">
        <v>1668642.96</v>
      </c>
      <c r="F313" s="40">
        <f>SUM(F314)</f>
        <v>5773.4</v>
      </c>
      <c r="G313" s="40">
        <f>SUM(G314)</f>
        <v>0</v>
      </c>
      <c r="H313" s="39">
        <f t="shared" si="51"/>
        <v>1674416.3599999999</v>
      </c>
    </row>
    <row r="314" spans="1:8" s="1" customFormat="1" ht="23.25" customHeight="1" x14ac:dyDescent="0.2">
      <c r="A314" s="33"/>
      <c r="B314" s="33"/>
      <c r="C314" s="27"/>
      <c r="D314" s="388" t="s">
        <v>258</v>
      </c>
      <c r="E314" s="391">
        <v>6242.96</v>
      </c>
      <c r="F314" s="384">
        <f>SUM(F315:F317)</f>
        <v>5773.4</v>
      </c>
      <c r="G314" s="384">
        <f>SUM(G315:G317)</f>
        <v>0</v>
      </c>
      <c r="H314" s="83">
        <f t="shared" si="51"/>
        <v>12016.36</v>
      </c>
    </row>
    <row r="315" spans="1:8" s="1" customFormat="1" ht="12" customHeight="1" x14ac:dyDescent="0.2">
      <c r="A315" s="33"/>
      <c r="B315" s="33"/>
      <c r="C315" s="37">
        <v>4010</v>
      </c>
      <c r="D315" s="68" t="s">
        <v>70</v>
      </c>
      <c r="E315" s="58">
        <v>5218.13</v>
      </c>
      <c r="F315" s="58">
        <v>4825.6400000000003</v>
      </c>
      <c r="G315" s="58"/>
      <c r="H315" s="44">
        <f t="shared" si="51"/>
        <v>10043.77</v>
      </c>
    </row>
    <row r="316" spans="1:8" s="1" customFormat="1" ht="12" customHeight="1" x14ac:dyDescent="0.2">
      <c r="A316" s="33"/>
      <c r="B316" s="33"/>
      <c r="C316" s="37">
        <v>4110</v>
      </c>
      <c r="D316" s="68" t="s">
        <v>61</v>
      </c>
      <c r="E316" s="58">
        <v>897</v>
      </c>
      <c r="F316" s="58">
        <v>829.53</v>
      </c>
      <c r="G316" s="58"/>
      <c r="H316" s="44">
        <f t="shared" si="51"/>
        <v>1726.53</v>
      </c>
    </row>
    <row r="317" spans="1:8" s="1" customFormat="1" ht="12" customHeight="1" x14ac:dyDescent="0.2">
      <c r="A317" s="33"/>
      <c r="B317" s="45"/>
      <c r="C317" s="37">
        <v>4120</v>
      </c>
      <c r="D317" s="68" t="s">
        <v>91</v>
      </c>
      <c r="E317" s="58">
        <v>127.83</v>
      </c>
      <c r="F317" s="58">
        <v>118.23</v>
      </c>
      <c r="G317" s="58"/>
      <c r="H317" s="44">
        <f t="shared" si="51"/>
        <v>246.06</v>
      </c>
    </row>
    <row r="318" spans="1:8" s="1" customFormat="1" ht="12" customHeight="1" x14ac:dyDescent="0.2">
      <c r="A318" s="33">
        <v>754</v>
      </c>
      <c r="B318" s="33"/>
      <c r="C318" s="34"/>
      <c r="D318" s="35" t="s">
        <v>20</v>
      </c>
      <c r="E318" s="58"/>
      <c r="F318" s="43"/>
      <c r="G318" s="43"/>
      <c r="H318" s="58"/>
    </row>
    <row r="319" spans="1:8" s="1" customFormat="1" ht="12" customHeight="1" thickBot="1" x14ac:dyDescent="0.25">
      <c r="A319" s="33"/>
      <c r="B319" s="33"/>
      <c r="C319" s="34"/>
      <c r="D319" s="35" t="s">
        <v>21</v>
      </c>
      <c r="E319" s="36">
        <v>343360</v>
      </c>
      <c r="F319" s="36">
        <f>SUM(F320)</f>
        <v>497284</v>
      </c>
      <c r="G319" s="36">
        <f>SUM(G320)</f>
        <v>0</v>
      </c>
      <c r="H319" s="36">
        <f>SUM(E319+F319-G319)</f>
        <v>840644</v>
      </c>
    </row>
    <row r="320" spans="1:8" s="1" customFormat="1" ht="12" customHeight="1" thickTop="1" x14ac:dyDescent="0.2">
      <c r="A320" s="45"/>
      <c r="B320" s="45">
        <v>75495</v>
      </c>
      <c r="C320" s="27"/>
      <c r="D320" s="38" t="s">
        <v>37</v>
      </c>
      <c r="E320" s="39">
        <v>343360</v>
      </c>
      <c r="F320" s="40">
        <f>SUM(F321,F323)</f>
        <v>497284</v>
      </c>
      <c r="G320" s="40">
        <f>SUM(G321,G323)</f>
        <v>0</v>
      </c>
      <c r="H320" s="39">
        <f>SUM(E320+F320-G320)</f>
        <v>840644</v>
      </c>
    </row>
    <row r="321" spans="1:8" s="1" customFormat="1" ht="36" customHeight="1" x14ac:dyDescent="0.2">
      <c r="A321" s="45"/>
      <c r="B321" s="45"/>
      <c r="C321" s="49"/>
      <c r="D321" s="388" t="s">
        <v>259</v>
      </c>
      <c r="E321" s="83">
        <v>0</v>
      </c>
      <c r="F321" s="83">
        <f>SUM(F322:F322)</f>
        <v>195780</v>
      </c>
      <c r="G321" s="83">
        <f>SUM(G322:G322)</f>
        <v>0</v>
      </c>
      <c r="H321" s="85">
        <f>SUM(E321+F321-G321)</f>
        <v>195780</v>
      </c>
    </row>
    <row r="322" spans="1:8" s="1" customFormat="1" ht="12" customHeight="1" x14ac:dyDescent="0.2">
      <c r="A322" s="45"/>
      <c r="B322" s="45"/>
      <c r="C322" s="45">
        <v>4300</v>
      </c>
      <c r="D322" s="68" t="s">
        <v>44</v>
      </c>
      <c r="E322" s="69">
        <v>0</v>
      </c>
      <c r="F322" s="69">
        <v>195780</v>
      </c>
      <c r="G322" s="69"/>
      <c r="H322" s="43">
        <f t="shared" ref="H322:H327" si="56">SUM(E322+F322-G322)</f>
        <v>195780</v>
      </c>
    </row>
    <row r="323" spans="1:8" s="1" customFormat="1" ht="23.25" customHeight="1" x14ac:dyDescent="0.2">
      <c r="A323" s="26"/>
      <c r="B323" s="33"/>
      <c r="C323" s="49"/>
      <c r="D323" s="379" t="s">
        <v>260</v>
      </c>
      <c r="E323" s="85">
        <v>343360</v>
      </c>
      <c r="F323" s="377">
        <f>SUM(F324:F327)</f>
        <v>301504</v>
      </c>
      <c r="G323" s="377">
        <f>SUM(G324:G327)</f>
        <v>0</v>
      </c>
      <c r="H323" s="85">
        <f t="shared" si="56"/>
        <v>644864</v>
      </c>
    </row>
    <row r="324" spans="1:8" s="1" customFormat="1" ht="12" customHeight="1" x14ac:dyDescent="0.2">
      <c r="A324" s="26"/>
      <c r="B324" s="33"/>
      <c r="C324" s="37">
        <v>3110</v>
      </c>
      <c r="D324" s="68" t="s">
        <v>105</v>
      </c>
      <c r="E324" s="43">
        <v>343360</v>
      </c>
      <c r="F324" s="43">
        <v>300000</v>
      </c>
      <c r="G324" s="44"/>
      <c r="H324" s="43">
        <f t="shared" si="56"/>
        <v>643360</v>
      </c>
    </row>
    <row r="325" spans="1:8" s="1" customFormat="1" ht="12" customHeight="1" x14ac:dyDescent="0.2">
      <c r="A325" s="26"/>
      <c r="B325" s="33"/>
      <c r="C325" s="37">
        <v>4010</v>
      </c>
      <c r="D325" s="68" t="s">
        <v>70</v>
      </c>
      <c r="E325" s="43">
        <v>0</v>
      </c>
      <c r="F325" s="43">
        <v>1254</v>
      </c>
      <c r="G325" s="44"/>
      <c r="H325" s="43">
        <f t="shared" si="56"/>
        <v>1254</v>
      </c>
    </row>
    <row r="326" spans="1:8" s="1" customFormat="1" ht="12" customHeight="1" x14ac:dyDescent="0.2">
      <c r="A326" s="26"/>
      <c r="B326" s="33"/>
      <c r="C326" s="37">
        <v>4110</v>
      </c>
      <c r="D326" s="68" t="s">
        <v>61</v>
      </c>
      <c r="E326" s="43">
        <v>0</v>
      </c>
      <c r="F326" s="43">
        <v>219</v>
      </c>
      <c r="G326" s="44"/>
      <c r="H326" s="43">
        <f t="shared" si="56"/>
        <v>219</v>
      </c>
    </row>
    <row r="327" spans="1:8" s="1" customFormat="1" ht="12" customHeight="1" x14ac:dyDescent="0.2">
      <c r="A327" s="26"/>
      <c r="B327" s="33"/>
      <c r="C327" s="37">
        <v>4120</v>
      </c>
      <c r="D327" s="68" t="s">
        <v>62</v>
      </c>
      <c r="E327" s="43">
        <v>0</v>
      </c>
      <c r="F327" s="43">
        <v>31</v>
      </c>
      <c r="G327" s="44"/>
      <c r="H327" s="43">
        <f t="shared" si="56"/>
        <v>31</v>
      </c>
    </row>
    <row r="328" spans="1:8" s="1" customFormat="1" ht="12" customHeight="1" thickBot="1" x14ac:dyDescent="0.25">
      <c r="A328" s="34" t="s">
        <v>92</v>
      </c>
      <c r="B328" s="33"/>
      <c r="C328" s="34"/>
      <c r="D328" s="35" t="s">
        <v>25</v>
      </c>
      <c r="E328" s="31">
        <v>7227078.1799999997</v>
      </c>
      <c r="F328" s="31">
        <f>SUM(F329,F343,F347,F350)</f>
        <v>774745</v>
      </c>
      <c r="G328" s="31">
        <f>SUM(G329,G343,G347,G350)</f>
        <v>6579</v>
      </c>
      <c r="H328" s="31">
        <f t="shared" si="51"/>
        <v>7995244.1799999997</v>
      </c>
    </row>
    <row r="329" spans="1:8" s="1" customFormat="1" ht="12" customHeight="1" thickTop="1" x14ac:dyDescent="0.2">
      <c r="A329" s="34"/>
      <c r="B329" s="45">
        <v>85203</v>
      </c>
      <c r="C329" s="27"/>
      <c r="D329" s="56" t="s">
        <v>31</v>
      </c>
      <c r="E329" s="67">
        <v>1051048</v>
      </c>
      <c r="F329" s="40">
        <f>SUM(F330,F337)</f>
        <v>22875</v>
      </c>
      <c r="G329" s="40">
        <f>SUM(G330,G337)</f>
        <v>6579</v>
      </c>
      <c r="H329" s="39">
        <f t="shared" si="51"/>
        <v>1067344</v>
      </c>
    </row>
    <row r="330" spans="1:8" s="1" customFormat="1" ht="12" customHeight="1" x14ac:dyDescent="0.2">
      <c r="A330" s="34"/>
      <c r="B330" s="45"/>
      <c r="C330" s="27"/>
      <c r="D330" s="381" t="s">
        <v>104</v>
      </c>
      <c r="E330" s="391">
        <v>939348</v>
      </c>
      <c r="F330" s="384">
        <f>SUM(F331:F335)</f>
        <v>17414</v>
      </c>
      <c r="G330" s="384">
        <f>SUM(G331:G335)</f>
        <v>1118</v>
      </c>
      <c r="H330" s="83">
        <f t="shared" si="51"/>
        <v>955644</v>
      </c>
    </row>
    <row r="331" spans="1:8" s="1" customFormat="1" ht="12" customHeight="1" x14ac:dyDescent="0.2">
      <c r="A331" s="34"/>
      <c r="B331" s="45"/>
      <c r="C331" s="37">
        <v>4010</v>
      </c>
      <c r="D331" s="68" t="s">
        <v>70</v>
      </c>
      <c r="E331" s="69">
        <v>606862</v>
      </c>
      <c r="F331" s="58">
        <v>11550</v>
      </c>
      <c r="G331" s="58"/>
      <c r="H331" s="58">
        <f t="shared" si="51"/>
        <v>618412</v>
      </c>
    </row>
    <row r="332" spans="1:8" s="1" customFormat="1" ht="12" customHeight="1" x14ac:dyDescent="0.2">
      <c r="A332" s="34"/>
      <c r="B332" s="45"/>
      <c r="C332" s="37">
        <v>4040</v>
      </c>
      <c r="D332" s="68" t="s">
        <v>108</v>
      </c>
      <c r="E332" s="69">
        <v>38300</v>
      </c>
      <c r="F332" s="58">
        <v>1118</v>
      </c>
      <c r="G332" s="58"/>
      <c r="H332" s="58">
        <f t="shared" si="51"/>
        <v>39418</v>
      </c>
    </row>
    <row r="333" spans="1:8" s="1" customFormat="1" ht="12" customHeight="1" x14ac:dyDescent="0.2">
      <c r="A333" s="34"/>
      <c r="B333" s="45"/>
      <c r="C333" s="37">
        <v>4110</v>
      </c>
      <c r="D333" s="68" t="s">
        <v>61</v>
      </c>
      <c r="E333" s="69">
        <v>111588</v>
      </c>
      <c r="F333" s="58">
        <v>1989</v>
      </c>
      <c r="G333" s="58"/>
      <c r="H333" s="58">
        <f t="shared" si="51"/>
        <v>113577</v>
      </c>
    </row>
    <row r="334" spans="1:8" s="1" customFormat="1" ht="12" customHeight="1" x14ac:dyDescent="0.2">
      <c r="A334" s="34"/>
      <c r="B334" s="45"/>
      <c r="C334" s="37">
        <v>4120</v>
      </c>
      <c r="D334" s="68" t="s">
        <v>62</v>
      </c>
      <c r="E334" s="69">
        <v>14580</v>
      </c>
      <c r="F334" s="58">
        <v>285</v>
      </c>
      <c r="G334" s="58"/>
      <c r="H334" s="58">
        <f t="shared" si="51"/>
        <v>14865</v>
      </c>
    </row>
    <row r="335" spans="1:8" s="1" customFormat="1" ht="12" customHeight="1" x14ac:dyDescent="0.2">
      <c r="A335" s="34"/>
      <c r="B335" s="33"/>
      <c r="C335" s="49" t="s">
        <v>109</v>
      </c>
      <c r="D335" s="77" t="s">
        <v>84</v>
      </c>
      <c r="E335" s="58">
        <v>44734</v>
      </c>
      <c r="F335" s="69">
        <v>2472</v>
      </c>
      <c r="G335" s="69">
        <v>1118</v>
      </c>
      <c r="H335" s="58">
        <f t="shared" si="51"/>
        <v>46088</v>
      </c>
    </row>
    <row r="336" spans="1:8" s="1" customFormat="1" ht="12" customHeight="1" x14ac:dyDescent="0.2">
      <c r="A336" s="34"/>
      <c r="B336" s="33"/>
      <c r="C336" s="48"/>
      <c r="D336" s="77" t="s">
        <v>261</v>
      </c>
      <c r="E336" s="58"/>
      <c r="F336" s="69"/>
      <c r="G336" s="69"/>
      <c r="H336" s="44"/>
    </row>
    <row r="337" spans="1:8" s="1" customFormat="1" ht="12" customHeight="1" x14ac:dyDescent="0.2">
      <c r="A337" s="34"/>
      <c r="B337" s="33"/>
      <c r="C337" s="27"/>
      <c r="D337" s="381" t="s">
        <v>262</v>
      </c>
      <c r="E337" s="85">
        <v>111700</v>
      </c>
      <c r="F337" s="384">
        <f>SUM(F338:F342)</f>
        <v>5461</v>
      </c>
      <c r="G337" s="384">
        <f>SUM(G338:G342)</f>
        <v>5461</v>
      </c>
      <c r="H337" s="83">
        <f t="shared" ref="H337:H342" si="57">SUM(E337+F337-G337)</f>
        <v>111700</v>
      </c>
    </row>
    <row r="338" spans="1:8" s="1" customFormat="1" ht="12" customHeight="1" x14ac:dyDescent="0.2">
      <c r="A338" s="34"/>
      <c r="B338" s="33"/>
      <c r="C338" s="37">
        <v>4010</v>
      </c>
      <c r="D338" s="68" t="s">
        <v>70</v>
      </c>
      <c r="E338" s="69">
        <v>55320</v>
      </c>
      <c r="F338" s="58"/>
      <c r="G338" s="58">
        <v>4000</v>
      </c>
      <c r="H338" s="58">
        <f t="shared" si="57"/>
        <v>51320</v>
      </c>
    </row>
    <row r="339" spans="1:8" s="1" customFormat="1" ht="12" customHeight="1" x14ac:dyDescent="0.2">
      <c r="A339" s="34"/>
      <c r="B339" s="33"/>
      <c r="C339" s="37">
        <v>4040</v>
      </c>
      <c r="D339" s="68" t="s">
        <v>108</v>
      </c>
      <c r="E339" s="69">
        <v>3450</v>
      </c>
      <c r="F339" s="58">
        <v>261</v>
      </c>
      <c r="G339" s="58"/>
      <c r="H339" s="58">
        <f t="shared" si="57"/>
        <v>3711</v>
      </c>
    </row>
    <row r="340" spans="1:8" s="1" customFormat="1" ht="12" customHeight="1" x14ac:dyDescent="0.2">
      <c r="A340" s="34"/>
      <c r="B340" s="33"/>
      <c r="C340" s="37">
        <v>4110</v>
      </c>
      <c r="D340" s="68" t="s">
        <v>61</v>
      </c>
      <c r="E340" s="69">
        <v>10120</v>
      </c>
      <c r="F340" s="58"/>
      <c r="G340" s="58">
        <v>1200</v>
      </c>
      <c r="H340" s="58">
        <f t="shared" si="57"/>
        <v>8920</v>
      </c>
    </row>
    <row r="341" spans="1:8" s="1" customFormat="1" ht="12" customHeight="1" x14ac:dyDescent="0.2">
      <c r="A341" s="34"/>
      <c r="B341" s="33"/>
      <c r="C341" s="37">
        <v>4120</v>
      </c>
      <c r="D341" s="68" t="s">
        <v>62</v>
      </c>
      <c r="E341" s="69">
        <v>1440</v>
      </c>
      <c r="F341" s="58"/>
      <c r="G341" s="58">
        <v>261</v>
      </c>
      <c r="H341" s="58">
        <f t="shared" si="57"/>
        <v>1179</v>
      </c>
    </row>
    <row r="342" spans="1:8" s="1" customFormat="1" ht="12" customHeight="1" x14ac:dyDescent="0.2">
      <c r="A342" s="34"/>
      <c r="B342" s="33"/>
      <c r="C342" s="37">
        <v>4170</v>
      </c>
      <c r="D342" s="68" t="s">
        <v>48</v>
      </c>
      <c r="E342" s="58">
        <v>2000</v>
      </c>
      <c r="F342" s="69">
        <v>5200</v>
      </c>
      <c r="G342" s="69"/>
      <c r="H342" s="58">
        <f t="shared" si="57"/>
        <v>7200</v>
      </c>
    </row>
    <row r="343" spans="1:8" s="1" customFormat="1" ht="12" customHeight="1" x14ac:dyDescent="0.2">
      <c r="A343" s="34"/>
      <c r="B343" s="45">
        <v>85219</v>
      </c>
      <c r="C343" s="27"/>
      <c r="D343" s="46" t="s">
        <v>26</v>
      </c>
      <c r="E343" s="67">
        <v>12840</v>
      </c>
      <c r="F343" s="40">
        <f t="shared" ref="F343:G343" si="58">SUM(F344)</f>
        <v>1844</v>
      </c>
      <c r="G343" s="40">
        <f t="shared" si="58"/>
        <v>0</v>
      </c>
      <c r="H343" s="39">
        <f t="shared" si="51"/>
        <v>14684</v>
      </c>
    </row>
    <row r="344" spans="1:8" s="1" customFormat="1" ht="12" customHeight="1" x14ac:dyDescent="0.2">
      <c r="A344" s="34"/>
      <c r="B344" s="33"/>
      <c r="C344" s="27"/>
      <c r="D344" s="381" t="s">
        <v>93</v>
      </c>
      <c r="E344" s="391">
        <v>12840</v>
      </c>
      <c r="F344" s="384">
        <f>SUM(F345:F346)</f>
        <v>1844</v>
      </c>
      <c r="G344" s="384">
        <f>SUM(G345:G346)</f>
        <v>0</v>
      </c>
      <c r="H344" s="83">
        <f t="shared" si="51"/>
        <v>14684</v>
      </c>
    </row>
    <row r="345" spans="1:8" s="1" customFormat="1" ht="12" customHeight="1" x14ac:dyDescent="0.2">
      <c r="A345" s="34"/>
      <c r="B345" s="33"/>
      <c r="C345" s="37">
        <v>3110</v>
      </c>
      <c r="D345" s="68" t="s">
        <v>105</v>
      </c>
      <c r="E345" s="58">
        <v>12648</v>
      </c>
      <c r="F345" s="58">
        <v>1819</v>
      </c>
      <c r="G345" s="86"/>
      <c r="H345" s="44">
        <f t="shared" si="51"/>
        <v>14467</v>
      </c>
    </row>
    <row r="346" spans="1:8" s="1" customFormat="1" ht="12" customHeight="1" x14ac:dyDescent="0.2">
      <c r="A346" s="34"/>
      <c r="B346" s="33"/>
      <c r="C346" s="62">
        <v>4210</v>
      </c>
      <c r="D346" s="77" t="s">
        <v>84</v>
      </c>
      <c r="E346" s="58">
        <v>192</v>
      </c>
      <c r="F346" s="58">
        <v>25</v>
      </c>
      <c r="G346" s="86"/>
      <c r="H346" s="44">
        <f t="shared" si="51"/>
        <v>217</v>
      </c>
    </row>
    <row r="347" spans="1:8" s="1" customFormat="1" ht="12" customHeight="1" x14ac:dyDescent="0.2">
      <c r="A347" s="34"/>
      <c r="B347" s="45">
        <v>85228</v>
      </c>
      <c r="C347" s="27"/>
      <c r="D347" s="56" t="s">
        <v>410</v>
      </c>
      <c r="E347" s="67">
        <v>2074326</v>
      </c>
      <c r="F347" s="40">
        <f t="shared" ref="F347:G347" si="59">SUM(F348)</f>
        <v>746426</v>
      </c>
      <c r="G347" s="40">
        <f t="shared" si="59"/>
        <v>0</v>
      </c>
      <c r="H347" s="39">
        <f t="shared" si="51"/>
        <v>2820752</v>
      </c>
    </row>
    <row r="348" spans="1:8" s="1" customFormat="1" ht="12" customHeight="1" x14ac:dyDescent="0.2">
      <c r="A348" s="34"/>
      <c r="B348" s="45"/>
      <c r="C348" s="27"/>
      <c r="D348" s="394" t="s">
        <v>106</v>
      </c>
      <c r="E348" s="391">
        <v>2074326</v>
      </c>
      <c r="F348" s="384">
        <f>SUM(F349:F349)</f>
        <v>746426</v>
      </c>
      <c r="G348" s="384">
        <f>SUM(G349:G349)</f>
        <v>0</v>
      </c>
      <c r="H348" s="83">
        <f t="shared" si="51"/>
        <v>2820752</v>
      </c>
    </row>
    <row r="349" spans="1:8" s="1" customFormat="1" ht="35.25" customHeight="1" x14ac:dyDescent="0.2">
      <c r="A349" s="215"/>
      <c r="B349" s="52"/>
      <c r="C349" s="216" t="s">
        <v>100</v>
      </c>
      <c r="D349" s="217" t="s">
        <v>101</v>
      </c>
      <c r="E349" s="55">
        <v>2074326</v>
      </c>
      <c r="F349" s="55">
        <v>746426</v>
      </c>
      <c r="G349" s="55"/>
      <c r="H349" s="40">
        <f t="shared" si="51"/>
        <v>2820752</v>
      </c>
    </row>
    <row r="350" spans="1:8" s="1" customFormat="1" ht="12" customHeight="1" x14ac:dyDescent="0.2">
      <c r="A350" s="211"/>
      <c r="B350" s="45">
        <v>85231</v>
      </c>
      <c r="C350" s="27"/>
      <c r="D350" s="56" t="s">
        <v>32</v>
      </c>
      <c r="E350" s="67">
        <v>3000</v>
      </c>
      <c r="F350" s="40">
        <f t="shared" ref="F350:G350" si="60">SUM(F351)</f>
        <v>3600</v>
      </c>
      <c r="G350" s="40">
        <f t="shared" si="60"/>
        <v>0</v>
      </c>
      <c r="H350" s="39">
        <f t="shared" si="51"/>
        <v>6600</v>
      </c>
    </row>
    <row r="351" spans="1:8" s="1" customFormat="1" ht="12" customHeight="1" x14ac:dyDescent="0.2">
      <c r="A351" s="211"/>
      <c r="B351" s="33"/>
      <c r="C351" s="27"/>
      <c r="D351" s="381" t="s">
        <v>93</v>
      </c>
      <c r="E351" s="391">
        <v>3000</v>
      </c>
      <c r="F351" s="384">
        <f>SUM(F352:F352)</f>
        <v>3600</v>
      </c>
      <c r="G351" s="384">
        <f>SUM(G352:G352)</f>
        <v>0</v>
      </c>
      <c r="H351" s="83">
        <f t="shared" si="51"/>
        <v>6600</v>
      </c>
    </row>
    <row r="352" spans="1:8" s="1" customFormat="1" ht="12" customHeight="1" x14ac:dyDescent="0.2">
      <c r="A352" s="211"/>
      <c r="B352" s="33"/>
      <c r="C352" s="37">
        <v>3110</v>
      </c>
      <c r="D352" s="68" t="s">
        <v>105</v>
      </c>
      <c r="E352" s="58">
        <v>3000</v>
      </c>
      <c r="F352" s="58">
        <v>3600</v>
      </c>
      <c r="G352" s="86"/>
      <c r="H352" s="44">
        <f t="shared" si="51"/>
        <v>6600</v>
      </c>
    </row>
    <row r="353" spans="1:8" s="1" customFormat="1" ht="12" customHeight="1" thickBot="1" x14ac:dyDescent="0.25">
      <c r="A353" s="32">
        <v>853</v>
      </c>
      <c r="B353" s="33"/>
      <c r="C353" s="34"/>
      <c r="D353" s="35" t="s">
        <v>36</v>
      </c>
      <c r="E353" s="31">
        <v>266220</v>
      </c>
      <c r="F353" s="36">
        <f>SUM(F354)</f>
        <v>11322</v>
      </c>
      <c r="G353" s="36">
        <f>SUM(G354)</f>
        <v>0</v>
      </c>
      <c r="H353" s="31">
        <f t="shared" si="51"/>
        <v>277542</v>
      </c>
    </row>
    <row r="354" spans="1:8" s="1" customFormat="1" ht="12" customHeight="1" thickTop="1" x14ac:dyDescent="0.2">
      <c r="A354" s="34"/>
      <c r="B354" s="45">
        <v>85395</v>
      </c>
      <c r="C354" s="27"/>
      <c r="D354" s="38" t="s">
        <v>37</v>
      </c>
      <c r="E354" s="67">
        <v>266220</v>
      </c>
      <c r="F354" s="39">
        <f>SUM(F355)</f>
        <v>11322</v>
      </c>
      <c r="G354" s="39">
        <f>SUM(G355)</f>
        <v>0</v>
      </c>
      <c r="H354" s="39">
        <f t="shared" si="51"/>
        <v>277542</v>
      </c>
    </row>
    <row r="355" spans="1:8" s="1" customFormat="1" ht="22.5" customHeight="1" x14ac:dyDescent="0.2">
      <c r="A355" s="34"/>
      <c r="B355" s="45"/>
      <c r="C355" s="49"/>
      <c r="D355" s="395" t="s">
        <v>263</v>
      </c>
      <c r="E355" s="85">
        <v>266220</v>
      </c>
      <c r="F355" s="377">
        <f>SUM(F356:F359)</f>
        <v>11322</v>
      </c>
      <c r="G355" s="377">
        <f>SUM(G356:G359)</f>
        <v>0</v>
      </c>
      <c r="H355" s="85">
        <f>SUM(E355+F355-G355)</f>
        <v>277542</v>
      </c>
    </row>
    <row r="356" spans="1:8" s="1" customFormat="1" ht="12" customHeight="1" x14ac:dyDescent="0.2">
      <c r="A356" s="34"/>
      <c r="B356" s="45"/>
      <c r="C356" s="37">
        <v>3110</v>
      </c>
      <c r="D356" s="68" t="s">
        <v>105</v>
      </c>
      <c r="E356" s="69">
        <v>261000</v>
      </c>
      <c r="F356" s="44">
        <v>11100</v>
      </c>
      <c r="G356" s="44"/>
      <c r="H356" s="44">
        <f>SUM(E356+F356-G356)</f>
        <v>272100</v>
      </c>
    </row>
    <row r="357" spans="1:8" s="1" customFormat="1" ht="12" customHeight="1" x14ac:dyDescent="0.2">
      <c r="A357" s="34"/>
      <c r="B357" s="45"/>
      <c r="C357" s="37">
        <v>4010</v>
      </c>
      <c r="D357" s="68" t="s">
        <v>70</v>
      </c>
      <c r="E357" s="69">
        <v>4338</v>
      </c>
      <c r="F357" s="44">
        <v>185</v>
      </c>
      <c r="G357" s="44"/>
      <c r="H357" s="44">
        <f t="shared" ref="H357:H359" si="61">SUM(E357+F357-G357)</f>
        <v>4523</v>
      </c>
    </row>
    <row r="358" spans="1:8" s="1" customFormat="1" ht="12" customHeight="1" x14ac:dyDescent="0.2">
      <c r="A358" s="34"/>
      <c r="B358" s="45"/>
      <c r="C358" s="37">
        <v>4110</v>
      </c>
      <c r="D358" s="68" t="s">
        <v>61</v>
      </c>
      <c r="E358" s="69">
        <v>761</v>
      </c>
      <c r="F358" s="44">
        <v>33</v>
      </c>
      <c r="G358" s="44"/>
      <c r="H358" s="44">
        <f t="shared" si="61"/>
        <v>794</v>
      </c>
    </row>
    <row r="359" spans="1:8" s="1" customFormat="1" ht="12" customHeight="1" x14ac:dyDescent="0.2">
      <c r="A359" s="34"/>
      <c r="B359" s="45"/>
      <c r="C359" s="37">
        <v>4120</v>
      </c>
      <c r="D359" s="68" t="s">
        <v>91</v>
      </c>
      <c r="E359" s="69">
        <v>109</v>
      </c>
      <c r="F359" s="44">
        <v>4</v>
      </c>
      <c r="G359" s="44"/>
      <c r="H359" s="44">
        <f t="shared" si="61"/>
        <v>113</v>
      </c>
    </row>
    <row r="360" spans="1:8" s="1" customFormat="1" ht="19.5" customHeight="1" thickBot="1" x14ac:dyDescent="0.25">
      <c r="A360" s="211"/>
      <c r="B360" s="45"/>
      <c r="C360" s="37"/>
      <c r="D360" s="30" t="s">
        <v>107</v>
      </c>
      <c r="E360" s="31">
        <v>18537880.800000001</v>
      </c>
      <c r="F360" s="31">
        <f>SUM(F361)</f>
        <v>79808</v>
      </c>
      <c r="G360" s="31">
        <f>SUM(G361)</f>
        <v>0</v>
      </c>
      <c r="H360" s="31">
        <f>SUM(E360+F360-G360)</f>
        <v>18617688.800000001</v>
      </c>
    </row>
    <row r="361" spans="1:8" s="1" customFormat="1" ht="18" customHeight="1" thickTop="1" thickBot="1" x14ac:dyDescent="0.25">
      <c r="A361" s="33">
        <v>855</v>
      </c>
      <c r="B361" s="33"/>
      <c r="C361" s="34"/>
      <c r="D361" s="35" t="s">
        <v>33</v>
      </c>
      <c r="E361" s="36">
        <v>394899</v>
      </c>
      <c r="F361" s="31">
        <f>SUM(F362,F369)</f>
        <v>79808</v>
      </c>
      <c r="G361" s="31">
        <f>SUM(G362,G369)</f>
        <v>0</v>
      </c>
      <c r="H361" s="31">
        <f t="shared" ref="H361:H375" si="62">SUM(E361+F361-G361)</f>
        <v>474707</v>
      </c>
    </row>
    <row r="362" spans="1:8" s="1" customFormat="1" ht="12" customHeight="1" thickTop="1" x14ac:dyDescent="0.2">
      <c r="A362" s="33"/>
      <c r="B362" s="62">
        <v>85508</v>
      </c>
      <c r="C362" s="80"/>
      <c r="D362" s="64" t="s">
        <v>111</v>
      </c>
      <c r="E362" s="40">
        <v>190700</v>
      </c>
      <c r="F362" s="40">
        <f>SUM(F363)</f>
        <v>36213</v>
      </c>
      <c r="G362" s="40">
        <f t="shared" ref="G362" si="63">SUM(G363)</f>
        <v>0</v>
      </c>
      <c r="H362" s="39">
        <f t="shared" si="62"/>
        <v>226913</v>
      </c>
    </row>
    <row r="363" spans="1:8" s="1" customFormat="1" ht="12" customHeight="1" x14ac:dyDescent="0.2">
      <c r="A363" s="33"/>
      <c r="B363" s="45"/>
      <c r="C363" s="27"/>
      <c r="D363" s="381" t="s">
        <v>93</v>
      </c>
      <c r="E363" s="384">
        <v>190700</v>
      </c>
      <c r="F363" s="384">
        <f>SUM(F364:F368)</f>
        <v>36213</v>
      </c>
      <c r="G363" s="384">
        <f>SUM(G364:G368)</f>
        <v>0</v>
      </c>
      <c r="H363" s="83">
        <f t="shared" si="62"/>
        <v>226913</v>
      </c>
    </row>
    <row r="364" spans="1:8" s="1" customFormat="1" ht="12" customHeight="1" x14ac:dyDescent="0.2">
      <c r="A364" s="33"/>
      <c r="B364" s="33"/>
      <c r="C364" s="37">
        <v>3110</v>
      </c>
      <c r="D364" s="68" t="s">
        <v>105</v>
      </c>
      <c r="E364" s="58">
        <v>189340</v>
      </c>
      <c r="F364" s="69">
        <v>35327</v>
      </c>
      <c r="G364" s="69"/>
      <c r="H364" s="44">
        <f t="shared" si="62"/>
        <v>224667</v>
      </c>
    </row>
    <row r="365" spans="1:8" s="1" customFormat="1" ht="12" customHeight="1" x14ac:dyDescent="0.2">
      <c r="A365" s="33"/>
      <c r="B365" s="33"/>
      <c r="C365" s="37">
        <v>4010</v>
      </c>
      <c r="D365" s="68" t="s">
        <v>70</v>
      </c>
      <c r="E365" s="58">
        <v>900</v>
      </c>
      <c r="F365" s="69">
        <v>600</v>
      </c>
      <c r="G365" s="69"/>
      <c r="H365" s="44">
        <f t="shared" si="62"/>
        <v>1500</v>
      </c>
    </row>
    <row r="366" spans="1:8" s="1" customFormat="1" ht="12" customHeight="1" x14ac:dyDescent="0.2">
      <c r="A366" s="33"/>
      <c r="B366" s="33"/>
      <c r="C366" s="37">
        <v>4110</v>
      </c>
      <c r="D366" s="68" t="s">
        <v>61</v>
      </c>
      <c r="E366" s="58">
        <v>158</v>
      </c>
      <c r="F366" s="69">
        <v>105</v>
      </c>
      <c r="G366" s="69"/>
      <c r="H366" s="44">
        <f t="shared" si="62"/>
        <v>263</v>
      </c>
    </row>
    <row r="367" spans="1:8" s="1" customFormat="1" ht="12" customHeight="1" x14ac:dyDescent="0.2">
      <c r="A367" s="33"/>
      <c r="B367" s="33"/>
      <c r="C367" s="37">
        <v>4120</v>
      </c>
      <c r="D367" s="68" t="s">
        <v>91</v>
      </c>
      <c r="E367" s="58">
        <v>22</v>
      </c>
      <c r="F367" s="69">
        <v>15</v>
      </c>
      <c r="G367" s="69"/>
      <c r="H367" s="44">
        <f t="shared" si="62"/>
        <v>37</v>
      </c>
    </row>
    <row r="368" spans="1:8" s="1" customFormat="1" ht="12" customHeight="1" x14ac:dyDescent="0.2">
      <c r="A368" s="33"/>
      <c r="B368" s="33"/>
      <c r="C368" s="62">
        <v>4210</v>
      </c>
      <c r="D368" s="77" t="s">
        <v>84</v>
      </c>
      <c r="E368" s="58">
        <v>280</v>
      </c>
      <c r="F368" s="69">
        <v>166</v>
      </c>
      <c r="G368" s="69"/>
      <c r="H368" s="44">
        <f t="shared" si="62"/>
        <v>446</v>
      </c>
    </row>
    <row r="369" spans="1:8" s="1" customFormat="1" ht="12" customHeight="1" x14ac:dyDescent="0.2">
      <c r="A369" s="211"/>
      <c r="B369" s="62">
        <v>85510</v>
      </c>
      <c r="C369" s="80"/>
      <c r="D369" s="88" t="s">
        <v>112</v>
      </c>
      <c r="E369" s="40">
        <v>204199</v>
      </c>
      <c r="F369" s="40">
        <f t="shared" ref="F369:G369" si="64">SUM(F370)</f>
        <v>43595</v>
      </c>
      <c r="G369" s="40">
        <f t="shared" si="64"/>
        <v>0</v>
      </c>
      <c r="H369" s="39">
        <f t="shared" si="62"/>
        <v>247794</v>
      </c>
    </row>
    <row r="370" spans="1:8" s="1" customFormat="1" ht="12" customHeight="1" x14ac:dyDescent="0.2">
      <c r="A370" s="211"/>
      <c r="B370" s="45"/>
      <c r="C370" s="27"/>
      <c r="D370" s="381" t="s">
        <v>93</v>
      </c>
      <c r="E370" s="384">
        <v>204199</v>
      </c>
      <c r="F370" s="384">
        <f>SUM(F371:F375)</f>
        <v>43595</v>
      </c>
      <c r="G370" s="384">
        <f>SUM(G371:G375)</f>
        <v>0</v>
      </c>
      <c r="H370" s="83">
        <f t="shared" si="62"/>
        <v>247794</v>
      </c>
    </row>
    <row r="371" spans="1:8" s="1" customFormat="1" ht="12" customHeight="1" x14ac:dyDescent="0.2">
      <c r="A371" s="211"/>
      <c r="B371" s="33"/>
      <c r="C371" s="37">
        <v>3110</v>
      </c>
      <c r="D371" s="68" t="s">
        <v>105</v>
      </c>
      <c r="E371" s="58">
        <v>202201</v>
      </c>
      <c r="F371" s="69">
        <v>43139</v>
      </c>
      <c r="G371" s="69"/>
      <c r="H371" s="44">
        <f t="shared" si="62"/>
        <v>245340</v>
      </c>
    </row>
    <row r="372" spans="1:8" s="1" customFormat="1" ht="12" customHeight="1" x14ac:dyDescent="0.2">
      <c r="A372" s="211"/>
      <c r="B372" s="33"/>
      <c r="C372" s="37">
        <v>4010</v>
      </c>
      <c r="D372" s="68" t="s">
        <v>70</v>
      </c>
      <c r="E372" s="58">
        <v>1200</v>
      </c>
      <c r="F372" s="69">
        <v>300</v>
      </c>
      <c r="G372" s="69"/>
      <c r="H372" s="44">
        <f t="shared" si="62"/>
        <v>1500</v>
      </c>
    </row>
    <row r="373" spans="1:8" s="1" customFormat="1" ht="12" customHeight="1" x14ac:dyDescent="0.2">
      <c r="A373" s="211"/>
      <c r="B373" s="33"/>
      <c r="C373" s="37">
        <v>4110</v>
      </c>
      <c r="D373" s="68" t="s">
        <v>61</v>
      </c>
      <c r="E373" s="58">
        <v>211</v>
      </c>
      <c r="F373" s="69">
        <v>53</v>
      </c>
      <c r="G373" s="69"/>
      <c r="H373" s="44">
        <f t="shared" si="62"/>
        <v>264</v>
      </c>
    </row>
    <row r="374" spans="1:8" s="1" customFormat="1" ht="12" customHeight="1" x14ac:dyDescent="0.2">
      <c r="A374" s="211"/>
      <c r="B374" s="33"/>
      <c r="C374" s="37">
        <v>4120</v>
      </c>
      <c r="D374" s="68" t="s">
        <v>91</v>
      </c>
      <c r="E374" s="58">
        <v>31</v>
      </c>
      <c r="F374" s="69">
        <v>8</v>
      </c>
      <c r="G374" s="69"/>
      <c r="H374" s="44">
        <f t="shared" si="62"/>
        <v>39</v>
      </c>
    </row>
    <row r="375" spans="1:8" s="1" customFormat="1" ht="12" customHeight="1" x14ac:dyDescent="0.2">
      <c r="A375" s="211"/>
      <c r="B375" s="33"/>
      <c r="C375" s="62">
        <v>4210</v>
      </c>
      <c r="D375" s="77" t="s">
        <v>84</v>
      </c>
      <c r="E375" s="58">
        <v>556</v>
      </c>
      <c r="F375" s="69">
        <v>95</v>
      </c>
      <c r="G375" s="69"/>
      <c r="H375" s="44">
        <f t="shared" si="62"/>
        <v>651</v>
      </c>
    </row>
    <row r="376" spans="1:8" s="1" customFormat="1" ht="3.75" customHeight="1" x14ac:dyDescent="0.2">
      <c r="A376" s="89"/>
      <c r="B376" s="89"/>
      <c r="C376" s="90"/>
      <c r="D376" s="91"/>
      <c r="E376" s="39"/>
      <c r="F376" s="39"/>
      <c r="G376" s="39"/>
      <c r="H376" s="39"/>
    </row>
    <row r="377" spans="1:8" s="1" customFormat="1" ht="12.6" customHeight="1" x14ac:dyDescent="0.2"/>
    <row r="378" spans="1:8" s="1" customFormat="1" ht="12.6" customHeight="1" x14ac:dyDescent="0.2"/>
    <row r="379" spans="1:8" s="1" customFormat="1" ht="12.6" customHeight="1" x14ac:dyDescent="0.2"/>
    <row r="380" spans="1:8" s="1" customFormat="1" ht="12.6" customHeight="1" x14ac:dyDescent="0.2"/>
    <row r="381" spans="1:8" s="1" customFormat="1" ht="12.6" customHeight="1" x14ac:dyDescent="0.2"/>
    <row r="382" spans="1:8" s="1" customFormat="1" ht="12.6" customHeight="1" x14ac:dyDescent="0.2"/>
    <row r="383" spans="1:8" s="1" customFormat="1" ht="12.6" customHeight="1" x14ac:dyDescent="0.2"/>
    <row r="384" spans="1:8" s="1" customFormat="1" ht="12.6" customHeight="1" x14ac:dyDescent="0.2"/>
    <row r="385" s="1" customFormat="1" ht="12.6" customHeight="1" x14ac:dyDescent="0.2"/>
    <row r="386" s="1" customFormat="1" ht="12.6" customHeight="1" x14ac:dyDescent="0.2"/>
    <row r="387" s="1" customFormat="1" ht="12.6" customHeight="1" x14ac:dyDescent="0.2"/>
    <row r="388" s="1" customFormat="1" ht="12.6" customHeight="1" x14ac:dyDescent="0.2"/>
    <row r="389" s="1" customFormat="1" ht="12.6" customHeight="1" x14ac:dyDescent="0.2"/>
    <row r="390" s="1" customFormat="1" ht="12.6" customHeight="1" x14ac:dyDescent="0.2"/>
    <row r="391" s="1" customFormat="1" ht="12.6" customHeight="1" x14ac:dyDescent="0.2"/>
    <row r="392" s="1" customFormat="1" ht="12.6" customHeight="1" x14ac:dyDescent="0.2"/>
    <row r="393" s="1" customFormat="1" ht="12.6" customHeight="1" x14ac:dyDescent="0.2"/>
    <row r="394" s="1" customFormat="1" ht="12.6" customHeight="1" x14ac:dyDescent="0.2"/>
    <row r="395" s="1" customFormat="1" ht="12.6" customHeight="1" x14ac:dyDescent="0.2"/>
    <row r="396" s="1" customFormat="1" ht="12.6" customHeight="1" x14ac:dyDescent="0.2"/>
    <row r="397" s="1" customFormat="1" ht="12.6" customHeight="1" x14ac:dyDescent="0.2"/>
    <row r="398" s="1" customFormat="1" ht="12.6" customHeight="1" x14ac:dyDescent="0.2"/>
    <row r="399" s="1" customFormat="1" ht="12.6" customHeight="1" x14ac:dyDescent="0.2"/>
    <row r="400" s="1" customFormat="1" ht="12.6" customHeight="1" x14ac:dyDescent="0.2"/>
    <row r="401" s="1" customFormat="1" ht="12.6" customHeight="1" x14ac:dyDescent="0.2"/>
    <row r="402" s="1" customFormat="1" ht="12.6" customHeight="1" x14ac:dyDescent="0.2"/>
    <row r="403" s="1" customFormat="1" ht="12.6" customHeight="1" x14ac:dyDescent="0.2"/>
    <row r="404" s="1" customFormat="1" ht="12.6" customHeight="1" x14ac:dyDescent="0.2"/>
    <row r="405" s="1" customFormat="1" ht="12.6" customHeight="1" x14ac:dyDescent="0.2"/>
    <row r="406" s="1" customFormat="1" ht="12.6" customHeight="1" x14ac:dyDescent="0.2"/>
    <row r="407" s="1" customFormat="1" ht="12.6" customHeight="1" x14ac:dyDescent="0.2"/>
    <row r="408" s="1" customFormat="1" ht="12.6" customHeight="1" x14ac:dyDescent="0.2"/>
    <row r="409" s="1" customFormat="1" ht="12.6" customHeight="1" x14ac:dyDescent="0.2"/>
    <row r="410" s="1" customFormat="1" ht="12.6" customHeight="1" x14ac:dyDescent="0.2"/>
    <row r="411" s="1" customFormat="1" ht="12.6" customHeight="1" x14ac:dyDescent="0.2"/>
    <row r="412" s="1" customFormat="1" ht="12.6" customHeight="1" x14ac:dyDescent="0.2"/>
    <row r="413" s="1" customFormat="1" ht="12.6" customHeight="1" x14ac:dyDescent="0.2"/>
    <row r="414" s="1" customFormat="1" ht="12.6" customHeight="1" x14ac:dyDescent="0.2"/>
    <row r="415" s="1" customFormat="1" ht="12.2" customHeight="1" x14ac:dyDescent="0.2"/>
    <row r="416" s="1" customFormat="1" ht="12.2" customHeight="1" x14ac:dyDescent="0.2"/>
    <row r="417" s="1" customFormat="1" ht="12.2" customHeight="1" x14ac:dyDescent="0.2"/>
    <row r="418" s="1" customFormat="1" ht="12.95" customHeight="1" x14ac:dyDescent="0.2"/>
    <row r="419" s="1" customFormat="1" ht="12.95" customHeight="1" x14ac:dyDescent="0.2"/>
    <row r="420" s="1" customFormat="1" ht="12.95" customHeight="1" x14ac:dyDescent="0.2"/>
    <row r="421" s="1" customFormat="1" ht="12.95" customHeight="1" x14ac:dyDescent="0.2"/>
    <row r="422" s="1" customFormat="1" ht="12.95" customHeight="1" x14ac:dyDescent="0.2"/>
    <row r="423" s="1" customFormat="1" ht="12.95" customHeight="1" x14ac:dyDescent="0.2"/>
    <row r="424" s="1" customFormat="1" ht="12.95" customHeight="1" x14ac:dyDescent="0.2"/>
    <row r="425" s="1" customFormat="1" ht="12.95" customHeight="1" x14ac:dyDescent="0.2"/>
    <row r="426" s="1" customFormat="1" ht="12.95" customHeight="1" x14ac:dyDescent="0.2"/>
    <row r="427" s="1" customFormat="1" ht="12.95" customHeight="1" x14ac:dyDescent="0.2"/>
    <row r="428" s="1" customFormat="1" ht="12.95" customHeight="1" x14ac:dyDescent="0.2"/>
    <row r="429" s="1" customFormat="1" ht="12.95" customHeight="1" x14ac:dyDescent="0.2"/>
    <row r="430" s="1" customFormat="1" ht="12.95" customHeight="1" x14ac:dyDescent="0.2"/>
    <row r="431" s="1" customFormat="1" ht="12.95" customHeight="1" x14ac:dyDescent="0.2"/>
    <row r="432" s="1" customFormat="1" ht="12.95" customHeight="1" x14ac:dyDescent="0.2"/>
    <row r="433" s="1" customFormat="1" ht="12.95" customHeight="1" x14ac:dyDescent="0.2"/>
    <row r="434" s="1" customFormat="1" ht="12.95" customHeight="1" x14ac:dyDescent="0.2"/>
    <row r="435" s="1" customFormat="1" ht="12.95" customHeight="1" x14ac:dyDescent="0.2"/>
    <row r="436" s="1" customFormat="1" ht="12.95" customHeight="1" x14ac:dyDescent="0.2"/>
    <row r="437" s="1" customFormat="1" ht="12.95" customHeight="1" x14ac:dyDescent="0.2"/>
    <row r="438" s="1" customFormat="1" ht="12.95" customHeight="1" x14ac:dyDescent="0.2"/>
    <row r="439" s="1" customFormat="1" ht="12.95" customHeight="1" x14ac:dyDescent="0.2"/>
    <row r="440" s="1" customFormat="1" ht="12.95" customHeight="1" x14ac:dyDescent="0.2"/>
    <row r="441" s="1" customFormat="1" ht="12.95" customHeight="1" x14ac:dyDescent="0.2"/>
    <row r="442" s="1" customFormat="1" ht="12.95" customHeight="1" x14ac:dyDescent="0.2"/>
    <row r="443" s="1" customFormat="1" ht="12.95" customHeight="1" x14ac:dyDescent="0.2"/>
    <row r="444" s="1" customFormat="1" ht="12.95" customHeight="1" x14ac:dyDescent="0.2"/>
    <row r="445" s="1" customFormat="1" ht="12.95" customHeight="1" x14ac:dyDescent="0.2"/>
    <row r="446" s="1" customFormat="1" ht="12.95" customHeight="1" x14ac:dyDescent="0.2"/>
    <row r="447" s="1" customFormat="1" ht="12.95" customHeight="1" x14ac:dyDescent="0.2"/>
    <row r="448" s="1" customFormat="1" ht="12.95" customHeight="1" x14ac:dyDescent="0.2"/>
    <row r="449" s="1" customFormat="1" ht="12.95" customHeight="1" x14ac:dyDescent="0.2"/>
    <row r="450" s="1" customFormat="1" ht="12.95" customHeight="1" x14ac:dyDescent="0.2"/>
    <row r="451" s="1" customFormat="1" ht="12.95" customHeight="1" x14ac:dyDescent="0.2"/>
    <row r="452" s="1" customFormat="1" ht="12.95" customHeight="1" x14ac:dyDescent="0.2"/>
    <row r="453" s="1" customFormat="1" ht="12.95" customHeight="1" x14ac:dyDescent="0.2"/>
    <row r="454" s="1" customFormat="1" ht="12.95" customHeight="1" x14ac:dyDescent="0.2"/>
    <row r="455" s="1" customFormat="1" ht="12.95" customHeight="1" x14ac:dyDescent="0.2"/>
    <row r="456" s="1" customFormat="1" ht="12.95" customHeight="1" x14ac:dyDescent="0.2"/>
    <row r="457" s="1" customFormat="1" ht="12.95" customHeight="1" x14ac:dyDescent="0.2"/>
    <row r="458" s="1" customFormat="1" ht="12.95" customHeight="1" x14ac:dyDescent="0.2"/>
    <row r="459" s="1" customFormat="1" ht="12.95" customHeight="1" x14ac:dyDescent="0.2"/>
    <row r="460" s="1" customFormat="1" ht="12.95" customHeight="1" x14ac:dyDescent="0.2"/>
    <row r="461" s="1" customFormat="1" ht="12.95" customHeight="1" x14ac:dyDescent="0.2"/>
    <row r="462" s="1" customFormat="1" ht="12.95" customHeight="1" x14ac:dyDescent="0.2"/>
    <row r="463" s="1" customFormat="1" ht="12.95" customHeight="1" x14ac:dyDescent="0.2"/>
    <row r="464" s="1" customFormat="1" ht="12.95" customHeight="1" x14ac:dyDescent="0.2"/>
    <row r="465" s="1" customFormat="1" ht="12.95" customHeight="1" x14ac:dyDescent="0.2"/>
    <row r="466" s="1" customFormat="1" ht="12.95" customHeight="1" x14ac:dyDescent="0.2"/>
    <row r="467" s="1" customFormat="1" ht="12.95" customHeight="1" x14ac:dyDescent="0.2"/>
    <row r="468" s="1" customFormat="1" ht="12.95" customHeight="1" x14ac:dyDescent="0.2"/>
    <row r="469" s="1" customFormat="1" ht="12.95" customHeight="1" x14ac:dyDescent="0.2"/>
    <row r="470" s="1" customFormat="1" ht="12.95" customHeight="1" x14ac:dyDescent="0.2"/>
    <row r="471" s="1" customFormat="1" ht="12.95" customHeight="1" x14ac:dyDescent="0.2"/>
    <row r="472" s="1" customFormat="1" ht="12.95" customHeight="1" x14ac:dyDescent="0.2"/>
    <row r="473" s="1" customFormat="1" ht="12.95" customHeight="1" x14ac:dyDescent="0.2"/>
    <row r="474" s="1" customFormat="1" ht="12.95" customHeight="1" x14ac:dyDescent="0.2"/>
    <row r="475" s="1" customFormat="1" ht="12.95" customHeight="1" x14ac:dyDescent="0.2"/>
    <row r="476" s="1" customFormat="1" ht="12.95" customHeight="1" x14ac:dyDescent="0.2"/>
    <row r="477" s="1" customFormat="1" ht="12.95" customHeight="1" x14ac:dyDescent="0.2"/>
    <row r="478" s="1" customFormat="1" ht="12.95" customHeight="1" x14ac:dyDescent="0.2"/>
    <row r="479" s="1" customFormat="1" ht="12.95" customHeight="1" x14ac:dyDescent="0.2"/>
    <row r="480" s="1" customFormat="1" ht="12.95" customHeight="1" x14ac:dyDescent="0.2"/>
    <row r="481" s="1" customFormat="1" ht="12.95" customHeight="1" x14ac:dyDescent="0.2"/>
    <row r="482" s="1" customFormat="1" ht="12.95" customHeight="1" x14ac:dyDescent="0.2"/>
    <row r="483" s="1" customFormat="1" ht="12.95" customHeight="1" x14ac:dyDescent="0.2"/>
    <row r="484" s="1" customFormat="1" ht="12.95" customHeight="1" x14ac:dyDescent="0.2"/>
    <row r="485" ht="12.95" customHeight="1" x14ac:dyDescent="0.25"/>
    <row r="486" ht="12.95" customHeight="1" x14ac:dyDescent="0.25"/>
    <row r="487" ht="12.95" customHeight="1" x14ac:dyDescent="0.25"/>
    <row r="488" ht="12.95" customHeight="1" x14ac:dyDescent="0.25"/>
    <row r="489" ht="12.95" customHeight="1" x14ac:dyDescent="0.25"/>
    <row r="490" ht="12.95" customHeight="1" x14ac:dyDescent="0.25"/>
    <row r="491" ht="12.95" customHeight="1" x14ac:dyDescent="0.25"/>
    <row r="492" ht="12.95" customHeight="1" x14ac:dyDescent="0.25"/>
    <row r="493" ht="12.95" customHeight="1" x14ac:dyDescent="0.25"/>
    <row r="494" ht="12.95" customHeight="1" x14ac:dyDescent="0.25"/>
    <row r="495" ht="12.95" customHeight="1" x14ac:dyDescent="0.25"/>
    <row r="496" ht="12.9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</sheetData>
  <pageMargins left="0.11811023622047245" right="0.11811023622047245" top="0.74803149606299213" bottom="0.74803149606299213" header="0.31496062992125984" footer="0.31496062992125984"/>
  <pageSetup paperSize="9" orientation="portrait" r:id="rId1"/>
  <headerFooter>
    <oddFooter>&amp;C&amp;"Arial,Pogrubiony"&amp;8&amp;P</oddFooter>
  </headerFooter>
  <rowBreaks count="2" manualBreakCount="2">
    <brk id="189" max="16383" man="1"/>
    <brk id="29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1E56FC-8E5D-4F73-B387-C49ABF0D106C}">
  <dimension ref="A1:AMJ34"/>
  <sheetViews>
    <sheetView zoomScaleNormal="100" workbookViewId="0">
      <pane ySplit="19" topLeftCell="A20" activePane="bottomLeft" state="frozen"/>
      <selection pane="bottomLeft"/>
    </sheetView>
  </sheetViews>
  <sheetFormatPr defaultColWidth="9.140625" defaultRowHeight="15" x14ac:dyDescent="0.25"/>
  <cols>
    <col min="1" max="1" width="5.7109375" style="92" customWidth="1"/>
    <col min="2" max="2" width="6.7109375" style="92" customWidth="1"/>
    <col min="3" max="3" width="4.42578125" style="92" hidden="1" customWidth="1"/>
    <col min="4" max="4" width="64.28515625" style="93" customWidth="1"/>
    <col min="5" max="7" width="15.5703125" style="93" customWidth="1"/>
    <col min="8" max="8" width="14.42578125" style="93" customWidth="1"/>
    <col min="9" max="9" width="14" style="93" customWidth="1"/>
    <col min="10" max="11" width="12.85546875" style="93" customWidth="1"/>
    <col min="12" max="12" width="11.5703125" style="93" customWidth="1"/>
    <col min="13" max="13" width="13.7109375" style="94" customWidth="1"/>
    <col min="14" max="14" width="13" style="93" customWidth="1"/>
    <col min="15" max="15" width="9.140625" style="93"/>
    <col min="16" max="16" width="9.7109375" style="93" customWidth="1"/>
    <col min="17" max="258" width="9.140625" style="93"/>
    <col min="259" max="259" width="4.140625" style="93" customWidth="1"/>
    <col min="260" max="260" width="5.5703125" style="93" customWidth="1"/>
    <col min="261" max="261" width="59.5703125" style="93" customWidth="1"/>
    <col min="262" max="263" width="11.28515625" style="93" customWidth="1"/>
    <col min="264" max="264" width="10.5703125" style="93" customWidth="1"/>
    <col min="265" max="265" width="10.42578125" style="93" customWidth="1"/>
    <col min="266" max="266" width="10.7109375" style="93" customWidth="1"/>
    <col min="267" max="267" width="9" style="93" customWidth="1"/>
    <col min="268" max="268" width="11.5703125" style="93" customWidth="1"/>
    <col min="269" max="269" width="9.140625" style="93"/>
    <col min="270" max="270" width="13" style="93" customWidth="1"/>
    <col min="271" max="514" width="9.140625" style="93"/>
    <col min="515" max="515" width="4.140625" style="93" customWidth="1"/>
    <col min="516" max="516" width="5.5703125" style="93" customWidth="1"/>
    <col min="517" max="517" width="59.5703125" style="93" customWidth="1"/>
    <col min="518" max="519" width="11.28515625" style="93" customWidth="1"/>
    <col min="520" max="520" width="10.5703125" style="93" customWidth="1"/>
    <col min="521" max="521" width="10.42578125" style="93" customWidth="1"/>
    <col min="522" max="522" width="10.7109375" style="93" customWidth="1"/>
    <col min="523" max="523" width="9" style="93" customWidth="1"/>
    <col min="524" max="524" width="11.5703125" style="93" customWidth="1"/>
    <col min="525" max="525" width="9.140625" style="93"/>
    <col min="526" max="526" width="13" style="93" customWidth="1"/>
    <col min="527" max="770" width="9.140625" style="93"/>
    <col min="771" max="771" width="4.140625" style="93" customWidth="1"/>
    <col min="772" max="772" width="5.5703125" style="93" customWidth="1"/>
    <col min="773" max="773" width="59.5703125" style="93" customWidth="1"/>
    <col min="774" max="775" width="11.28515625" style="93" customWidth="1"/>
    <col min="776" max="776" width="10.5703125" style="93" customWidth="1"/>
    <col min="777" max="777" width="10.42578125" style="93" customWidth="1"/>
    <col min="778" max="778" width="10.7109375" style="93" customWidth="1"/>
    <col min="779" max="779" width="9" style="93" customWidth="1"/>
    <col min="780" max="780" width="11.5703125" style="93" customWidth="1"/>
    <col min="781" max="781" width="9.140625" style="93"/>
    <col min="782" max="782" width="13" style="93" customWidth="1"/>
    <col min="783" max="1024" width="9.140625" style="93"/>
    <col min="1025" max="16384" width="9.140625" style="396"/>
  </cols>
  <sheetData>
    <row r="1" spans="1:16" x14ac:dyDescent="0.25">
      <c r="G1" s="92"/>
      <c r="H1" s="92"/>
      <c r="I1" s="92"/>
      <c r="J1" s="92"/>
      <c r="K1" s="92"/>
      <c r="L1" s="92"/>
    </row>
    <row r="2" spans="1:16" x14ac:dyDescent="0.25">
      <c r="G2" s="92"/>
      <c r="H2" s="92"/>
      <c r="I2" s="92"/>
      <c r="J2" s="92"/>
      <c r="K2" s="92"/>
      <c r="L2" s="92" t="s">
        <v>113</v>
      </c>
    </row>
    <row r="3" spans="1:16" x14ac:dyDescent="0.25">
      <c r="G3" s="92"/>
      <c r="H3" s="92"/>
      <c r="I3" s="92"/>
      <c r="J3" s="92"/>
      <c r="K3" s="92"/>
      <c r="L3" s="4" t="s">
        <v>264</v>
      </c>
    </row>
    <row r="4" spans="1:16" x14ac:dyDescent="0.25">
      <c r="G4" s="92"/>
      <c r="H4" s="92"/>
      <c r="I4" s="92"/>
      <c r="J4" s="92"/>
      <c r="K4" s="92"/>
      <c r="L4" s="4" t="s">
        <v>1</v>
      </c>
      <c r="P4" s="95"/>
    </row>
    <row r="5" spans="1:16" x14ac:dyDescent="0.25">
      <c r="G5" s="92"/>
      <c r="H5" s="92"/>
      <c r="I5" s="92"/>
      <c r="J5" s="92"/>
      <c r="K5" s="92"/>
      <c r="L5" s="4" t="s">
        <v>265</v>
      </c>
      <c r="P5" s="95"/>
    </row>
    <row r="6" spans="1:16" x14ac:dyDescent="0.25">
      <c r="G6" s="92"/>
      <c r="H6" s="92"/>
      <c r="I6" s="92"/>
      <c r="J6" s="92"/>
      <c r="K6" s="92"/>
      <c r="L6" s="96"/>
      <c r="P6" s="95"/>
    </row>
    <row r="7" spans="1:16" x14ac:dyDescent="0.25">
      <c r="G7" s="92"/>
      <c r="H7" s="92"/>
      <c r="I7" s="92"/>
      <c r="J7" s="92"/>
      <c r="K7" s="92"/>
      <c r="L7" s="92"/>
      <c r="P7" s="95"/>
    </row>
    <row r="8" spans="1:16" x14ac:dyDescent="0.25">
      <c r="G8" s="92"/>
      <c r="H8" s="92"/>
      <c r="I8" s="92"/>
      <c r="J8" s="92"/>
      <c r="K8" s="92"/>
      <c r="L8" s="92"/>
      <c r="P8" s="95"/>
    </row>
    <row r="9" spans="1:16" x14ac:dyDescent="0.25">
      <c r="A9" s="97" t="s">
        <v>114</v>
      </c>
      <c r="B9" s="97"/>
      <c r="C9" s="97"/>
      <c r="D9" s="97"/>
      <c r="E9" s="97"/>
      <c r="F9" s="97"/>
      <c r="G9" s="97"/>
      <c r="H9" s="97"/>
      <c r="I9" s="97"/>
      <c r="J9" s="97"/>
      <c r="K9" s="97"/>
      <c r="L9" s="97"/>
      <c r="M9" s="97"/>
      <c r="N9" s="98"/>
      <c r="O9" s="99"/>
      <c r="P9" s="95"/>
    </row>
    <row r="10" spans="1:16" s="92" customFormat="1" ht="11.25" x14ac:dyDescent="0.2">
      <c r="A10" s="100"/>
      <c r="B10" s="100"/>
      <c r="C10" s="100"/>
      <c r="D10" s="100"/>
      <c r="E10" s="100"/>
      <c r="F10" s="100"/>
      <c r="G10" s="100"/>
      <c r="H10" s="100"/>
      <c r="I10" s="100"/>
      <c r="J10" s="100"/>
      <c r="K10" s="96"/>
      <c r="L10" s="96"/>
      <c r="M10" s="100"/>
    </row>
    <row r="11" spans="1:16" s="106" customFormat="1" ht="11.25" x14ac:dyDescent="0.2">
      <c r="A11" s="101"/>
      <c r="B11" s="101"/>
      <c r="C11" s="102"/>
      <c r="D11" s="102"/>
      <c r="E11" s="102"/>
      <c r="F11" s="102"/>
      <c r="G11" s="103"/>
      <c r="H11" s="460" t="s">
        <v>115</v>
      </c>
      <c r="I11" s="460"/>
      <c r="J11" s="460"/>
      <c r="K11" s="460"/>
      <c r="L11" s="104" t="s">
        <v>116</v>
      </c>
      <c r="M11" s="105"/>
    </row>
    <row r="12" spans="1:16" s="106" customFormat="1" ht="12.75" customHeight="1" x14ac:dyDescent="0.2">
      <c r="A12" s="107"/>
      <c r="B12" s="107"/>
      <c r="C12" s="108"/>
      <c r="D12" s="108"/>
      <c r="E12" s="108"/>
      <c r="F12" s="108"/>
      <c r="G12" s="109" t="s">
        <v>117</v>
      </c>
      <c r="H12" s="110"/>
      <c r="I12" s="460" t="s">
        <v>118</v>
      </c>
      <c r="J12" s="460"/>
      <c r="K12" s="460"/>
      <c r="L12" s="111" t="s">
        <v>119</v>
      </c>
      <c r="M12" s="112" t="s">
        <v>120</v>
      </c>
    </row>
    <row r="13" spans="1:16" s="106" customFormat="1" ht="11.25" x14ac:dyDescent="0.2">
      <c r="A13" s="107"/>
      <c r="B13" s="107"/>
      <c r="C13" s="113"/>
      <c r="D13" s="113" t="s">
        <v>121</v>
      </c>
      <c r="E13" s="113" t="s">
        <v>10</v>
      </c>
      <c r="F13" s="113" t="s">
        <v>11</v>
      </c>
      <c r="G13" s="113" t="s">
        <v>122</v>
      </c>
      <c r="H13" s="112" t="s">
        <v>123</v>
      </c>
      <c r="I13" s="112"/>
      <c r="J13" s="113" t="s">
        <v>119</v>
      </c>
      <c r="K13" s="113" t="s">
        <v>119</v>
      </c>
      <c r="L13" s="114" t="s">
        <v>124</v>
      </c>
      <c r="M13" s="112" t="s">
        <v>125</v>
      </c>
    </row>
    <row r="14" spans="1:16" s="106" customFormat="1" ht="11.25" x14ac:dyDescent="0.2">
      <c r="A14" s="107" t="s">
        <v>126</v>
      </c>
      <c r="B14" s="107" t="s">
        <v>127</v>
      </c>
      <c r="C14" s="113" t="s">
        <v>7</v>
      </c>
      <c r="D14" s="113"/>
      <c r="E14" s="113"/>
      <c r="F14" s="113"/>
      <c r="G14" s="113" t="s">
        <v>128</v>
      </c>
      <c r="H14" s="112" t="s">
        <v>129</v>
      </c>
      <c r="I14" s="112" t="s">
        <v>119</v>
      </c>
      <c r="J14" s="113" t="s">
        <v>130</v>
      </c>
      <c r="K14" s="113" t="s">
        <v>131</v>
      </c>
      <c r="L14" s="114" t="s">
        <v>132</v>
      </c>
      <c r="M14" s="112" t="s">
        <v>133</v>
      </c>
    </row>
    <row r="15" spans="1:16" s="106" customFormat="1" ht="11.25" x14ac:dyDescent="0.2">
      <c r="A15" s="107"/>
      <c r="B15" s="107"/>
      <c r="C15" s="113"/>
      <c r="D15" s="113"/>
      <c r="E15" s="113"/>
      <c r="F15" s="113"/>
      <c r="G15" s="113"/>
      <c r="H15" s="112">
        <v>2022</v>
      </c>
      <c r="I15" s="112" t="s">
        <v>134</v>
      </c>
      <c r="J15" s="113" t="s">
        <v>135</v>
      </c>
      <c r="K15" s="113" t="s">
        <v>136</v>
      </c>
      <c r="L15" s="114" t="s">
        <v>137</v>
      </c>
      <c r="M15" s="112"/>
    </row>
    <row r="16" spans="1:16" s="106" customFormat="1" ht="11.25" x14ac:dyDescent="0.2">
      <c r="A16" s="107"/>
      <c r="B16" s="107"/>
      <c r="C16" s="113"/>
      <c r="D16" s="113"/>
      <c r="E16" s="113"/>
      <c r="F16" s="113"/>
      <c r="G16" s="113"/>
      <c r="H16" s="112" t="s">
        <v>138</v>
      </c>
      <c r="I16" s="112"/>
      <c r="J16" s="113" t="s">
        <v>139</v>
      </c>
      <c r="K16" s="112" t="s">
        <v>140</v>
      </c>
      <c r="L16" s="115" t="s">
        <v>141</v>
      </c>
      <c r="M16" s="112"/>
    </row>
    <row r="17" spans="1:38" s="106" customFormat="1" ht="11.25" x14ac:dyDescent="0.2">
      <c r="A17" s="116"/>
      <c r="B17" s="116"/>
      <c r="C17" s="117"/>
      <c r="D17" s="118"/>
      <c r="E17" s="118"/>
      <c r="F17" s="118"/>
      <c r="G17" s="118"/>
      <c r="H17" s="119"/>
      <c r="I17" s="119"/>
      <c r="J17" s="118"/>
      <c r="K17" s="118"/>
      <c r="L17" s="113"/>
      <c r="M17" s="120"/>
    </row>
    <row r="18" spans="1:38" s="92" customFormat="1" ht="11.25" x14ac:dyDescent="0.2">
      <c r="A18" s="121">
        <v>1</v>
      </c>
      <c r="B18" s="121">
        <v>2</v>
      </c>
      <c r="C18" s="121"/>
      <c r="D18" s="121">
        <v>3</v>
      </c>
      <c r="E18" s="121">
        <v>4</v>
      </c>
      <c r="F18" s="121">
        <v>5</v>
      </c>
      <c r="G18" s="121">
        <v>6</v>
      </c>
      <c r="H18" s="122">
        <v>7</v>
      </c>
      <c r="I18" s="121">
        <v>8</v>
      </c>
      <c r="J18" s="123">
        <v>9</v>
      </c>
      <c r="K18" s="124">
        <v>10</v>
      </c>
      <c r="L18" s="124">
        <v>11</v>
      </c>
      <c r="M18" s="121">
        <v>12</v>
      </c>
    </row>
    <row r="19" spans="1:38" s="400" customFormat="1" ht="22.9" customHeight="1" x14ac:dyDescent="0.2">
      <c r="A19" s="397"/>
      <c r="B19" s="397"/>
      <c r="C19" s="125"/>
      <c r="D19" s="397" t="s">
        <v>142</v>
      </c>
      <c r="E19" s="398">
        <v>3450000</v>
      </c>
      <c r="F19" s="398">
        <v>3450000</v>
      </c>
      <c r="G19" s="398">
        <v>400059670.32000005</v>
      </c>
      <c r="H19" s="398">
        <v>187393140.96999997</v>
      </c>
      <c r="I19" s="398">
        <v>117944199.72</v>
      </c>
      <c r="J19" s="398">
        <v>32789157.989999998</v>
      </c>
      <c r="K19" s="398">
        <v>36659783.260000005</v>
      </c>
      <c r="L19" s="398">
        <v>0</v>
      </c>
      <c r="M19" s="398"/>
      <c r="N19" s="399"/>
    </row>
    <row r="20" spans="1:38" s="131" customFormat="1" ht="20.45" customHeight="1" x14ac:dyDescent="0.2">
      <c r="A20" s="126">
        <v>600</v>
      </c>
      <c r="B20" s="126"/>
      <c r="C20" s="127"/>
      <c r="D20" s="128" t="s">
        <v>143</v>
      </c>
      <c r="E20" s="129">
        <v>2500000</v>
      </c>
      <c r="F20" s="129">
        <v>0</v>
      </c>
      <c r="G20" s="129">
        <v>141769136.17000002</v>
      </c>
      <c r="H20" s="129">
        <v>56459971.170000002</v>
      </c>
      <c r="I20" s="129">
        <v>40245452.909999996</v>
      </c>
      <c r="J20" s="129">
        <v>13574216.359999999</v>
      </c>
      <c r="K20" s="129">
        <v>2640301.9</v>
      </c>
      <c r="L20" s="129">
        <v>0</v>
      </c>
      <c r="M20" s="130"/>
    </row>
    <row r="21" spans="1:38" s="92" customFormat="1" ht="22.15" customHeight="1" x14ac:dyDescent="0.2">
      <c r="A21" s="218"/>
      <c r="B21" s="132">
        <v>60016</v>
      </c>
      <c r="C21" s="133"/>
      <c r="D21" s="134" t="s">
        <v>41</v>
      </c>
      <c r="E21" s="135">
        <v>2500000</v>
      </c>
      <c r="F21" s="135">
        <v>0</v>
      </c>
      <c r="G21" s="135">
        <v>72998014.810000002</v>
      </c>
      <c r="H21" s="135">
        <v>28837514.809999999</v>
      </c>
      <c r="I21" s="135">
        <v>20856686.34</v>
      </c>
      <c r="J21" s="135">
        <v>7980828.4700000007</v>
      </c>
      <c r="K21" s="135">
        <v>0</v>
      </c>
      <c r="L21" s="135">
        <v>0</v>
      </c>
      <c r="M21" s="401"/>
    </row>
    <row r="22" spans="1:38" s="404" customFormat="1" ht="16.5" x14ac:dyDescent="0.2">
      <c r="A22" s="402"/>
      <c r="B22" s="132"/>
      <c r="C22" s="133"/>
      <c r="D22" s="136" t="s">
        <v>144</v>
      </c>
      <c r="E22" s="137">
        <v>2500000</v>
      </c>
      <c r="F22" s="136"/>
      <c r="G22" s="137">
        <v>5990000</v>
      </c>
      <c r="H22" s="137">
        <v>5990000</v>
      </c>
      <c r="I22" s="138">
        <v>5990000</v>
      </c>
      <c r="J22" s="139" t="s">
        <v>145</v>
      </c>
      <c r="K22" s="139" t="s">
        <v>145</v>
      </c>
      <c r="L22" s="139" t="s">
        <v>145</v>
      </c>
      <c r="M22" s="403" t="s">
        <v>146</v>
      </c>
      <c r="N22" s="92"/>
      <c r="O22" s="92"/>
      <c r="P22" s="92"/>
      <c r="Q22" s="92"/>
      <c r="R22" s="92"/>
      <c r="S22" s="92"/>
      <c r="T22" s="92"/>
      <c r="U22" s="92"/>
      <c r="V22" s="92"/>
      <c r="W22" s="92"/>
      <c r="X22" s="92"/>
      <c r="Y22" s="92"/>
      <c r="Z22" s="92"/>
      <c r="AA22" s="92"/>
      <c r="AB22" s="92"/>
      <c r="AC22" s="92"/>
      <c r="AD22" s="92"/>
      <c r="AE22" s="92"/>
      <c r="AF22" s="92"/>
      <c r="AG22" s="92"/>
      <c r="AH22" s="92"/>
      <c r="AI22" s="92"/>
      <c r="AJ22" s="92"/>
      <c r="AK22" s="92"/>
      <c r="AL22" s="92"/>
    </row>
    <row r="23" spans="1:38" s="131" customFormat="1" ht="21" customHeight="1" x14ac:dyDescent="0.2">
      <c r="A23" s="219">
        <v>700</v>
      </c>
      <c r="B23" s="219"/>
      <c r="C23" s="220"/>
      <c r="D23" s="128" t="s">
        <v>266</v>
      </c>
      <c r="E23" s="129">
        <v>800000</v>
      </c>
      <c r="F23" s="129">
        <v>0</v>
      </c>
      <c r="G23" s="129">
        <v>58915800</v>
      </c>
      <c r="H23" s="129">
        <v>34202800</v>
      </c>
      <c r="I23" s="129">
        <v>16754358.390000001</v>
      </c>
      <c r="J23" s="129">
        <v>17322266.239999998</v>
      </c>
      <c r="K23" s="129">
        <v>126175.37</v>
      </c>
      <c r="L23" s="129">
        <v>0</v>
      </c>
      <c r="M23" s="130"/>
    </row>
    <row r="24" spans="1:38" s="131" customFormat="1" ht="20.45" customHeight="1" x14ac:dyDescent="0.2">
      <c r="A24" s="219"/>
      <c r="B24" s="221">
        <v>70007</v>
      </c>
      <c r="C24" s="222"/>
      <c r="D24" s="223" t="s">
        <v>267</v>
      </c>
      <c r="E24" s="142">
        <v>800000</v>
      </c>
      <c r="F24" s="142">
        <v>0</v>
      </c>
      <c r="G24" s="142">
        <v>2700000</v>
      </c>
      <c r="H24" s="142">
        <v>2700000</v>
      </c>
      <c r="I24" s="142">
        <v>2700000</v>
      </c>
      <c r="J24" s="142">
        <v>0</v>
      </c>
      <c r="K24" s="142">
        <v>0</v>
      </c>
      <c r="L24" s="142">
        <v>0</v>
      </c>
      <c r="M24" s="405"/>
    </row>
    <row r="25" spans="1:38" s="131" customFormat="1" ht="11.25" x14ac:dyDescent="0.2">
      <c r="A25" s="224"/>
      <c r="B25" s="225"/>
      <c r="C25" s="226"/>
      <c r="D25" s="406" t="s">
        <v>147</v>
      </c>
      <c r="E25" s="227"/>
      <c r="F25" s="227"/>
      <c r="G25" s="228"/>
      <c r="H25" s="229"/>
      <c r="I25" s="228"/>
      <c r="J25" s="230"/>
      <c r="K25" s="230"/>
      <c r="L25" s="230"/>
      <c r="M25" s="405"/>
    </row>
    <row r="26" spans="1:38" s="131" customFormat="1" ht="26.25" customHeight="1" x14ac:dyDescent="0.2">
      <c r="A26" s="231"/>
      <c r="B26" s="232"/>
      <c r="C26" s="233"/>
      <c r="D26" s="234" t="s">
        <v>268</v>
      </c>
      <c r="E26" s="143">
        <v>800000</v>
      </c>
      <c r="F26" s="234"/>
      <c r="G26" s="143">
        <v>800000</v>
      </c>
      <c r="H26" s="138">
        <v>800000</v>
      </c>
      <c r="I26" s="143">
        <v>800000</v>
      </c>
      <c r="J26" s="235"/>
      <c r="K26" s="235"/>
      <c r="L26" s="235"/>
      <c r="M26" s="407" t="s">
        <v>225</v>
      </c>
    </row>
    <row r="27" spans="1:38" s="92" customFormat="1" ht="21" customHeight="1" x14ac:dyDescent="0.2">
      <c r="A27" s="219">
        <v>900</v>
      </c>
      <c r="B27" s="219"/>
      <c r="C27" s="236"/>
      <c r="D27" s="237" t="s">
        <v>269</v>
      </c>
      <c r="E27" s="129">
        <v>150000</v>
      </c>
      <c r="F27" s="129">
        <v>0</v>
      </c>
      <c r="G27" s="129">
        <v>51972263.240000002</v>
      </c>
      <c r="H27" s="129">
        <v>21882029.109999999</v>
      </c>
      <c r="I27" s="129">
        <v>18658500</v>
      </c>
      <c r="J27" s="129">
        <v>506479.36999999994</v>
      </c>
      <c r="K27" s="129">
        <v>2717049.7399999998</v>
      </c>
      <c r="L27" s="129">
        <v>0</v>
      </c>
      <c r="M27" s="198"/>
    </row>
    <row r="28" spans="1:38" s="92" customFormat="1" ht="21" customHeight="1" x14ac:dyDescent="0.2">
      <c r="A28" s="238"/>
      <c r="B28" s="132">
        <v>90095</v>
      </c>
      <c r="C28" s="133"/>
      <c r="D28" s="134" t="s">
        <v>37</v>
      </c>
      <c r="E28" s="135">
        <v>150000</v>
      </c>
      <c r="F28" s="135">
        <v>0</v>
      </c>
      <c r="G28" s="135">
        <v>44213595.240000002</v>
      </c>
      <c r="H28" s="135">
        <v>18294029.109999999</v>
      </c>
      <c r="I28" s="135">
        <v>15070500</v>
      </c>
      <c r="J28" s="135">
        <v>506479.36999999994</v>
      </c>
      <c r="K28" s="135">
        <v>2717049.7399999998</v>
      </c>
      <c r="L28" s="135">
        <v>0</v>
      </c>
      <c r="M28" s="401"/>
    </row>
    <row r="29" spans="1:38" s="92" customFormat="1" ht="42" thickBot="1" x14ac:dyDescent="0.25">
      <c r="A29" s="238"/>
      <c r="B29" s="125"/>
      <c r="C29" s="239"/>
      <c r="D29" s="240" t="s">
        <v>270</v>
      </c>
      <c r="E29" s="241">
        <v>150000</v>
      </c>
      <c r="F29" s="240"/>
      <c r="G29" s="241">
        <v>200000</v>
      </c>
      <c r="H29" s="137">
        <v>200000</v>
      </c>
      <c r="I29" s="241">
        <v>200000</v>
      </c>
      <c r="J29" s="153" t="s">
        <v>145</v>
      </c>
      <c r="K29" s="153" t="s">
        <v>145</v>
      </c>
      <c r="L29" s="153" t="s">
        <v>145</v>
      </c>
      <c r="M29" s="405" t="s">
        <v>271</v>
      </c>
    </row>
    <row r="30" spans="1:38" s="92" customFormat="1" ht="21" customHeight="1" thickTop="1" thickBot="1" x14ac:dyDescent="0.25">
      <c r="A30" s="242"/>
      <c r="B30" s="144">
        <v>75818</v>
      </c>
      <c r="C30" s="145"/>
      <c r="D30" s="146" t="s">
        <v>149</v>
      </c>
      <c r="E30" s="147">
        <v>0</v>
      </c>
      <c r="F30" s="147">
        <v>3450000</v>
      </c>
      <c r="G30" s="148" t="s">
        <v>150</v>
      </c>
      <c r="H30" s="147">
        <v>4798816.3099999996</v>
      </c>
      <c r="I30" s="147">
        <v>4798816.3099999996</v>
      </c>
      <c r="J30" s="149" t="s">
        <v>145</v>
      </c>
      <c r="K30" s="150" t="s">
        <v>145</v>
      </c>
      <c r="L30" s="150" t="s">
        <v>145</v>
      </c>
      <c r="M30" s="408" t="s">
        <v>151</v>
      </c>
    </row>
    <row r="31" spans="1:38" s="92" customFormat="1" ht="21" customHeight="1" x14ac:dyDescent="0.2">
      <c r="A31" s="243"/>
      <c r="B31" s="244"/>
      <c r="C31" s="245"/>
      <c r="D31" s="141" t="s">
        <v>272</v>
      </c>
      <c r="E31" s="141"/>
      <c r="F31" s="138">
        <v>950000</v>
      </c>
      <c r="G31" s="246" t="s">
        <v>150</v>
      </c>
      <c r="H31" s="152">
        <v>50000</v>
      </c>
      <c r="I31" s="247">
        <v>50000</v>
      </c>
      <c r="J31" s="248" t="s">
        <v>148</v>
      </c>
      <c r="K31" s="249" t="s">
        <v>148</v>
      </c>
      <c r="L31" s="249" t="s">
        <v>148</v>
      </c>
      <c r="M31" s="198" t="s">
        <v>151</v>
      </c>
    </row>
    <row r="32" spans="1:38" s="92" customFormat="1" ht="15.75" customHeight="1" x14ac:dyDescent="0.2">
      <c r="A32" s="218"/>
      <c r="B32" s="125"/>
      <c r="C32" s="140"/>
      <c r="D32" s="141" t="s">
        <v>152</v>
      </c>
      <c r="E32" s="141"/>
      <c r="F32" s="138">
        <v>2500000</v>
      </c>
      <c r="G32" s="151" t="s">
        <v>150</v>
      </c>
      <c r="H32" s="152">
        <v>4748816.3099999996</v>
      </c>
      <c r="I32" s="152">
        <v>4748816.3099999996</v>
      </c>
      <c r="J32" s="153" t="s">
        <v>145</v>
      </c>
      <c r="K32" s="139" t="s">
        <v>145</v>
      </c>
      <c r="L32" s="139" t="s">
        <v>145</v>
      </c>
      <c r="M32" s="198" t="s">
        <v>151</v>
      </c>
    </row>
    <row r="34" spans="1:13" s="93" customFormat="1" ht="14.25" x14ac:dyDescent="0.2">
      <c r="A34" s="92"/>
      <c r="B34" s="92" t="s">
        <v>153</v>
      </c>
      <c r="C34" s="92"/>
      <c r="M34" s="94"/>
    </row>
  </sheetData>
  <autoFilter ref="M1:M34" xr:uid="{2751B8D0-CB78-4124-9FCC-66E96B3C9CE0}"/>
  <mergeCells count="2">
    <mergeCell ref="H11:K11"/>
    <mergeCell ref="I12:K12"/>
  </mergeCells>
  <printOptions horizontalCentered="1"/>
  <pageMargins left="0.11811023622047245" right="0.11811023622047245" top="0.74803149606299213" bottom="0.35433070866141736" header="0.51181102362204722" footer="0.11811023622047245"/>
  <pageSetup paperSize="9" scale="70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EDB0C2-50F4-4C62-8C68-97B16DE675CE}">
  <dimension ref="A1:BV21"/>
  <sheetViews>
    <sheetView zoomScale="130" zoomScaleNormal="130" workbookViewId="0"/>
  </sheetViews>
  <sheetFormatPr defaultRowHeight="12.75" x14ac:dyDescent="0.2"/>
  <cols>
    <col min="1" max="1" width="4.28515625" style="409" customWidth="1"/>
    <col min="2" max="2" width="8.7109375" style="409" customWidth="1"/>
    <col min="3" max="3" width="5.5703125" style="409" customWidth="1"/>
    <col min="4" max="4" width="10.140625" style="409" customWidth="1"/>
    <col min="5" max="5" width="10.42578125" style="409" customWidth="1"/>
    <col min="6" max="6" width="10.28515625" style="409" customWidth="1"/>
    <col min="7" max="7" width="14" style="409" customWidth="1"/>
    <col min="8" max="8" width="14.28515625" style="410" customWidth="1"/>
    <col min="9" max="9" width="11.28515625" style="410" customWidth="1"/>
    <col min="10" max="74" width="9.140625" style="410"/>
    <col min="75" max="256" width="9.140625" style="409"/>
    <col min="257" max="257" width="4.28515625" style="409" customWidth="1"/>
    <col min="258" max="258" width="8.7109375" style="409" customWidth="1"/>
    <col min="259" max="259" width="5.5703125" style="409" customWidth="1"/>
    <col min="260" max="260" width="10.140625" style="409" customWidth="1"/>
    <col min="261" max="261" width="10.42578125" style="409" customWidth="1"/>
    <col min="262" max="262" width="10.28515625" style="409" customWidth="1"/>
    <col min="263" max="263" width="14" style="409" customWidth="1"/>
    <col min="264" max="264" width="14.28515625" style="409" customWidth="1"/>
    <col min="265" max="265" width="11.28515625" style="409" customWidth="1"/>
    <col min="266" max="512" width="9.140625" style="409"/>
    <col min="513" max="513" width="4.28515625" style="409" customWidth="1"/>
    <col min="514" max="514" width="8.7109375" style="409" customWidth="1"/>
    <col min="515" max="515" width="5.5703125" style="409" customWidth="1"/>
    <col min="516" max="516" width="10.140625" style="409" customWidth="1"/>
    <col min="517" max="517" width="10.42578125" style="409" customWidth="1"/>
    <col min="518" max="518" width="10.28515625" style="409" customWidth="1"/>
    <col min="519" max="519" width="14" style="409" customWidth="1"/>
    <col min="520" max="520" width="14.28515625" style="409" customWidth="1"/>
    <col min="521" max="521" width="11.28515625" style="409" customWidth="1"/>
    <col min="522" max="768" width="9.140625" style="409"/>
    <col min="769" max="769" width="4.28515625" style="409" customWidth="1"/>
    <col min="770" max="770" width="8.7109375" style="409" customWidth="1"/>
    <col min="771" max="771" width="5.5703125" style="409" customWidth="1"/>
    <col min="772" max="772" width="10.140625" style="409" customWidth="1"/>
    <col min="773" max="773" width="10.42578125" style="409" customWidth="1"/>
    <col min="774" max="774" width="10.28515625" style="409" customWidth="1"/>
    <col min="775" max="775" width="14" style="409" customWidth="1"/>
    <col min="776" max="776" width="14.28515625" style="409" customWidth="1"/>
    <col min="777" max="777" width="11.28515625" style="409" customWidth="1"/>
    <col min="778" max="1024" width="9.140625" style="409"/>
    <col min="1025" max="1025" width="4.28515625" style="409" customWidth="1"/>
    <col min="1026" max="1026" width="8.7109375" style="409" customWidth="1"/>
    <col min="1027" max="1027" width="5.5703125" style="409" customWidth="1"/>
    <col min="1028" max="1028" width="10.140625" style="409" customWidth="1"/>
    <col min="1029" max="1029" width="10.42578125" style="409" customWidth="1"/>
    <col min="1030" max="1030" width="10.28515625" style="409" customWidth="1"/>
    <col min="1031" max="1031" width="14" style="409" customWidth="1"/>
    <col min="1032" max="1032" width="14.28515625" style="409" customWidth="1"/>
    <col min="1033" max="1033" width="11.28515625" style="409" customWidth="1"/>
    <col min="1034" max="1280" width="9.140625" style="409"/>
    <col min="1281" max="1281" width="4.28515625" style="409" customWidth="1"/>
    <col min="1282" max="1282" width="8.7109375" style="409" customWidth="1"/>
    <col min="1283" max="1283" width="5.5703125" style="409" customWidth="1"/>
    <col min="1284" max="1284" width="10.140625" style="409" customWidth="1"/>
    <col min="1285" max="1285" width="10.42578125" style="409" customWidth="1"/>
    <col min="1286" max="1286" width="10.28515625" style="409" customWidth="1"/>
    <col min="1287" max="1287" width="14" style="409" customWidth="1"/>
    <col min="1288" max="1288" width="14.28515625" style="409" customWidth="1"/>
    <col min="1289" max="1289" width="11.28515625" style="409" customWidth="1"/>
    <col min="1290" max="1536" width="9.140625" style="409"/>
    <col min="1537" max="1537" width="4.28515625" style="409" customWidth="1"/>
    <col min="1538" max="1538" width="8.7109375" style="409" customWidth="1"/>
    <col min="1539" max="1539" width="5.5703125" style="409" customWidth="1"/>
    <col min="1540" max="1540" width="10.140625" style="409" customWidth="1"/>
    <col min="1541" max="1541" width="10.42578125" style="409" customWidth="1"/>
    <col min="1542" max="1542" width="10.28515625" style="409" customWidth="1"/>
    <col min="1543" max="1543" width="14" style="409" customWidth="1"/>
    <col min="1544" max="1544" width="14.28515625" style="409" customWidth="1"/>
    <col min="1545" max="1545" width="11.28515625" style="409" customWidth="1"/>
    <col min="1546" max="1792" width="9.140625" style="409"/>
    <col min="1793" max="1793" width="4.28515625" style="409" customWidth="1"/>
    <col min="1794" max="1794" width="8.7109375" style="409" customWidth="1"/>
    <col min="1795" max="1795" width="5.5703125" style="409" customWidth="1"/>
    <col min="1796" max="1796" width="10.140625" style="409" customWidth="1"/>
    <col min="1797" max="1797" width="10.42578125" style="409" customWidth="1"/>
    <col min="1798" max="1798" width="10.28515625" style="409" customWidth="1"/>
    <col min="1799" max="1799" width="14" style="409" customWidth="1"/>
    <col min="1800" max="1800" width="14.28515625" style="409" customWidth="1"/>
    <col min="1801" max="1801" width="11.28515625" style="409" customWidth="1"/>
    <col min="1802" max="2048" width="9.140625" style="409"/>
    <col min="2049" max="2049" width="4.28515625" style="409" customWidth="1"/>
    <col min="2050" max="2050" width="8.7109375" style="409" customWidth="1"/>
    <col min="2051" max="2051" width="5.5703125" style="409" customWidth="1"/>
    <col min="2052" max="2052" width="10.140625" style="409" customWidth="1"/>
    <col min="2053" max="2053" width="10.42578125" style="409" customWidth="1"/>
    <col min="2054" max="2054" width="10.28515625" style="409" customWidth="1"/>
    <col min="2055" max="2055" width="14" style="409" customWidth="1"/>
    <col min="2056" max="2056" width="14.28515625" style="409" customWidth="1"/>
    <col min="2057" max="2057" width="11.28515625" style="409" customWidth="1"/>
    <col min="2058" max="2304" width="9.140625" style="409"/>
    <col min="2305" max="2305" width="4.28515625" style="409" customWidth="1"/>
    <col min="2306" max="2306" width="8.7109375" style="409" customWidth="1"/>
    <col min="2307" max="2307" width="5.5703125" style="409" customWidth="1"/>
    <col min="2308" max="2308" width="10.140625" style="409" customWidth="1"/>
    <col min="2309" max="2309" width="10.42578125" style="409" customWidth="1"/>
    <col min="2310" max="2310" width="10.28515625" style="409" customWidth="1"/>
    <col min="2311" max="2311" width="14" style="409" customWidth="1"/>
    <col min="2312" max="2312" width="14.28515625" style="409" customWidth="1"/>
    <col min="2313" max="2313" width="11.28515625" style="409" customWidth="1"/>
    <col min="2314" max="2560" width="9.140625" style="409"/>
    <col min="2561" max="2561" width="4.28515625" style="409" customWidth="1"/>
    <col min="2562" max="2562" width="8.7109375" style="409" customWidth="1"/>
    <col min="2563" max="2563" width="5.5703125" style="409" customWidth="1"/>
    <col min="2564" max="2564" width="10.140625" style="409" customWidth="1"/>
    <col min="2565" max="2565" width="10.42578125" style="409" customWidth="1"/>
    <col min="2566" max="2566" width="10.28515625" style="409" customWidth="1"/>
    <col min="2567" max="2567" width="14" style="409" customWidth="1"/>
    <col min="2568" max="2568" width="14.28515625" style="409" customWidth="1"/>
    <col min="2569" max="2569" width="11.28515625" style="409" customWidth="1"/>
    <col min="2570" max="2816" width="9.140625" style="409"/>
    <col min="2817" max="2817" width="4.28515625" style="409" customWidth="1"/>
    <col min="2818" max="2818" width="8.7109375" style="409" customWidth="1"/>
    <col min="2819" max="2819" width="5.5703125" style="409" customWidth="1"/>
    <col min="2820" max="2820" width="10.140625" style="409" customWidth="1"/>
    <col min="2821" max="2821" width="10.42578125" style="409" customWidth="1"/>
    <col min="2822" max="2822" width="10.28515625" style="409" customWidth="1"/>
    <col min="2823" max="2823" width="14" style="409" customWidth="1"/>
    <col min="2824" max="2824" width="14.28515625" style="409" customWidth="1"/>
    <col min="2825" max="2825" width="11.28515625" style="409" customWidth="1"/>
    <col min="2826" max="3072" width="9.140625" style="409"/>
    <col min="3073" max="3073" width="4.28515625" style="409" customWidth="1"/>
    <col min="3074" max="3074" width="8.7109375" style="409" customWidth="1"/>
    <col min="3075" max="3075" width="5.5703125" style="409" customWidth="1"/>
    <col min="3076" max="3076" width="10.140625" style="409" customWidth="1"/>
    <col min="3077" max="3077" width="10.42578125" style="409" customWidth="1"/>
    <col min="3078" max="3078" width="10.28515625" style="409" customWidth="1"/>
    <col min="3079" max="3079" width="14" style="409" customWidth="1"/>
    <col min="3080" max="3080" width="14.28515625" style="409" customWidth="1"/>
    <col min="3081" max="3081" width="11.28515625" style="409" customWidth="1"/>
    <col min="3082" max="3328" width="9.140625" style="409"/>
    <col min="3329" max="3329" width="4.28515625" style="409" customWidth="1"/>
    <col min="3330" max="3330" width="8.7109375" style="409" customWidth="1"/>
    <col min="3331" max="3331" width="5.5703125" style="409" customWidth="1"/>
    <col min="3332" max="3332" width="10.140625" style="409" customWidth="1"/>
    <col min="3333" max="3333" width="10.42578125" style="409" customWidth="1"/>
    <col min="3334" max="3334" width="10.28515625" style="409" customWidth="1"/>
    <col min="3335" max="3335" width="14" style="409" customWidth="1"/>
    <col min="3336" max="3336" width="14.28515625" style="409" customWidth="1"/>
    <col min="3337" max="3337" width="11.28515625" style="409" customWidth="1"/>
    <col min="3338" max="3584" width="9.140625" style="409"/>
    <col min="3585" max="3585" width="4.28515625" style="409" customWidth="1"/>
    <col min="3586" max="3586" width="8.7109375" style="409" customWidth="1"/>
    <col min="3587" max="3587" width="5.5703125" style="409" customWidth="1"/>
    <col min="3588" max="3588" width="10.140625" style="409" customWidth="1"/>
    <col min="3589" max="3589" width="10.42578125" style="409" customWidth="1"/>
    <col min="3590" max="3590" width="10.28515625" style="409" customWidth="1"/>
    <col min="3591" max="3591" width="14" style="409" customWidth="1"/>
    <col min="3592" max="3592" width="14.28515625" style="409" customWidth="1"/>
    <col min="3593" max="3593" width="11.28515625" style="409" customWidth="1"/>
    <col min="3594" max="3840" width="9.140625" style="409"/>
    <col min="3841" max="3841" width="4.28515625" style="409" customWidth="1"/>
    <col min="3842" max="3842" width="8.7109375" style="409" customWidth="1"/>
    <col min="3843" max="3843" width="5.5703125" style="409" customWidth="1"/>
    <col min="3844" max="3844" width="10.140625" style="409" customWidth="1"/>
    <col min="3845" max="3845" width="10.42578125" style="409" customWidth="1"/>
    <col min="3846" max="3846" width="10.28515625" style="409" customWidth="1"/>
    <col min="3847" max="3847" width="14" style="409" customWidth="1"/>
    <col min="3848" max="3848" width="14.28515625" style="409" customWidth="1"/>
    <col min="3849" max="3849" width="11.28515625" style="409" customWidth="1"/>
    <col min="3850" max="4096" width="9.140625" style="409"/>
    <col min="4097" max="4097" width="4.28515625" style="409" customWidth="1"/>
    <col min="4098" max="4098" width="8.7109375" style="409" customWidth="1"/>
    <col min="4099" max="4099" width="5.5703125" style="409" customWidth="1"/>
    <col min="4100" max="4100" width="10.140625" style="409" customWidth="1"/>
    <col min="4101" max="4101" width="10.42578125" style="409" customWidth="1"/>
    <col min="4102" max="4102" width="10.28515625" style="409" customWidth="1"/>
    <col min="4103" max="4103" width="14" style="409" customWidth="1"/>
    <col min="4104" max="4104" width="14.28515625" style="409" customWidth="1"/>
    <col min="4105" max="4105" width="11.28515625" style="409" customWidth="1"/>
    <col min="4106" max="4352" width="9.140625" style="409"/>
    <col min="4353" max="4353" width="4.28515625" style="409" customWidth="1"/>
    <col min="4354" max="4354" width="8.7109375" style="409" customWidth="1"/>
    <col min="4355" max="4355" width="5.5703125" style="409" customWidth="1"/>
    <col min="4356" max="4356" width="10.140625" style="409" customWidth="1"/>
    <col min="4357" max="4357" width="10.42578125" style="409" customWidth="1"/>
    <col min="4358" max="4358" width="10.28515625" style="409" customWidth="1"/>
    <col min="4359" max="4359" width="14" style="409" customWidth="1"/>
    <col min="4360" max="4360" width="14.28515625" style="409" customWidth="1"/>
    <col min="4361" max="4361" width="11.28515625" style="409" customWidth="1"/>
    <col min="4362" max="4608" width="9.140625" style="409"/>
    <col min="4609" max="4609" width="4.28515625" style="409" customWidth="1"/>
    <col min="4610" max="4610" width="8.7109375" style="409" customWidth="1"/>
    <col min="4611" max="4611" width="5.5703125" style="409" customWidth="1"/>
    <col min="4612" max="4612" width="10.140625" style="409" customWidth="1"/>
    <col min="4613" max="4613" width="10.42578125" style="409" customWidth="1"/>
    <col min="4614" max="4614" width="10.28515625" style="409" customWidth="1"/>
    <col min="4615" max="4615" width="14" style="409" customWidth="1"/>
    <col min="4616" max="4616" width="14.28515625" style="409" customWidth="1"/>
    <col min="4617" max="4617" width="11.28515625" style="409" customWidth="1"/>
    <col min="4618" max="4864" width="9.140625" style="409"/>
    <col min="4865" max="4865" width="4.28515625" style="409" customWidth="1"/>
    <col min="4866" max="4866" width="8.7109375" style="409" customWidth="1"/>
    <col min="4867" max="4867" width="5.5703125" style="409" customWidth="1"/>
    <col min="4868" max="4868" width="10.140625" style="409" customWidth="1"/>
    <col min="4869" max="4869" width="10.42578125" style="409" customWidth="1"/>
    <col min="4870" max="4870" width="10.28515625" style="409" customWidth="1"/>
    <col min="4871" max="4871" width="14" style="409" customWidth="1"/>
    <col min="4872" max="4872" width="14.28515625" style="409" customWidth="1"/>
    <col min="4873" max="4873" width="11.28515625" style="409" customWidth="1"/>
    <col min="4874" max="5120" width="9.140625" style="409"/>
    <col min="5121" max="5121" width="4.28515625" style="409" customWidth="1"/>
    <col min="5122" max="5122" width="8.7109375" style="409" customWidth="1"/>
    <col min="5123" max="5123" width="5.5703125" style="409" customWidth="1"/>
    <col min="5124" max="5124" width="10.140625" style="409" customWidth="1"/>
    <col min="5125" max="5125" width="10.42578125" style="409" customWidth="1"/>
    <col min="5126" max="5126" width="10.28515625" style="409" customWidth="1"/>
    <col min="5127" max="5127" width="14" style="409" customWidth="1"/>
    <col min="5128" max="5128" width="14.28515625" style="409" customWidth="1"/>
    <col min="5129" max="5129" width="11.28515625" style="409" customWidth="1"/>
    <col min="5130" max="5376" width="9.140625" style="409"/>
    <col min="5377" max="5377" width="4.28515625" style="409" customWidth="1"/>
    <col min="5378" max="5378" width="8.7109375" style="409" customWidth="1"/>
    <col min="5379" max="5379" width="5.5703125" style="409" customWidth="1"/>
    <col min="5380" max="5380" width="10.140625" style="409" customWidth="1"/>
    <col min="5381" max="5381" width="10.42578125" style="409" customWidth="1"/>
    <col min="5382" max="5382" width="10.28515625" style="409" customWidth="1"/>
    <col min="5383" max="5383" width="14" style="409" customWidth="1"/>
    <col min="5384" max="5384" width="14.28515625" style="409" customWidth="1"/>
    <col min="5385" max="5385" width="11.28515625" style="409" customWidth="1"/>
    <col min="5386" max="5632" width="9.140625" style="409"/>
    <col min="5633" max="5633" width="4.28515625" style="409" customWidth="1"/>
    <col min="5634" max="5634" width="8.7109375" style="409" customWidth="1"/>
    <col min="5635" max="5635" width="5.5703125" style="409" customWidth="1"/>
    <col min="5636" max="5636" width="10.140625" style="409" customWidth="1"/>
    <col min="5637" max="5637" width="10.42578125" style="409" customWidth="1"/>
    <col min="5638" max="5638" width="10.28515625" style="409" customWidth="1"/>
    <col min="5639" max="5639" width="14" style="409" customWidth="1"/>
    <col min="5640" max="5640" width="14.28515625" style="409" customWidth="1"/>
    <col min="5641" max="5641" width="11.28515625" style="409" customWidth="1"/>
    <col min="5642" max="5888" width="9.140625" style="409"/>
    <col min="5889" max="5889" width="4.28515625" style="409" customWidth="1"/>
    <col min="5890" max="5890" width="8.7109375" style="409" customWidth="1"/>
    <col min="5891" max="5891" width="5.5703125" style="409" customWidth="1"/>
    <col min="5892" max="5892" width="10.140625" style="409" customWidth="1"/>
    <col min="5893" max="5893" width="10.42578125" style="409" customWidth="1"/>
    <col min="5894" max="5894" width="10.28515625" style="409" customWidth="1"/>
    <col min="5895" max="5895" width="14" style="409" customWidth="1"/>
    <col min="5896" max="5896" width="14.28515625" style="409" customWidth="1"/>
    <col min="5897" max="5897" width="11.28515625" style="409" customWidth="1"/>
    <col min="5898" max="6144" width="9.140625" style="409"/>
    <col min="6145" max="6145" width="4.28515625" style="409" customWidth="1"/>
    <col min="6146" max="6146" width="8.7109375" style="409" customWidth="1"/>
    <col min="6147" max="6147" width="5.5703125" style="409" customWidth="1"/>
    <col min="6148" max="6148" width="10.140625" style="409" customWidth="1"/>
    <col min="6149" max="6149" width="10.42578125" style="409" customWidth="1"/>
    <col min="6150" max="6150" width="10.28515625" style="409" customWidth="1"/>
    <col min="6151" max="6151" width="14" style="409" customWidth="1"/>
    <col min="6152" max="6152" width="14.28515625" style="409" customWidth="1"/>
    <col min="6153" max="6153" width="11.28515625" style="409" customWidth="1"/>
    <col min="6154" max="6400" width="9.140625" style="409"/>
    <col min="6401" max="6401" width="4.28515625" style="409" customWidth="1"/>
    <col min="6402" max="6402" width="8.7109375" style="409" customWidth="1"/>
    <col min="6403" max="6403" width="5.5703125" style="409" customWidth="1"/>
    <col min="6404" max="6404" width="10.140625" style="409" customWidth="1"/>
    <col min="6405" max="6405" width="10.42578125" style="409" customWidth="1"/>
    <col min="6406" max="6406" width="10.28515625" style="409" customWidth="1"/>
    <col min="6407" max="6407" width="14" style="409" customWidth="1"/>
    <col min="6408" max="6408" width="14.28515625" style="409" customWidth="1"/>
    <col min="6409" max="6409" width="11.28515625" style="409" customWidth="1"/>
    <col min="6410" max="6656" width="9.140625" style="409"/>
    <col min="6657" max="6657" width="4.28515625" style="409" customWidth="1"/>
    <col min="6658" max="6658" width="8.7109375" style="409" customWidth="1"/>
    <col min="6659" max="6659" width="5.5703125" style="409" customWidth="1"/>
    <col min="6660" max="6660" width="10.140625" style="409" customWidth="1"/>
    <col min="6661" max="6661" width="10.42578125" style="409" customWidth="1"/>
    <col min="6662" max="6662" width="10.28515625" style="409" customWidth="1"/>
    <col min="6663" max="6663" width="14" style="409" customWidth="1"/>
    <col min="6664" max="6664" width="14.28515625" style="409" customWidth="1"/>
    <col min="6665" max="6665" width="11.28515625" style="409" customWidth="1"/>
    <col min="6666" max="6912" width="9.140625" style="409"/>
    <col min="6913" max="6913" width="4.28515625" style="409" customWidth="1"/>
    <col min="6914" max="6914" width="8.7109375" style="409" customWidth="1"/>
    <col min="6915" max="6915" width="5.5703125" style="409" customWidth="1"/>
    <col min="6916" max="6916" width="10.140625" style="409" customWidth="1"/>
    <col min="6917" max="6917" width="10.42578125" style="409" customWidth="1"/>
    <col min="6918" max="6918" width="10.28515625" style="409" customWidth="1"/>
    <col min="6919" max="6919" width="14" style="409" customWidth="1"/>
    <col min="6920" max="6920" width="14.28515625" style="409" customWidth="1"/>
    <col min="6921" max="6921" width="11.28515625" style="409" customWidth="1"/>
    <col min="6922" max="7168" width="9.140625" style="409"/>
    <col min="7169" max="7169" width="4.28515625" style="409" customWidth="1"/>
    <col min="7170" max="7170" width="8.7109375" style="409" customWidth="1"/>
    <col min="7171" max="7171" width="5.5703125" style="409" customWidth="1"/>
    <col min="7172" max="7172" width="10.140625" style="409" customWidth="1"/>
    <col min="7173" max="7173" width="10.42578125" style="409" customWidth="1"/>
    <col min="7174" max="7174" width="10.28515625" style="409" customWidth="1"/>
    <col min="7175" max="7175" width="14" style="409" customWidth="1"/>
    <col min="7176" max="7176" width="14.28515625" style="409" customWidth="1"/>
    <col min="7177" max="7177" width="11.28515625" style="409" customWidth="1"/>
    <col min="7178" max="7424" width="9.140625" style="409"/>
    <col min="7425" max="7425" width="4.28515625" style="409" customWidth="1"/>
    <col min="7426" max="7426" width="8.7109375" style="409" customWidth="1"/>
    <col min="7427" max="7427" width="5.5703125" style="409" customWidth="1"/>
    <col min="7428" max="7428" width="10.140625" style="409" customWidth="1"/>
    <col min="7429" max="7429" width="10.42578125" style="409" customWidth="1"/>
    <col min="7430" max="7430" width="10.28515625" style="409" customWidth="1"/>
    <col min="7431" max="7431" width="14" style="409" customWidth="1"/>
    <col min="7432" max="7432" width="14.28515625" style="409" customWidth="1"/>
    <col min="7433" max="7433" width="11.28515625" style="409" customWidth="1"/>
    <col min="7434" max="7680" width="9.140625" style="409"/>
    <col min="7681" max="7681" width="4.28515625" style="409" customWidth="1"/>
    <col min="7682" max="7682" width="8.7109375" style="409" customWidth="1"/>
    <col min="7683" max="7683" width="5.5703125" style="409" customWidth="1"/>
    <col min="7684" max="7684" width="10.140625" style="409" customWidth="1"/>
    <col min="7685" max="7685" width="10.42578125" style="409" customWidth="1"/>
    <col min="7686" max="7686" width="10.28515625" style="409" customWidth="1"/>
    <col min="7687" max="7687" width="14" style="409" customWidth="1"/>
    <col min="7688" max="7688" width="14.28515625" style="409" customWidth="1"/>
    <col min="7689" max="7689" width="11.28515625" style="409" customWidth="1"/>
    <col min="7690" max="7936" width="9.140625" style="409"/>
    <col min="7937" max="7937" width="4.28515625" style="409" customWidth="1"/>
    <col min="7938" max="7938" width="8.7109375" style="409" customWidth="1"/>
    <col min="7939" max="7939" width="5.5703125" style="409" customWidth="1"/>
    <col min="7940" max="7940" width="10.140625" style="409" customWidth="1"/>
    <col min="7941" max="7941" width="10.42578125" style="409" customWidth="1"/>
    <col min="7942" max="7942" width="10.28515625" style="409" customWidth="1"/>
    <col min="7943" max="7943" width="14" style="409" customWidth="1"/>
    <col min="7944" max="7944" width="14.28515625" style="409" customWidth="1"/>
    <col min="7945" max="7945" width="11.28515625" style="409" customWidth="1"/>
    <col min="7946" max="8192" width="9.140625" style="409"/>
    <col min="8193" max="8193" width="4.28515625" style="409" customWidth="1"/>
    <col min="8194" max="8194" width="8.7109375" style="409" customWidth="1"/>
    <col min="8195" max="8195" width="5.5703125" style="409" customWidth="1"/>
    <col min="8196" max="8196" width="10.140625" style="409" customWidth="1"/>
    <col min="8197" max="8197" width="10.42578125" style="409" customWidth="1"/>
    <col min="8198" max="8198" width="10.28515625" style="409" customWidth="1"/>
    <col min="8199" max="8199" width="14" style="409" customWidth="1"/>
    <col min="8200" max="8200" width="14.28515625" style="409" customWidth="1"/>
    <col min="8201" max="8201" width="11.28515625" style="409" customWidth="1"/>
    <col min="8202" max="8448" width="9.140625" style="409"/>
    <col min="8449" max="8449" width="4.28515625" style="409" customWidth="1"/>
    <col min="8450" max="8450" width="8.7109375" style="409" customWidth="1"/>
    <col min="8451" max="8451" width="5.5703125" style="409" customWidth="1"/>
    <col min="8452" max="8452" width="10.140625" style="409" customWidth="1"/>
    <col min="8453" max="8453" width="10.42578125" style="409" customWidth="1"/>
    <col min="8454" max="8454" width="10.28515625" style="409" customWidth="1"/>
    <col min="8455" max="8455" width="14" style="409" customWidth="1"/>
    <col min="8456" max="8456" width="14.28515625" style="409" customWidth="1"/>
    <col min="8457" max="8457" width="11.28515625" style="409" customWidth="1"/>
    <col min="8458" max="8704" width="9.140625" style="409"/>
    <col min="8705" max="8705" width="4.28515625" style="409" customWidth="1"/>
    <col min="8706" max="8706" width="8.7109375" style="409" customWidth="1"/>
    <col min="8707" max="8707" width="5.5703125" style="409" customWidth="1"/>
    <col min="8708" max="8708" width="10.140625" style="409" customWidth="1"/>
    <col min="8709" max="8709" width="10.42578125" style="409" customWidth="1"/>
    <col min="8710" max="8710" width="10.28515625" style="409" customWidth="1"/>
    <col min="8711" max="8711" width="14" style="409" customWidth="1"/>
    <col min="8712" max="8712" width="14.28515625" style="409" customWidth="1"/>
    <col min="8713" max="8713" width="11.28515625" style="409" customWidth="1"/>
    <col min="8714" max="8960" width="9.140625" style="409"/>
    <col min="8961" max="8961" width="4.28515625" style="409" customWidth="1"/>
    <col min="8962" max="8962" width="8.7109375" style="409" customWidth="1"/>
    <col min="8963" max="8963" width="5.5703125" style="409" customWidth="1"/>
    <col min="8964" max="8964" width="10.140625" style="409" customWidth="1"/>
    <col min="8965" max="8965" width="10.42578125" style="409" customWidth="1"/>
    <col min="8966" max="8966" width="10.28515625" style="409" customWidth="1"/>
    <col min="8967" max="8967" width="14" style="409" customWidth="1"/>
    <col min="8968" max="8968" width="14.28515625" style="409" customWidth="1"/>
    <col min="8969" max="8969" width="11.28515625" style="409" customWidth="1"/>
    <col min="8970" max="9216" width="9.140625" style="409"/>
    <col min="9217" max="9217" width="4.28515625" style="409" customWidth="1"/>
    <col min="9218" max="9218" width="8.7109375" style="409" customWidth="1"/>
    <col min="9219" max="9219" width="5.5703125" style="409" customWidth="1"/>
    <col min="9220" max="9220" width="10.140625" style="409" customWidth="1"/>
    <col min="9221" max="9221" width="10.42578125" style="409" customWidth="1"/>
    <col min="9222" max="9222" width="10.28515625" style="409" customWidth="1"/>
    <col min="9223" max="9223" width="14" style="409" customWidth="1"/>
    <col min="9224" max="9224" width="14.28515625" style="409" customWidth="1"/>
    <col min="9225" max="9225" width="11.28515625" style="409" customWidth="1"/>
    <col min="9226" max="9472" width="9.140625" style="409"/>
    <col min="9473" max="9473" width="4.28515625" style="409" customWidth="1"/>
    <col min="9474" max="9474" width="8.7109375" style="409" customWidth="1"/>
    <col min="9475" max="9475" width="5.5703125" style="409" customWidth="1"/>
    <col min="9476" max="9476" width="10.140625" style="409" customWidth="1"/>
    <col min="9477" max="9477" width="10.42578125" style="409" customWidth="1"/>
    <col min="9478" max="9478" width="10.28515625" style="409" customWidth="1"/>
    <col min="9479" max="9479" width="14" style="409" customWidth="1"/>
    <col min="9480" max="9480" width="14.28515625" style="409" customWidth="1"/>
    <col min="9481" max="9481" width="11.28515625" style="409" customWidth="1"/>
    <col min="9482" max="9728" width="9.140625" style="409"/>
    <col min="9729" max="9729" width="4.28515625" style="409" customWidth="1"/>
    <col min="9730" max="9730" width="8.7109375" style="409" customWidth="1"/>
    <col min="9731" max="9731" width="5.5703125" style="409" customWidth="1"/>
    <col min="9732" max="9732" width="10.140625" style="409" customWidth="1"/>
    <col min="9733" max="9733" width="10.42578125" style="409" customWidth="1"/>
    <col min="9734" max="9734" width="10.28515625" style="409" customWidth="1"/>
    <col min="9735" max="9735" width="14" style="409" customWidth="1"/>
    <col min="9736" max="9736" width="14.28515625" style="409" customWidth="1"/>
    <col min="9737" max="9737" width="11.28515625" style="409" customWidth="1"/>
    <col min="9738" max="9984" width="9.140625" style="409"/>
    <col min="9985" max="9985" width="4.28515625" style="409" customWidth="1"/>
    <col min="9986" max="9986" width="8.7109375" style="409" customWidth="1"/>
    <col min="9987" max="9987" width="5.5703125" style="409" customWidth="1"/>
    <col min="9988" max="9988" width="10.140625" style="409" customWidth="1"/>
    <col min="9989" max="9989" width="10.42578125" style="409" customWidth="1"/>
    <col min="9990" max="9990" width="10.28515625" style="409" customWidth="1"/>
    <col min="9991" max="9991" width="14" style="409" customWidth="1"/>
    <col min="9992" max="9992" width="14.28515625" style="409" customWidth="1"/>
    <col min="9993" max="9993" width="11.28515625" style="409" customWidth="1"/>
    <col min="9994" max="10240" width="9.140625" style="409"/>
    <col min="10241" max="10241" width="4.28515625" style="409" customWidth="1"/>
    <col min="10242" max="10242" width="8.7109375" style="409" customWidth="1"/>
    <col min="10243" max="10243" width="5.5703125" style="409" customWidth="1"/>
    <col min="10244" max="10244" width="10.140625" style="409" customWidth="1"/>
    <col min="10245" max="10245" width="10.42578125" style="409" customWidth="1"/>
    <col min="10246" max="10246" width="10.28515625" style="409" customWidth="1"/>
    <col min="10247" max="10247" width="14" style="409" customWidth="1"/>
    <col min="10248" max="10248" width="14.28515625" style="409" customWidth="1"/>
    <col min="10249" max="10249" width="11.28515625" style="409" customWidth="1"/>
    <col min="10250" max="10496" width="9.140625" style="409"/>
    <col min="10497" max="10497" width="4.28515625" style="409" customWidth="1"/>
    <col min="10498" max="10498" width="8.7109375" style="409" customWidth="1"/>
    <col min="10499" max="10499" width="5.5703125" style="409" customWidth="1"/>
    <col min="10500" max="10500" width="10.140625" style="409" customWidth="1"/>
    <col min="10501" max="10501" width="10.42578125" style="409" customWidth="1"/>
    <col min="10502" max="10502" width="10.28515625" style="409" customWidth="1"/>
    <col min="10503" max="10503" width="14" style="409" customWidth="1"/>
    <col min="10504" max="10504" width="14.28515625" style="409" customWidth="1"/>
    <col min="10505" max="10505" width="11.28515625" style="409" customWidth="1"/>
    <col min="10506" max="10752" width="9.140625" style="409"/>
    <col min="10753" max="10753" width="4.28515625" style="409" customWidth="1"/>
    <col min="10754" max="10754" width="8.7109375" style="409" customWidth="1"/>
    <col min="10755" max="10755" width="5.5703125" style="409" customWidth="1"/>
    <col min="10756" max="10756" width="10.140625" style="409" customWidth="1"/>
    <col min="10757" max="10757" width="10.42578125" style="409" customWidth="1"/>
    <col min="10758" max="10758" width="10.28515625" style="409" customWidth="1"/>
    <col min="10759" max="10759" width="14" style="409" customWidth="1"/>
    <col min="10760" max="10760" width="14.28515625" style="409" customWidth="1"/>
    <col min="10761" max="10761" width="11.28515625" style="409" customWidth="1"/>
    <col min="10762" max="11008" width="9.140625" style="409"/>
    <col min="11009" max="11009" width="4.28515625" style="409" customWidth="1"/>
    <col min="11010" max="11010" width="8.7109375" style="409" customWidth="1"/>
    <col min="11011" max="11011" width="5.5703125" style="409" customWidth="1"/>
    <col min="11012" max="11012" width="10.140625" style="409" customWidth="1"/>
    <col min="11013" max="11013" width="10.42578125" style="409" customWidth="1"/>
    <col min="11014" max="11014" width="10.28515625" style="409" customWidth="1"/>
    <col min="11015" max="11015" width="14" style="409" customWidth="1"/>
    <col min="11016" max="11016" width="14.28515625" style="409" customWidth="1"/>
    <col min="11017" max="11017" width="11.28515625" style="409" customWidth="1"/>
    <col min="11018" max="11264" width="9.140625" style="409"/>
    <col min="11265" max="11265" width="4.28515625" style="409" customWidth="1"/>
    <col min="11266" max="11266" width="8.7109375" style="409" customWidth="1"/>
    <col min="11267" max="11267" width="5.5703125" style="409" customWidth="1"/>
    <col min="11268" max="11268" width="10.140625" style="409" customWidth="1"/>
    <col min="11269" max="11269" width="10.42578125" style="409" customWidth="1"/>
    <col min="11270" max="11270" width="10.28515625" style="409" customWidth="1"/>
    <col min="11271" max="11271" width="14" style="409" customWidth="1"/>
    <col min="11272" max="11272" width="14.28515625" style="409" customWidth="1"/>
    <col min="11273" max="11273" width="11.28515625" style="409" customWidth="1"/>
    <col min="11274" max="11520" width="9.140625" style="409"/>
    <col min="11521" max="11521" width="4.28515625" style="409" customWidth="1"/>
    <col min="11522" max="11522" width="8.7109375" style="409" customWidth="1"/>
    <col min="11523" max="11523" width="5.5703125" style="409" customWidth="1"/>
    <col min="11524" max="11524" width="10.140625" style="409" customWidth="1"/>
    <col min="11525" max="11525" width="10.42578125" style="409" customWidth="1"/>
    <col min="11526" max="11526" width="10.28515625" style="409" customWidth="1"/>
    <col min="11527" max="11527" width="14" style="409" customWidth="1"/>
    <col min="11528" max="11528" width="14.28515625" style="409" customWidth="1"/>
    <col min="11529" max="11529" width="11.28515625" style="409" customWidth="1"/>
    <col min="11530" max="11776" width="9.140625" style="409"/>
    <col min="11777" max="11777" width="4.28515625" style="409" customWidth="1"/>
    <col min="11778" max="11778" width="8.7109375" style="409" customWidth="1"/>
    <col min="11779" max="11779" width="5.5703125" style="409" customWidth="1"/>
    <col min="11780" max="11780" width="10.140625" style="409" customWidth="1"/>
    <col min="11781" max="11781" width="10.42578125" style="409" customWidth="1"/>
    <col min="11782" max="11782" width="10.28515625" style="409" customWidth="1"/>
    <col min="11783" max="11783" width="14" style="409" customWidth="1"/>
    <col min="11784" max="11784" width="14.28515625" style="409" customWidth="1"/>
    <col min="11785" max="11785" width="11.28515625" style="409" customWidth="1"/>
    <col min="11786" max="12032" width="9.140625" style="409"/>
    <col min="12033" max="12033" width="4.28515625" style="409" customWidth="1"/>
    <col min="12034" max="12034" width="8.7109375" style="409" customWidth="1"/>
    <col min="12035" max="12035" width="5.5703125" style="409" customWidth="1"/>
    <col min="12036" max="12036" width="10.140625" style="409" customWidth="1"/>
    <col min="12037" max="12037" width="10.42578125" style="409" customWidth="1"/>
    <col min="12038" max="12038" width="10.28515625" style="409" customWidth="1"/>
    <col min="12039" max="12039" width="14" style="409" customWidth="1"/>
    <col min="12040" max="12040" width="14.28515625" style="409" customWidth="1"/>
    <col min="12041" max="12041" width="11.28515625" style="409" customWidth="1"/>
    <col min="12042" max="12288" width="9.140625" style="409"/>
    <col min="12289" max="12289" width="4.28515625" style="409" customWidth="1"/>
    <col min="12290" max="12290" width="8.7109375" style="409" customWidth="1"/>
    <col min="12291" max="12291" width="5.5703125" style="409" customWidth="1"/>
    <col min="12292" max="12292" width="10.140625" style="409" customWidth="1"/>
    <col min="12293" max="12293" width="10.42578125" style="409" customWidth="1"/>
    <col min="12294" max="12294" width="10.28515625" style="409" customWidth="1"/>
    <col min="12295" max="12295" width="14" style="409" customWidth="1"/>
    <col min="12296" max="12296" width="14.28515625" style="409" customWidth="1"/>
    <col min="12297" max="12297" width="11.28515625" style="409" customWidth="1"/>
    <col min="12298" max="12544" width="9.140625" style="409"/>
    <col min="12545" max="12545" width="4.28515625" style="409" customWidth="1"/>
    <col min="12546" max="12546" width="8.7109375" style="409" customWidth="1"/>
    <col min="12547" max="12547" width="5.5703125" style="409" customWidth="1"/>
    <col min="12548" max="12548" width="10.140625" style="409" customWidth="1"/>
    <col min="12549" max="12549" width="10.42578125" style="409" customWidth="1"/>
    <col min="12550" max="12550" width="10.28515625" style="409" customWidth="1"/>
    <col min="12551" max="12551" width="14" style="409" customWidth="1"/>
    <col min="12552" max="12552" width="14.28515625" style="409" customWidth="1"/>
    <col min="12553" max="12553" width="11.28515625" style="409" customWidth="1"/>
    <col min="12554" max="12800" width="9.140625" style="409"/>
    <col min="12801" max="12801" width="4.28515625" style="409" customWidth="1"/>
    <col min="12802" max="12802" width="8.7109375" style="409" customWidth="1"/>
    <col min="12803" max="12803" width="5.5703125" style="409" customWidth="1"/>
    <col min="12804" max="12804" width="10.140625" style="409" customWidth="1"/>
    <col min="12805" max="12805" width="10.42578125" style="409" customWidth="1"/>
    <col min="12806" max="12806" width="10.28515625" style="409" customWidth="1"/>
    <col min="12807" max="12807" width="14" style="409" customWidth="1"/>
    <col min="12808" max="12808" width="14.28515625" style="409" customWidth="1"/>
    <col min="12809" max="12809" width="11.28515625" style="409" customWidth="1"/>
    <col min="12810" max="13056" width="9.140625" style="409"/>
    <col min="13057" max="13057" width="4.28515625" style="409" customWidth="1"/>
    <col min="13058" max="13058" width="8.7109375" style="409" customWidth="1"/>
    <col min="13059" max="13059" width="5.5703125" style="409" customWidth="1"/>
    <col min="13060" max="13060" width="10.140625" style="409" customWidth="1"/>
    <col min="13061" max="13061" width="10.42578125" style="409" customWidth="1"/>
    <col min="13062" max="13062" width="10.28515625" style="409" customWidth="1"/>
    <col min="13063" max="13063" width="14" style="409" customWidth="1"/>
    <col min="13064" max="13064" width="14.28515625" style="409" customWidth="1"/>
    <col min="13065" max="13065" width="11.28515625" style="409" customWidth="1"/>
    <col min="13066" max="13312" width="9.140625" style="409"/>
    <col min="13313" max="13313" width="4.28515625" style="409" customWidth="1"/>
    <col min="13314" max="13314" width="8.7109375" style="409" customWidth="1"/>
    <col min="13315" max="13315" width="5.5703125" style="409" customWidth="1"/>
    <col min="13316" max="13316" width="10.140625" style="409" customWidth="1"/>
    <col min="13317" max="13317" width="10.42578125" style="409" customWidth="1"/>
    <col min="13318" max="13318" width="10.28515625" style="409" customWidth="1"/>
    <col min="13319" max="13319" width="14" style="409" customWidth="1"/>
    <col min="13320" max="13320" width="14.28515625" style="409" customWidth="1"/>
    <col min="13321" max="13321" width="11.28515625" style="409" customWidth="1"/>
    <col min="13322" max="13568" width="9.140625" style="409"/>
    <col min="13569" max="13569" width="4.28515625" style="409" customWidth="1"/>
    <col min="13570" max="13570" width="8.7109375" style="409" customWidth="1"/>
    <col min="13571" max="13571" width="5.5703125" style="409" customWidth="1"/>
    <col min="13572" max="13572" width="10.140625" style="409" customWidth="1"/>
    <col min="13573" max="13573" width="10.42578125" style="409" customWidth="1"/>
    <col min="13574" max="13574" width="10.28515625" style="409" customWidth="1"/>
    <col min="13575" max="13575" width="14" style="409" customWidth="1"/>
    <col min="13576" max="13576" width="14.28515625" style="409" customWidth="1"/>
    <col min="13577" max="13577" width="11.28515625" style="409" customWidth="1"/>
    <col min="13578" max="13824" width="9.140625" style="409"/>
    <col min="13825" max="13825" width="4.28515625" style="409" customWidth="1"/>
    <col min="13826" max="13826" width="8.7109375" style="409" customWidth="1"/>
    <col min="13827" max="13827" width="5.5703125" style="409" customWidth="1"/>
    <col min="13828" max="13828" width="10.140625" style="409" customWidth="1"/>
    <col min="13829" max="13829" width="10.42578125" style="409" customWidth="1"/>
    <col min="13830" max="13830" width="10.28515625" style="409" customWidth="1"/>
    <col min="13831" max="13831" width="14" style="409" customWidth="1"/>
    <col min="13832" max="13832" width="14.28515625" style="409" customWidth="1"/>
    <col min="13833" max="13833" width="11.28515625" style="409" customWidth="1"/>
    <col min="13834" max="14080" width="9.140625" style="409"/>
    <col min="14081" max="14081" width="4.28515625" style="409" customWidth="1"/>
    <col min="14082" max="14082" width="8.7109375" style="409" customWidth="1"/>
    <col min="14083" max="14083" width="5.5703125" style="409" customWidth="1"/>
    <col min="14084" max="14084" width="10.140625" style="409" customWidth="1"/>
    <col min="14085" max="14085" width="10.42578125" style="409" customWidth="1"/>
    <col min="14086" max="14086" width="10.28515625" style="409" customWidth="1"/>
    <col min="14087" max="14087" width="14" style="409" customWidth="1"/>
    <col min="14088" max="14088" width="14.28515625" style="409" customWidth="1"/>
    <col min="14089" max="14089" width="11.28515625" style="409" customWidth="1"/>
    <col min="14090" max="14336" width="9.140625" style="409"/>
    <col min="14337" max="14337" width="4.28515625" style="409" customWidth="1"/>
    <col min="14338" max="14338" width="8.7109375" style="409" customWidth="1"/>
    <col min="14339" max="14339" width="5.5703125" style="409" customWidth="1"/>
    <col min="14340" max="14340" width="10.140625" style="409" customWidth="1"/>
    <col min="14341" max="14341" width="10.42578125" style="409" customWidth="1"/>
    <col min="14342" max="14342" width="10.28515625" style="409" customWidth="1"/>
    <col min="14343" max="14343" width="14" style="409" customWidth="1"/>
    <col min="14344" max="14344" width="14.28515625" style="409" customWidth="1"/>
    <col min="14345" max="14345" width="11.28515625" style="409" customWidth="1"/>
    <col min="14346" max="14592" width="9.140625" style="409"/>
    <col min="14593" max="14593" width="4.28515625" style="409" customWidth="1"/>
    <col min="14594" max="14594" width="8.7109375" style="409" customWidth="1"/>
    <col min="14595" max="14595" width="5.5703125" style="409" customWidth="1"/>
    <col min="14596" max="14596" width="10.140625" style="409" customWidth="1"/>
    <col min="14597" max="14597" width="10.42578125" style="409" customWidth="1"/>
    <col min="14598" max="14598" width="10.28515625" style="409" customWidth="1"/>
    <col min="14599" max="14599" width="14" style="409" customWidth="1"/>
    <col min="14600" max="14600" width="14.28515625" style="409" customWidth="1"/>
    <col min="14601" max="14601" width="11.28515625" style="409" customWidth="1"/>
    <col min="14602" max="14848" width="9.140625" style="409"/>
    <col min="14849" max="14849" width="4.28515625" style="409" customWidth="1"/>
    <col min="14850" max="14850" width="8.7109375" style="409" customWidth="1"/>
    <col min="14851" max="14851" width="5.5703125" style="409" customWidth="1"/>
    <col min="14852" max="14852" width="10.140625" style="409" customWidth="1"/>
    <col min="14853" max="14853" width="10.42578125" style="409" customWidth="1"/>
    <col min="14854" max="14854" width="10.28515625" style="409" customWidth="1"/>
    <col min="14855" max="14855" width="14" style="409" customWidth="1"/>
    <col min="14856" max="14856" width="14.28515625" style="409" customWidth="1"/>
    <col min="14857" max="14857" width="11.28515625" style="409" customWidth="1"/>
    <col min="14858" max="15104" width="9.140625" style="409"/>
    <col min="15105" max="15105" width="4.28515625" style="409" customWidth="1"/>
    <col min="15106" max="15106" width="8.7109375" style="409" customWidth="1"/>
    <col min="15107" max="15107" width="5.5703125" style="409" customWidth="1"/>
    <col min="15108" max="15108" width="10.140625" style="409" customWidth="1"/>
    <col min="15109" max="15109" width="10.42578125" style="409" customWidth="1"/>
    <col min="15110" max="15110" width="10.28515625" style="409" customWidth="1"/>
    <col min="15111" max="15111" width="14" style="409" customWidth="1"/>
    <col min="15112" max="15112" width="14.28515625" style="409" customWidth="1"/>
    <col min="15113" max="15113" width="11.28515625" style="409" customWidth="1"/>
    <col min="15114" max="15360" width="9.140625" style="409"/>
    <col min="15361" max="15361" width="4.28515625" style="409" customWidth="1"/>
    <col min="15362" max="15362" width="8.7109375" style="409" customWidth="1"/>
    <col min="15363" max="15363" width="5.5703125" style="409" customWidth="1"/>
    <col min="15364" max="15364" width="10.140625" style="409" customWidth="1"/>
    <col min="15365" max="15365" width="10.42578125" style="409" customWidth="1"/>
    <col min="15366" max="15366" width="10.28515625" style="409" customWidth="1"/>
    <col min="15367" max="15367" width="14" style="409" customWidth="1"/>
    <col min="15368" max="15368" width="14.28515625" style="409" customWidth="1"/>
    <col min="15369" max="15369" width="11.28515625" style="409" customWidth="1"/>
    <col min="15370" max="15616" width="9.140625" style="409"/>
    <col min="15617" max="15617" width="4.28515625" style="409" customWidth="1"/>
    <col min="15618" max="15618" width="8.7109375" style="409" customWidth="1"/>
    <col min="15619" max="15619" width="5.5703125" style="409" customWidth="1"/>
    <col min="15620" max="15620" width="10.140625" style="409" customWidth="1"/>
    <col min="15621" max="15621" width="10.42578125" style="409" customWidth="1"/>
    <col min="15622" max="15622" width="10.28515625" style="409" customWidth="1"/>
    <col min="15623" max="15623" width="14" style="409" customWidth="1"/>
    <col min="15624" max="15624" width="14.28515625" style="409" customWidth="1"/>
    <col min="15625" max="15625" width="11.28515625" style="409" customWidth="1"/>
    <col min="15626" max="15872" width="9.140625" style="409"/>
    <col min="15873" max="15873" width="4.28515625" style="409" customWidth="1"/>
    <col min="15874" max="15874" width="8.7109375" style="409" customWidth="1"/>
    <col min="15875" max="15875" width="5.5703125" style="409" customWidth="1"/>
    <col min="15876" max="15876" width="10.140625" style="409" customWidth="1"/>
    <col min="15877" max="15877" width="10.42578125" style="409" customWidth="1"/>
    <col min="15878" max="15878" width="10.28515625" style="409" customWidth="1"/>
    <col min="15879" max="15879" width="14" style="409" customWidth="1"/>
    <col min="15880" max="15880" width="14.28515625" style="409" customWidth="1"/>
    <col min="15881" max="15881" width="11.28515625" style="409" customWidth="1"/>
    <col min="15882" max="16128" width="9.140625" style="409"/>
    <col min="16129" max="16129" width="4.28515625" style="409" customWidth="1"/>
    <col min="16130" max="16130" width="8.7109375" style="409" customWidth="1"/>
    <col min="16131" max="16131" width="5.5703125" style="409" customWidth="1"/>
    <col min="16132" max="16132" width="10.140625" style="409" customWidth="1"/>
    <col min="16133" max="16133" width="10.42578125" style="409" customWidth="1"/>
    <col min="16134" max="16134" width="10.28515625" style="409" customWidth="1"/>
    <col min="16135" max="16135" width="14" style="409" customWidth="1"/>
    <col min="16136" max="16136" width="14.28515625" style="409" customWidth="1"/>
    <col min="16137" max="16137" width="11.28515625" style="409" customWidth="1"/>
    <col min="16138" max="16384" width="9.140625" style="409"/>
  </cols>
  <sheetData>
    <row r="1" spans="1:9" x14ac:dyDescent="0.2">
      <c r="G1" s="154"/>
      <c r="H1" s="154" t="s">
        <v>154</v>
      </c>
    </row>
    <row r="2" spans="1:9" x14ac:dyDescent="0.2">
      <c r="G2" s="154"/>
      <c r="H2" s="4" t="s">
        <v>264</v>
      </c>
    </row>
    <row r="3" spans="1:9" x14ac:dyDescent="0.2">
      <c r="G3" s="154"/>
      <c r="H3" s="4" t="s">
        <v>1</v>
      </c>
    </row>
    <row r="4" spans="1:9" x14ac:dyDescent="0.2">
      <c r="G4" s="154"/>
      <c r="H4" s="4" t="s">
        <v>265</v>
      </c>
    </row>
    <row r="5" spans="1:9" x14ac:dyDescent="0.2">
      <c r="H5" s="155"/>
    </row>
    <row r="7" spans="1:9" ht="35.25" customHeight="1" x14ac:dyDescent="0.2">
      <c r="A7" s="156" t="s">
        <v>158</v>
      </c>
      <c r="B7" s="156"/>
      <c r="C7" s="156"/>
      <c r="D7" s="156"/>
      <c r="E7" s="156"/>
      <c r="F7" s="156"/>
      <c r="G7" s="156"/>
      <c r="H7" s="156"/>
      <c r="I7" s="156"/>
    </row>
    <row r="8" spans="1:9" ht="18" customHeight="1" x14ac:dyDescent="0.2">
      <c r="A8" s="157"/>
      <c r="B8" s="157"/>
      <c r="C8" s="157"/>
      <c r="D8" s="157"/>
      <c r="E8" s="157"/>
      <c r="F8" s="157"/>
      <c r="G8" s="157"/>
      <c r="H8" s="157"/>
      <c r="I8" s="157"/>
    </row>
    <row r="9" spans="1:9" ht="13.5" customHeight="1" x14ac:dyDescent="0.2">
      <c r="I9" s="158" t="s">
        <v>3</v>
      </c>
    </row>
    <row r="10" spans="1:9" ht="13.5" customHeight="1" x14ac:dyDescent="0.2">
      <c r="A10" s="159"/>
      <c r="B10" s="159"/>
      <c r="C10" s="159"/>
      <c r="D10" s="160"/>
      <c r="E10" s="160"/>
      <c r="F10" s="161" t="s">
        <v>159</v>
      </c>
      <c r="G10" s="162"/>
      <c r="H10" s="162"/>
      <c r="I10" s="163"/>
    </row>
    <row r="11" spans="1:9" ht="33.75" customHeight="1" x14ac:dyDescent="0.2">
      <c r="A11" s="164" t="s">
        <v>126</v>
      </c>
      <c r="B11" s="164" t="s">
        <v>127</v>
      </c>
      <c r="C11" s="164" t="s">
        <v>7</v>
      </c>
      <c r="D11" s="165" t="s">
        <v>160</v>
      </c>
      <c r="E11" s="165" t="s">
        <v>161</v>
      </c>
      <c r="F11" s="160"/>
      <c r="G11" s="161" t="s">
        <v>155</v>
      </c>
      <c r="H11" s="163"/>
      <c r="I11" s="160"/>
    </row>
    <row r="12" spans="1:9" ht="39.75" customHeight="1" x14ac:dyDescent="0.2">
      <c r="A12" s="166"/>
      <c r="B12" s="166"/>
      <c r="C12" s="166"/>
      <c r="D12" s="166"/>
      <c r="E12" s="167"/>
      <c r="F12" s="168" t="s">
        <v>162</v>
      </c>
      <c r="G12" s="169" t="s">
        <v>163</v>
      </c>
      <c r="H12" s="169" t="s">
        <v>164</v>
      </c>
      <c r="I12" s="168" t="s">
        <v>165</v>
      </c>
    </row>
    <row r="13" spans="1:9" ht="10.5" customHeight="1" x14ac:dyDescent="0.2">
      <c r="A13" s="170">
        <v>1</v>
      </c>
      <c r="B13" s="170">
        <v>2</v>
      </c>
      <c r="C13" s="170">
        <v>3</v>
      </c>
      <c r="D13" s="170">
        <v>4</v>
      </c>
      <c r="E13" s="170">
        <v>5</v>
      </c>
      <c r="F13" s="170">
        <v>6</v>
      </c>
      <c r="G13" s="170">
        <v>7</v>
      </c>
      <c r="H13" s="170">
        <v>8</v>
      </c>
      <c r="I13" s="170">
        <v>9</v>
      </c>
    </row>
    <row r="14" spans="1:9" ht="20.25" customHeight="1" x14ac:dyDescent="0.2">
      <c r="A14" s="411">
        <v>710</v>
      </c>
      <c r="B14" s="411">
        <v>71035</v>
      </c>
      <c r="C14" s="411">
        <v>2020</v>
      </c>
      <c r="D14" s="412">
        <v>9000</v>
      </c>
      <c r="E14" s="412">
        <f t="shared" ref="E14:E19" si="0">SUM(F14,I14)</f>
        <v>9000</v>
      </c>
      <c r="F14" s="412">
        <v>9000</v>
      </c>
      <c r="G14" s="412">
        <v>0</v>
      </c>
      <c r="H14" s="412">
        <v>0</v>
      </c>
      <c r="I14" s="412">
        <v>0</v>
      </c>
    </row>
    <row r="15" spans="1:9" ht="20.25" customHeight="1" x14ac:dyDescent="0.2">
      <c r="A15" s="411">
        <v>750</v>
      </c>
      <c r="B15" s="411">
        <v>75045</v>
      </c>
      <c r="C15" s="413">
        <v>2120</v>
      </c>
      <c r="D15" s="414">
        <f>25400+3340+960</f>
        <v>29700</v>
      </c>
      <c r="E15" s="412">
        <f t="shared" si="0"/>
        <v>29700</v>
      </c>
      <c r="F15" s="412">
        <f>25400+3340+960</f>
        <v>29700</v>
      </c>
      <c r="G15" s="412">
        <f>25400+3340-6600+960</f>
        <v>23100</v>
      </c>
      <c r="H15" s="412">
        <v>0</v>
      </c>
      <c r="I15" s="412">
        <v>0</v>
      </c>
    </row>
    <row r="16" spans="1:9" ht="20.25" customHeight="1" x14ac:dyDescent="0.2">
      <c r="A16" s="411">
        <v>754</v>
      </c>
      <c r="B16" s="411">
        <v>75421</v>
      </c>
      <c r="C16" s="413">
        <v>2020</v>
      </c>
      <c r="D16" s="414">
        <f>414000-342000</f>
        <v>72000</v>
      </c>
      <c r="E16" s="412">
        <f t="shared" si="0"/>
        <v>72000</v>
      </c>
      <c r="F16" s="412">
        <f>414000-342000</f>
        <v>72000</v>
      </c>
      <c r="G16" s="412">
        <v>0</v>
      </c>
      <c r="H16" s="412">
        <v>0</v>
      </c>
      <c r="I16" s="412">
        <v>0</v>
      </c>
    </row>
    <row r="17" spans="1:11" ht="20.25" customHeight="1" x14ac:dyDescent="0.2">
      <c r="A17" s="411">
        <v>801</v>
      </c>
      <c r="B17" s="411">
        <v>80146</v>
      </c>
      <c r="C17" s="413">
        <v>2020</v>
      </c>
      <c r="D17" s="414">
        <v>13423</v>
      </c>
      <c r="E17" s="412">
        <f t="shared" si="0"/>
        <v>13423</v>
      </c>
      <c r="F17" s="412">
        <v>13423</v>
      </c>
      <c r="G17" s="412">
        <v>13423</v>
      </c>
      <c r="H17" s="412">
        <v>0</v>
      </c>
      <c r="I17" s="412">
        <v>0</v>
      </c>
      <c r="K17" s="250"/>
    </row>
    <row r="18" spans="1:11" ht="20.25" customHeight="1" x14ac:dyDescent="0.2">
      <c r="A18" s="411">
        <v>801</v>
      </c>
      <c r="B18" s="411">
        <v>80146</v>
      </c>
      <c r="C18" s="413">
        <v>2120</v>
      </c>
      <c r="D18" s="414">
        <f>186000+116810</f>
        <v>302810</v>
      </c>
      <c r="E18" s="412">
        <f t="shared" si="0"/>
        <v>302810</v>
      </c>
      <c r="F18" s="412">
        <f>186000+116810</f>
        <v>302810</v>
      </c>
      <c r="G18" s="412">
        <f>178933+109204-1115</f>
        <v>287022</v>
      </c>
      <c r="H18" s="412">
        <f>1115</f>
        <v>1115</v>
      </c>
      <c r="I18" s="412">
        <v>0</v>
      </c>
    </row>
    <row r="19" spans="1:11" ht="20.25" customHeight="1" x14ac:dyDescent="0.2">
      <c r="A19" s="411">
        <v>801</v>
      </c>
      <c r="B19" s="411">
        <v>80195</v>
      </c>
      <c r="C19" s="413">
        <v>2120</v>
      </c>
      <c r="D19" s="414">
        <v>351450</v>
      </c>
      <c r="E19" s="412">
        <f t="shared" si="0"/>
        <v>351450</v>
      </c>
      <c r="F19" s="412">
        <v>351450</v>
      </c>
      <c r="G19" s="412">
        <v>319500</v>
      </c>
      <c r="H19" s="412">
        <v>0</v>
      </c>
      <c r="I19" s="412">
        <v>0</v>
      </c>
    </row>
    <row r="20" spans="1:11" ht="23.25" customHeight="1" x14ac:dyDescent="0.2">
      <c r="A20" s="415" t="s">
        <v>166</v>
      </c>
      <c r="B20" s="416"/>
      <c r="C20" s="417"/>
      <c r="D20" s="418">
        <f t="shared" ref="D20:I20" si="1">SUM(D14:D19)</f>
        <v>778383</v>
      </c>
      <c r="E20" s="418">
        <f t="shared" si="1"/>
        <v>778383</v>
      </c>
      <c r="F20" s="418">
        <f t="shared" si="1"/>
        <v>778383</v>
      </c>
      <c r="G20" s="418">
        <f t="shared" si="1"/>
        <v>643045</v>
      </c>
      <c r="H20" s="418">
        <f t="shared" si="1"/>
        <v>1115</v>
      </c>
      <c r="I20" s="418">
        <f t="shared" si="1"/>
        <v>0</v>
      </c>
    </row>
    <row r="21" spans="1:11" ht="12" customHeight="1" x14ac:dyDescent="0.2"/>
  </sheetData>
  <pageMargins left="0.51181102362204722" right="0.51181102362204722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393170-84C9-4F14-B196-EB5186927203}">
  <dimension ref="A1:G167"/>
  <sheetViews>
    <sheetView zoomScale="120" zoomScaleNormal="120" workbookViewId="0"/>
  </sheetViews>
  <sheetFormatPr defaultColWidth="4" defaultRowHeight="12.75" x14ac:dyDescent="0.2"/>
  <cols>
    <col min="1" max="1" width="4" style="419"/>
    <col min="2" max="2" width="5.7109375" style="419" customWidth="1"/>
    <col min="3" max="3" width="8.42578125" style="419" customWidth="1"/>
    <col min="4" max="4" width="49.140625" style="419" customWidth="1"/>
    <col min="5" max="5" width="21.42578125" style="419" customWidth="1"/>
    <col min="6" max="6" width="9.140625" style="251" customWidth="1"/>
    <col min="7" max="7" width="12.28515625" style="254" customWidth="1"/>
    <col min="8" max="255" width="9.140625" style="419" customWidth="1"/>
    <col min="256" max="257" width="4" style="419"/>
    <col min="258" max="258" width="5.7109375" style="419" customWidth="1"/>
    <col min="259" max="259" width="8.42578125" style="419" customWidth="1"/>
    <col min="260" max="260" width="49.140625" style="419" customWidth="1"/>
    <col min="261" max="261" width="21.42578125" style="419" customWidth="1"/>
    <col min="262" max="262" width="9.140625" style="419" customWidth="1"/>
    <col min="263" max="263" width="12.28515625" style="419" customWidth="1"/>
    <col min="264" max="511" width="9.140625" style="419" customWidth="1"/>
    <col min="512" max="513" width="4" style="419"/>
    <col min="514" max="514" width="5.7109375" style="419" customWidth="1"/>
    <col min="515" max="515" width="8.42578125" style="419" customWidth="1"/>
    <col min="516" max="516" width="49.140625" style="419" customWidth="1"/>
    <col min="517" max="517" width="21.42578125" style="419" customWidth="1"/>
    <col min="518" max="518" width="9.140625" style="419" customWidth="1"/>
    <col min="519" max="519" width="12.28515625" style="419" customWidth="1"/>
    <col min="520" max="767" width="9.140625" style="419" customWidth="1"/>
    <col min="768" max="769" width="4" style="419"/>
    <col min="770" max="770" width="5.7109375" style="419" customWidth="1"/>
    <col min="771" max="771" width="8.42578125" style="419" customWidth="1"/>
    <col min="772" max="772" width="49.140625" style="419" customWidth="1"/>
    <col min="773" max="773" width="21.42578125" style="419" customWidth="1"/>
    <col min="774" max="774" width="9.140625" style="419" customWidth="1"/>
    <col min="775" max="775" width="12.28515625" style="419" customWidth="1"/>
    <col min="776" max="1023" width="9.140625" style="419" customWidth="1"/>
    <col min="1024" max="1025" width="4" style="419"/>
    <col min="1026" max="1026" width="5.7109375" style="419" customWidth="1"/>
    <col min="1027" max="1027" width="8.42578125" style="419" customWidth="1"/>
    <col min="1028" max="1028" width="49.140625" style="419" customWidth="1"/>
    <col min="1029" max="1029" width="21.42578125" style="419" customWidth="1"/>
    <col min="1030" max="1030" width="9.140625" style="419" customWidth="1"/>
    <col min="1031" max="1031" width="12.28515625" style="419" customWidth="1"/>
    <col min="1032" max="1279" width="9.140625" style="419" customWidth="1"/>
    <col min="1280" max="1281" width="4" style="419"/>
    <col min="1282" max="1282" width="5.7109375" style="419" customWidth="1"/>
    <col min="1283" max="1283" width="8.42578125" style="419" customWidth="1"/>
    <col min="1284" max="1284" width="49.140625" style="419" customWidth="1"/>
    <col min="1285" max="1285" width="21.42578125" style="419" customWidth="1"/>
    <col min="1286" max="1286" width="9.140625" style="419" customWidth="1"/>
    <col min="1287" max="1287" width="12.28515625" style="419" customWidth="1"/>
    <col min="1288" max="1535" width="9.140625" style="419" customWidth="1"/>
    <col min="1536" max="1537" width="4" style="419"/>
    <col min="1538" max="1538" width="5.7109375" style="419" customWidth="1"/>
    <col min="1539" max="1539" width="8.42578125" style="419" customWidth="1"/>
    <col min="1540" max="1540" width="49.140625" style="419" customWidth="1"/>
    <col min="1541" max="1541" width="21.42578125" style="419" customWidth="1"/>
    <col min="1542" max="1542" width="9.140625" style="419" customWidth="1"/>
    <col min="1543" max="1543" width="12.28515625" style="419" customWidth="1"/>
    <col min="1544" max="1791" width="9.140625" style="419" customWidth="1"/>
    <col min="1792" max="1793" width="4" style="419"/>
    <col min="1794" max="1794" width="5.7109375" style="419" customWidth="1"/>
    <col min="1795" max="1795" width="8.42578125" style="419" customWidth="1"/>
    <col min="1796" max="1796" width="49.140625" style="419" customWidth="1"/>
    <col min="1797" max="1797" width="21.42578125" style="419" customWidth="1"/>
    <col min="1798" max="1798" width="9.140625" style="419" customWidth="1"/>
    <col min="1799" max="1799" width="12.28515625" style="419" customWidth="1"/>
    <col min="1800" max="2047" width="9.140625" style="419" customWidth="1"/>
    <col min="2048" max="2049" width="4" style="419"/>
    <col min="2050" max="2050" width="5.7109375" style="419" customWidth="1"/>
    <col min="2051" max="2051" width="8.42578125" style="419" customWidth="1"/>
    <col min="2052" max="2052" width="49.140625" style="419" customWidth="1"/>
    <col min="2053" max="2053" width="21.42578125" style="419" customWidth="1"/>
    <col min="2054" max="2054" width="9.140625" style="419" customWidth="1"/>
    <col min="2055" max="2055" width="12.28515625" style="419" customWidth="1"/>
    <col min="2056" max="2303" width="9.140625" style="419" customWidth="1"/>
    <col min="2304" max="2305" width="4" style="419"/>
    <col min="2306" max="2306" width="5.7109375" style="419" customWidth="1"/>
    <col min="2307" max="2307" width="8.42578125" style="419" customWidth="1"/>
    <col min="2308" max="2308" width="49.140625" style="419" customWidth="1"/>
    <col min="2309" max="2309" width="21.42578125" style="419" customWidth="1"/>
    <col min="2310" max="2310" width="9.140625" style="419" customWidth="1"/>
    <col min="2311" max="2311" width="12.28515625" style="419" customWidth="1"/>
    <col min="2312" max="2559" width="9.140625" style="419" customWidth="1"/>
    <col min="2560" max="2561" width="4" style="419"/>
    <col min="2562" max="2562" width="5.7109375" style="419" customWidth="1"/>
    <col min="2563" max="2563" width="8.42578125" style="419" customWidth="1"/>
    <col min="2564" max="2564" width="49.140625" style="419" customWidth="1"/>
    <col min="2565" max="2565" width="21.42578125" style="419" customWidth="1"/>
    <col min="2566" max="2566" width="9.140625" style="419" customWidth="1"/>
    <col min="2567" max="2567" width="12.28515625" style="419" customWidth="1"/>
    <col min="2568" max="2815" width="9.140625" style="419" customWidth="1"/>
    <col min="2816" max="2817" width="4" style="419"/>
    <col min="2818" max="2818" width="5.7109375" style="419" customWidth="1"/>
    <col min="2819" max="2819" width="8.42578125" style="419" customWidth="1"/>
    <col min="2820" max="2820" width="49.140625" style="419" customWidth="1"/>
    <col min="2821" max="2821" width="21.42578125" style="419" customWidth="1"/>
    <col min="2822" max="2822" width="9.140625" style="419" customWidth="1"/>
    <col min="2823" max="2823" width="12.28515625" style="419" customWidth="1"/>
    <col min="2824" max="3071" width="9.140625" style="419" customWidth="1"/>
    <col min="3072" max="3073" width="4" style="419"/>
    <col min="3074" max="3074" width="5.7109375" style="419" customWidth="1"/>
    <col min="3075" max="3075" width="8.42578125" style="419" customWidth="1"/>
    <col min="3076" max="3076" width="49.140625" style="419" customWidth="1"/>
    <col min="3077" max="3077" width="21.42578125" style="419" customWidth="1"/>
    <col min="3078" max="3078" width="9.140625" style="419" customWidth="1"/>
    <col min="3079" max="3079" width="12.28515625" style="419" customWidth="1"/>
    <col min="3080" max="3327" width="9.140625" style="419" customWidth="1"/>
    <col min="3328" max="3329" width="4" style="419"/>
    <col min="3330" max="3330" width="5.7109375" style="419" customWidth="1"/>
    <col min="3331" max="3331" width="8.42578125" style="419" customWidth="1"/>
    <col min="3332" max="3332" width="49.140625" style="419" customWidth="1"/>
    <col min="3333" max="3333" width="21.42578125" style="419" customWidth="1"/>
    <col min="3334" max="3334" width="9.140625" style="419" customWidth="1"/>
    <col min="3335" max="3335" width="12.28515625" style="419" customWidth="1"/>
    <col min="3336" max="3583" width="9.140625" style="419" customWidth="1"/>
    <col min="3584" max="3585" width="4" style="419"/>
    <col min="3586" max="3586" width="5.7109375" style="419" customWidth="1"/>
    <col min="3587" max="3587" width="8.42578125" style="419" customWidth="1"/>
    <col min="3588" max="3588" width="49.140625" style="419" customWidth="1"/>
    <col min="3589" max="3589" width="21.42578125" style="419" customWidth="1"/>
    <col min="3590" max="3590" width="9.140625" style="419" customWidth="1"/>
    <col min="3591" max="3591" width="12.28515625" style="419" customWidth="1"/>
    <col min="3592" max="3839" width="9.140625" style="419" customWidth="1"/>
    <col min="3840" max="3841" width="4" style="419"/>
    <col min="3842" max="3842" width="5.7109375" style="419" customWidth="1"/>
    <col min="3843" max="3843" width="8.42578125" style="419" customWidth="1"/>
    <col min="3844" max="3844" width="49.140625" style="419" customWidth="1"/>
    <col min="3845" max="3845" width="21.42578125" style="419" customWidth="1"/>
    <col min="3846" max="3846" width="9.140625" style="419" customWidth="1"/>
    <col min="3847" max="3847" width="12.28515625" style="419" customWidth="1"/>
    <col min="3848" max="4095" width="9.140625" style="419" customWidth="1"/>
    <col min="4096" max="4097" width="4" style="419"/>
    <col min="4098" max="4098" width="5.7109375" style="419" customWidth="1"/>
    <col min="4099" max="4099" width="8.42578125" style="419" customWidth="1"/>
    <col min="4100" max="4100" width="49.140625" style="419" customWidth="1"/>
    <col min="4101" max="4101" width="21.42578125" style="419" customWidth="1"/>
    <col min="4102" max="4102" width="9.140625" style="419" customWidth="1"/>
    <col min="4103" max="4103" width="12.28515625" style="419" customWidth="1"/>
    <col min="4104" max="4351" width="9.140625" style="419" customWidth="1"/>
    <col min="4352" max="4353" width="4" style="419"/>
    <col min="4354" max="4354" width="5.7109375" style="419" customWidth="1"/>
    <col min="4355" max="4355" width="8.42578125" style="419" customWidth="1"/>
    <col min="4356" max="4356" width="49.140625" style="419" customWidth="1"/>
    <col min="4357" max="4357" width="21.42578125" style="419" customWidth="1"/>
    <col min="4358" max="4358" width="9.140625" style="419" customWidth="1"/>
    <col min="4359" max="4359" width="12.28515625" style="419" customWidth="1"/>
    <col min="4360" max="4607" width="9.140625" style="419" customWidth="1"/>
    <col min="4608" max="4609" width="4" style="419"/>
    <col min="4610" max="4610" width="5.7109375" style="419" customWidth="1"/>
    <col min="4611" max="4611" width="8.42578125" style="419" customWidth="1"/>
    <col min="4612" max="4612" width="49.140625" style="419" customWidth="1"/>
    <col min="4613" max="4613" width="21.42578125" style="419" customWidth="1"/>
    <col min="4614" max="4614" width="9.140625" style="419" customWidth="1"/>
    <col min="4615" max="4615" width="12.28515625" style="419" customWidth="1"/>
    <col min="4616" max="4863" width="9.140625" style="419" customWidth="1"/>
    <col min="4864" max="4865" width="4" style="419"/>
    <col min="4866" max="4866" width="5.7109375" style="419" customWidth="1"/>
    <col min="4867" max="4867" width="8.42578125" style="419" customWidth="1"/>
    <col min="4868" max="4868" width="49.140625" style="419" customWidth="1"/>
    <col min="4869" max="4869" width="21.42578125" style="419" customWidth="1"/>
    <col min="4870" max="4870" width="9.140625" style="419" customWidth="1"/>
    <col min="4871" max="4871" width="12.28515625" style="419" customWidth="1"/>
    <col min="4872" max="5119" width="9.140625" style="419" customWidth="1"/>
    <col min="5120" max="5121" width="4" style="419"/>
    <col min="5122" max="5122" width="5.7109375" style="419" customWidth="1"/>
    <col min="5123" max="5123" width="8.42578125" style="419" customWidth="1"/>
    <col min="5124" max="5124" width="49.140625" style="419" customWidth="1"/>
    <col min="5125" max="5125" width="21.42578125" style="419" customWidth="1"/>
    <col min="5126" max="5126" width="9.140625" style="419" customWidth="1"/>
    <col min="5127" max="5127" width="12.28515625" style="419" customWidth="1"/>
    <col min="5128" max="5375" width="9.140625" style="419" customWidth="1"/>
    <col min="5376" max="5377" width="4" style="419"/>
    <col min="5378" max="5378" width="5.7109375" style="419" customWidth="1"/>
    <col min="5379" max="5379" width="8.42578125" style="419" customWidth="1"/>
    <col min="5380" max="5380" width="49.140625" style="419" customWidth="1"/>
    <col min="5381" max="5381" width="21.42578125" style="419" customWidth="1"/>
    <col min="5382" max="5382" width="9.140625" style="419" customWidth="1"/>
    <col min="5383" max="5383" width="12.28515625" style="419" customWidth="1"/>
    <col min="5384" max="5631" width="9.140625" style="419" customWidth="1"/>
    <col min="5632" max="5633" width="4" style="419"/>
    <col min="5634" max="5634" width="5.7109375" style="419" customWidth="1"/>
    <col min="5635" max="5635" width="8.42578125" style="419" customWidth="1"/>
    <col min="5636" max="5636" width="49.140625" style="419" customWidth="1"/>
    <col min="5637" max="5637" width="21.42578125" style="419" customWidth="1"/>
    <col min="5638" max="5638" width="9.140625" style="419" customWidth="1"/>
    <col min="5639" max="5639" width="12.28515625" style="419" customWidth="1"/>
    <col min="5640" max="5887" width="9.140625" style="419" customWidth="1"/>
    <col min="5888" max="5889" width="4" style="419"/>
    <col min="5890" max="5890" width="5.7109375" style="419" customWidth="1"/>
    <col min="5891" max="5891" width="8.42578125" style="419" customWidth="1"/>
    <col min="5892" max="5892" width="49.140625" style="419" customWidth="1"/>
    <col min="5893" max="5893" width="21.42578125" style="419" customWidth="1"/>
    <col min="5894" max="5894" width="9.140625" style="419" customWidth="1"/>
    <col min="5895" max="5895" width="12.28515625" style="419" customWidth="1"/>
    <col min="5896" max="6143" width="9.140625" style="419" customWidth="1"/>
    <col min="6144" max="6145" width="4" style="419"/>
    <col min="6146" max="6146" width="5.7109375" style="419" customWidth="1"/>
    <col min="6147" max="6147" width="8.42578125" style="419" customWidth="1"/>
    <col min="6148" max="6148" width="49.140625" style="419" customWidth="1"/>
    <col min="6149" max="6149" width="21.42578125" style="419" customWidth="1"/>
    <col min="6150" max="6150" width="9.140625" style="419" customWidth="1"/>
    <col min="6151" max="6151" width="12.28515625" style="419" customWidth="1"/>
    <col min="6152" max="6399" width="9.140625" style="419" customWidth="1"/>
    <col min="6400" max="6401" width="4" style="419"/>
    <col min="6402" max="6402" width="5.7109375" style="419" customWidth="1"/>
    <col min="6403" max="6403" width="8.42578125" style="419" customWidth="1"/>
    <col min="6404" max="6404" width="49.140625" style="419" customWidth="1"/>
    <col min="6405" max="6405" width="21.42578125" style="419" customWidth="1"/>
    <col min="6406" max="6406" width="9.140625" style="419" customWidth="1"/>
    <col min="6407" max="6407" width="12.28515625" style="419" customWidth="1"/>
    <col min="6408" max="6655" width="9.140625" style="419" customWidth="1"/>
    <col min="6656" max="6657" width="4" style="419"/>
    <col min="6658" max="6658" width="5.7109375" style="419" customWidth="1"/>
    <col min="6659" max="6659" width="8.42578125" style="419" customWidth="1"/>
    <col min="6660" max="6660" width="49.140625" style="419" customWidth="1"/>
    <col min="6661" max="6661" width="21.42578125" style="419" customWidth="1"/>
    <col min="6662" max="6662" width="9.140625" style="419" customWidth="1"/>
    <col min="6663" max="6663" width="12.28515625" style="419" customWidth="1"/>
    <col min="6664" max="6911" width="9.140625" style="419" customWidth="1"/>
    <col min="6912" max="6913" width="4" style="419"/>
    <col min="6914" max="6914" width="5.7109375" style="419" customWidth="1"/>
    <col min="6915" max="6915" width="8.42578125" style="419" customWidth="1"/>
    <col min="6916" max="6916" width="49.140625" style="419" customWidth="1"/>
    <col min="6917" max="6917" width="21.42578125" style="419" customWidth="1"/>
    <col min="6918" max="6918" width="9.140625" style="419" customWidth="1"/>
    <col min="6919" max="6919" width="12.28515625" style="419" customWidth="1"/>
    <col min="6920" max="7167" width="9.140625" style="419" customWidth="1"/>
    <col min="7168" max="7169" width="4" style="419"/>
    <col min="7170" max="7170" width="5.7109375" style="419" customWidth="1"/>
    <col min="7171" max="7171" width="8.42578125" style="419" customWidth="1"/>
    <col min="7172" max="7172" width="49.140625" style="419" customWidth="1"/>
    <col min="7173" max="7173" width="21.42578125" style="419" customWidth="1"/>
    <col min="7174" max="7174" width="9.140625" style="419" customWidth="1"/>
    <col min="7175" max="7175" width="12.28515625" style="419" customWidth="1"/>
    <col min="7176" max="7423" width="9.140625" style="419" customWidth="1"/>
    <col min="7424" max="7425" width="4" style="419"/>
    <col min="7426" max="7426" width="5.7109375" style="419" customWidth="1"/>
    <col min="7427" max="7427" width="8.42578125" style="419" customWidth="1"/>
    <col min="7428" max="7428" width="49.140625" style="419" customWidth="1"/>
    <col min="7429" max="7429" width="21.42578125" style="419" customWidth="1"/>
    <col min="7430" max="7430" width="9.140625" style="419" customWidth="1"/>
    <col min="7431" max="7431" width="12.28515625" style="419" customWidth="1"/>
    <col min="7432" max="7679" width="9.140625" style="419" customWidth="1"/>
    <col min="7680" max="7681" width="4" style="419"/>
    <col min="7682" max="7682" width="5.7109375" style="419" customWidth="1"/>
    <col min="7683" max="7683" width="8.42578125" style="419" customWidth="1"/>
    <col min="7684" max="7684" width="49.140625" style="419" customWidth="1"/>
    <col min="7685" max="7685" width="21.42578125" style="419" customWidth="1"/>
    <col min="7686" max="7686" width="9.140625" style="419" customWidth="1"/>
    <col min="7687" max="7687" width="12.28515625" style="419" customWidth="1"/>
    <col min="7688" max="7935" width="9.140625" style="419" customWidth="1"/>
    <col min="7936" max="7937" width="4" style="419"/>
    <col min="7938" max="7938" width="5.7109375" style="419" customWidth="1"/>
    <col min="7939" max="7939" width="8.42578125" style="419" customWidth="1"/>
    <col min="7940" max="7940" width="49.140625" style="419" customWidth="1"/>
    <col min="7941" max="7941" width="21.42578125" style="419" customWidth="1"/>
    <col min="7942" max="7942" width="9.140625" style="419" customWidth="1"/>
    <col min="7943" max="7943" width="12.28515625" style="419" customWidth="1"/>
    <col min="7944" max="8191" width="9.140625" style="419" customWidth="1"/>
    <col min="8192" max="8193" width="4" style="419"/>
    <col min="8194" max="8194" width="5.7109375" style="419" customWidth="1"/>
    <col min="8195" max="8195" width="8.42578125" style="419" customWidth="1"/>
    <col min="8196" max="8196" width="49.140625" style="419" customWidth="1"/>
    <col min="8197" max="8197" width="21.42578125" style="419" customWidth="1"/>
    <col min="8198" max="8198" width="9.140625" style="419" customWidth="1"/>
    <col min="8199" max="8199" width="12.28515625" style="419" customWidth="1"/>
    <col min="8200" max="8447" width="9.140625" style="419" customWidth="1"/>
    <col min="8448" max="8449" width="4" style="419"/>
    <col min="8450" max="8450" width="5.7109375" style="419" customWidth="1"/>
    <col min="8451" max="8451" width="8.42578125" style="419" customWidth="1"/>
    <col min="8452" max="8452" width="49.140625" style="419" customWidth="1"/>
    <col min="8453" max="8453" width="21.42578125" style="419" customWidth="1"/>
    <col min="8454" max="8454" width="9.140625" style="419" customWidth="1"/>
    <col min="8455" max="8455" width="12.28515625" style="419" customWidth="1"/>
    <col min="8456" max="8703" width="9.140625" style="419" customWidth="1"/>
    <col min="8704" max="8705" width="4" style="419"/>
    <col min="8706" max="8706" width="5.7109375" style="419" customWidth="1"/>
    <col min="8707" max="8707" width="8.42578125" style="419" customWidth="1"/>
    <col min="8708" max="8708" width="49.140625" style="419" customWidth="1"/>
    <col min="8709" max="8709" width="21.42578125" style="419" customWidth="1"/>
    <col min="8710" max="8710" width="9.140625" style="419" customWidth="1"/>
    <col min="8711" max="8711" width="12.28515625" style="419" customWidth="1"/>
    <col min="8712" max="8959" width="9.140625" style="419" customWidth="1"/>
    <col min="8960" max="8961" width="4" style="419"/>
    <col min="8962" max="8962" width="5.7109375" style="419" customWidth="1"/>
    <col min="8963" max="8963" width="8.42578125" style="419" customWidth="1"/>
    <col min="8964" max="8964" width="49.140625" style="419" customWidth="1"/>
    <col min="8965" max="8965" width="21.42578125" style="419" customWidth="1"/>
    <col min="8966" max="8966" width="9.140625" style="419" customWidth="1"/>
    <col min="8967" max="8967" width="12.28515625" style="419" customWidth="1"/>
    <col min="8968" max="9215" width="9.140625" style="419" customWidth="1"/>
    <col min="9216" max="9217" width="4" style="419"/>
    <col min="9218" max="9218" width="5.7109375" style="419" customWidth="1"/>
    <col min="9219" max="9219" width="8.42578125" style="419" customWidth="1"/>
    <col min="9220" max="9220" width="49.140625" style="419" customWidth="1"/>
    <col min="9221" max="9221" width="21.42578125" style="419" customWidth="1"/>
    <col min="9222" max="9222" width="9.140625" style="419" customWidth="1"/>
    <col min="9223" max="9223" width="12.28515625" style="419" customWidth="1"/>
    <col min="9224" max="9471" width="9.140625" style="419" customWidth="1"/>
    <col min="9472" max="9473" width="4" style="419"/>
    <col min="9474" max="9474" width="5.7109375" style="419" customWidth="1"/>
    <col min="9475" max="9475" width="8.42578125" style="419" customWidth="1"/>
    <col min="9476" max="9476" width="49.140625" style="419" customWidth="1"/>
    <col min="9477" max="9477" width="21.42578125" style="419" customWidth="1"/>
    <col min="9478" max="9478" width="9.140625" style="419" customWidth="1"/>
    <col min="9479" max="9479" width="12.28515625" style="419" customWidth="1"/>
    <col min="9480" max="9727" width="9.140625" style="419" customWidth="1"/>
    <col min="9728" max="9729" width="4" style="419"/>
    <col min="9730" max="9730" width="5.7109375" style="419" customWidth="1"/>
    <col min="9731" max="9731" width="8.42578125" style="419" customWidth="1"/>
    <col min="9732" max="9732" width="49.140625" style="419" customWidth="1"/>
    <col min="9733" max="9733" width="21.42578125" style="419" customWidth="1"/>
    <col min="9734" max="9734" width="9.140625" style="419" customWidth="1"/>
    <col min="9735" max="9735" width="12.28515625" style="419" customWidth="1"/>
    <col min="9736" max="9983" width="9.140625" style="419" customWidth="1"/>
    <col min="9984" max="9985" width="4" style="419"/>
    <col min="9986" max="9986" width="5.7109375" style="419" customWidth="1"/>
    <col min="9987" max="9987" width="8.42578125" style="419" customWidth="1"/>
    <col min="9988" max="9988" width="49.140625" style="419" customWidth="1"/>
    <col min="9989" max="9989" width="21.42578125" style="419" customWidth="1"/>
    <col min="9990" max="9990" width="9.140625" style="419" customWidth="1"/>
    <col min="9991" max="9991" width="12.28515625" style="419" customWidth="1"/>
    <col min="9992" max="10239" width="9.140625" style="419" customWidth="1"/>
    <col min="10240" max="10241" width="4" style="419"/>
    <col min="10242" max="10242" width="5.7109375" style="419" customWidth="1"/>
    <col min="10243" max="10243" width="8.42578125" style="419" customWidth="1"/>
    <col min="10244" max="10244" width="49.140625" style="419" customWidth="1"/>
    <col min="10245" max="10245" width="21.42578125" style="419" customWidth="1"/>
    <col min="10246" max="10246" width="9.140625" style="419" customWidth="1"/>
    <col min="10247" max="10247" width="12.28515625" style="419" customWidth="1"/>
    <col min="10248" max="10495" width="9.140625" style="419" customWidth="1"/>
    <col min="10496" max="10497" width="4" style="419"/>
    <col min="10498" max="10498" width="5.7109375" style="419" customWidth="1"/>
    <col min="10499" max="10499" width="8.42578125" style="419" customWidth="1"/>
    <col min="10500" max="10500" width="49.140625" style="419" customWidth="1"/>
    <col min="10501" max="10501" width="21.42578125" style="419" customWidth="1"/>
    <col min="10502" max="10502" width="9.140625" style="419" customWidth="1"/>
    <col min="10503" max="10503" width="12.28515625" style="419" customWidth="1"/>
    <col min="10504" max="10751" width="9.140625" style="419" customWidth="1"/>
    <col min="10752" max="10753" width="4" style="419"/>
    <col min="10754" max="10754" width="5.7109375" style="419" customWidth="1"/>
    <col min="10755" max="10755" width="8.42578125" style="419" customWidth="1"/>
    <col min="10756" max="10756" width="49.140625" style="419" customWidth="1"/>
    <col min="10757" max="10757" width="21.42578125" style="419" customWidth="1"/>
    <col min="10758" max="10758" width="9.140625" style="419" customWidth="1"/>
    <col min="10759" max="10759" width="12.28515625" style="419" customWidth="1"/>
    <col min="10760" max="11007" width="9.140625" style="419" customWidth="1"/>
    <col min="11008" max="11009" width="4" style="419"/>
    <col min="11010" max="11010" width="5.7109375" style="419" customWidth="1"/>
    <col min="11011" max="11011" width="8.42578125" style="419" customWidth="1"/>
    <col min="11012" max="11012" width="49.140625" style="419" customWidth="1"/>
    <col min="11013" max="11013" width="21.42578125" style="419" customWidth="1"/>
    <col min="11014" max="11014" width="9.140625" style="419" customWidth="1"/>
    <col min="11015" max="11015" width="12.28515625" style="419" customWidth="1"/>
    <col min="11016" max="11263" width="9.140625" style="419" customWidth="1"/>
    <col min="11264" max="11265" width="4" style="419"/>
    <col min="11266" max="11266" width="5.7109375" style="419" customWidth="1"/>
    <col min="11267" max="11267" width="8.42578125" style="419" customWidth="1"/>
    <col min="11268" max="11268" width="49.140625" style="419" customWidth="1"/>
    <col min="11269" max="11269" width="21.42578125" style="419" customWidth="1"/>
    <col min="11270" max="11270" width="9.140625" style="419" customWidth="1"/>
    <col min="11271" max="11271" width="12.28515625" style="419" customWidth="1"/>
    <col min="11272" max="11519" width="9.140625" style="419" customWidth="1"/>
    <col min="11520" max="11521" width="4" style="419"/>
    <col min="11522" max="11522" width="5.7109375" style="419" customWidth="1"/>
    <col min="11523" max="11523" width="8.42578125" style="419" customWidth="1"/>
    <col min="11524" max="11524" width="49.140625" style="419" customWidth="1"/>
    <col min="11525" max="11525" width="21.42578125" style="419" customWidth="1"/>
    <col min="11526" max="11526" width="9.140625" style="419" customWidth="1"/>
    <col min="11527" max="11527" width="12.28515625" style="419" customWidth="1"/>
    <col min="11528" max="11775" width="9.140625" style="419" customWidth="1"/>
    <col min="11776" max="11777" width="4" style="419"/>
    <col min="11778" max="11778" width="5.7109375" style="419" customWidth="1"/>
    <col min="11779" max="11779" width="8.42578125" style="419" customWidth="1"/>
    <col min="11780" max="11780" width="49.140625" style="419" customWidth="1"/>
    <col min="11781" max="11781" width="21.42578125" style="419" customWidth="1"/>
    <col min="11782" max="11782" width="9.140625" style="419" customWidth="1"/>
    <col min="11783" max="11783" width="12.28515625" style="419" customWidth="1"/>
    <col min="11784" max="12031" width="9.140625" style="419" customWidth="1"/>
    <col min="12032" max="12033" width="4" style="419"/>
    <col min="12034" max="12034" width="5.7109375" style="419" customWidth="1"/>
    <col min="12035" max="12035" width="8.42578125" style="419" customWidth="1"/>
    <col min="12036" max="12036" width="49.140625" style="419" customWidth="1"/>
    <col min="12037" max="12037" width="21.42578125" style="419" customWidth="1"/>
    <col min="12038" max="12038" width="9.140625" style="419" customWidth="1"/>
    <col min="12039" max="12039" width="12.28515625" style="419" customWidth="1"/>
    <col min="12040" max="12287" width="9.140625" style="419" customWidth="1"/>
    <col min="12288" max="12289" width="4" style="419"/>
    <col min="12290" max="12290" width="5.7109375" style="419" customWidth="1"/>
    <col min="12291" max="12291" width="8.42578125" style="419" customWidth="1"/>
    <col min="12292" max="12292" width="49.140625" style="419" customWidth="1"/>
    <col min="12293" max="12293" width="21.42578125" style="419" customWidth="1"/>
    <col min="12294" max="12294" width="9.140625" style="419" customWidth="1"/>
    <col min="12295" max="12295" width="12.28515625" style="419" customWidth="1"/>
    <col min="12296" max="12543" width="9.140625" style="419" customWidth="1"/>
    <col min="12544" max="12545" width="4" style="419"/>
    <col min="12546" max="12546" width="5.7109375" style="419" customWidth="1"/>
    <col min="12547" max="12547" width="8.42578125" style="419" customWidth="1"/>
    <col min="12548" max="12548" width="49.140625" style="419" customWidth="1"/>
    <col min="12549" max="12549" width="21.42578125" style="419" customWidth="1"/>
    <col min="12550" max="12550" width="9.140625" style="419" customWidth="1"/>
    <col min="12551" max="12551" width="12.28515625" style="419" customWidth="1"/>
    <col min="12552" max="12799" width="9.140625" style="419" customWidth="1"/>
    <col min="12800" max="12801" width="4" style="419"/>
    <col min="12802" max="12802" width="5.7109375" style="419" customWidth="1"/>
    <col min="12803" max="12803" width="8.42578125" style="419" customWidth="1"/>
    <col min="12804" max="12804" width="49.140625" style="419" customWidth="1"/>
    <col min="12805" max="12805" width="21.42578125" style="419" customWidth="1"/>
    <col min="12806" max="12806" width="9.140625" style="419" customWidth="1"/>
    <col min="12807" max="12807" width="12.28515625" style="419" customWidth="1"/>
    <col min="12808" max="13055" width="9.140625" style="419" customWidth="1"/>
    <col min="13056" max="13057" width="4" style="419"/>
    <col min="13058" max="13058" width="5.7109375" style="419" customWidth="1"/>
    <col min="13059" max="13059" width="8.42578125" style="419" customWidth="1"/>
    <col min="13060" max="13060" width="49.140625" style="419" customWidth="1"/>
    <col min="13061" max="13061" width="21.42578125" style="419" customWidth="1"/>
    <col min="13062" max="13062" width="9.140625" style="419" customWidth="1"/>
    <col min="13063" max="13063" width="12.28515625" style="419" customWidth="1"/>
    <col min="13064" max="13311" width="9.140625" style="419" customWidth="1"/>
    <col min="13312" max="13313" width="4" style="419"/>
    <col min="13314" max="13314" width="5.7109375" style="419" customWidth="1"/>
    <col min="13315" max="13315" width="8.42578125" style="419" customWidth="1"/>
    <col min="13316" max="13316" width="49.140625" style="419" customWidth="1"/>
    <col min="13317" max="13317" width="21.42578125" style="419" customWidth="1"/>
    <col min="13318" max="13318" width="9.140625" style="419" customWidth="1"/>
    <col min="13319" max="13319" width="12.28515625" style="419" customWidth="1"/>
    <col min="13320" max="13567" width="9.140625" style="419" customWidth="1"/>
    <col min="13568" max="13569" width="4" style="419"/>
    <col min="13570" max="13570" width="5.7109375" style="419" customWidth="1"/>
    <col min="13571" max="13571" width="8.42578125" style="419" customWidth="1"/>
    <col min="13572" max="13572" width="49.140625" style="419" customWidth="1"/>
    <col min="13573" max="13573" width="21.42578125" style="419" customWidth="1"/>
    <col min="13574" max="13574" width="9.140625" style="419" customWidth="1"/>
    <col min="13575" max="13575" width="12.28515625" style="419" customWidth="1"/>
    <col min="13576" max="13823" width="9.140625" style="419" customWidth="1"/>
    <col min="13824" max="13825" width="4" style="419"/>
    <col min="13826" max="13826" width="5.7109375" style="419" customWidth="1"/>
    <col min="13827" max="13827" width="8.42578125" style="419" customWidth="1"/>
    <col min="13828" max="13828" width="49.140625" style="419" customWidth="1"/>
    <col min="13829" max="13829" width="21.42578125" style="419" customWidth="1"/>
    <col min="13830" max="13830" width="9.140625" style="419" customWidth="1"/>
    <col min="13831" max="13831" width="12.28515625" style="419" customWidth="1"/>
    <col min="13832" max="14079" width="9.140625" style="419" customWidth="1"/>
    <col min="14080" max="14081" width="4" style="419"/>
    <col min="14082" max="14082" width="5.7109375" style="419" customWidth="1"/>
    <col min="14083" max="14083" width="8.42578125" style="419" customWidth="1"/>
    <col min="14084" max="14084" width="49.140625" style="419" customWidth="1"/>
    <col min="14085" max="14085" width="21.42578125" style="419" customWidth="1"/>
    <col min="14086" max="14086" width="9.140625" style="419" customWidth="1"/>
    <col min="14087" max="14087" width="12.28515625" style="419" customWidth="1"/>
    <col min="14088" max="14335" width="9.140625" style="419" customWidth="1"/>
    <col min="14336" max="14337" width="4" style="419"/>
    <col min="14338" max="14338" width="5.7109375" style="419" customWidth="1"/>
    <col min="14339" max="14339" width="8.42578125" style="419" customWidth="1"/>
    <col min="14340" max="14340" width="49.140625" style="419" customWidth="1"/>
    <col min="14341" max="14341" width="21.42578125" style="419" customWidth="1"/>
    <col min="14342" max="14342" width="9.140625" style="419" customWidth="1"/>
    <col min="14343" max="14343" width="12.28515625" style="419" customWidth="1"/>
    <col min="14344" max="14591" width="9.140625" style="419" customWidth="1"/>
    <col min="14592" max="14593" width="4" style="419"/>
    <col min="14594" max="14594" width="5.7109375" style="419" customWidth="1"/>
    <col min="14595" max="14595" width="8.42578125" style="419" customWidth="1"/>
    <col min="14596" max="14596" width="49.140625" style="419" customWidth="1"/>
    <col min="14597" max="14597" width="21.42578125" style="419" customWidth="1"/>
    <col min="14598" max="14598" width="9.140625" style="419" customWidth="1"/>
    <col min="14599" max="14599" width="12.28515625" style="419" customWidth="1"/>
    <col min="14600" max="14847" width="9.140625" style="419" customWidth="1"/>
    <col min="14848" max="14849" width="4" style="419"/>
    <col min="14850" max="14850" width="5.7109375" style="419" customWidth="1"/>
    <col min="14851" max="14851" width="8.42578125" style="419" customWidth="1"/>
    <col min="14852" max="14852" width="49.140625" style="419" customWidth="1"/>
    <col min="14853" max="14853" width="21.42578125" style="419" customWidth="1"/>
    <col min="14854" max="14854" width="9.140625" style="419" customWidth="1"/>
    <col min="14855" max="14855" width="12.28515625" style="419" customWidth="1"/>
    <col min="14856" max="15103" width="9.140625" style="419" customWidth="1"/>
    <col min="15104" max="15105" width="4" style="419"/>
    <col min="15106" max="15106" width="5.7109375" style="419" customWidth="1"/>
    <col min="15107" max="15107" width="8.42578125" style="419" customWidth="1"/>
    <col min="15108" max="15108" width="49.140625" style="419" customWidth="1"/>
    <col min="15109" max="15109" width="21.42578125" style="419" customWidth="1"/>
    <col min="15110" max="15110" width="9.140625" style="419" customWidth="1"/>
    <col min="15111" max="15111" width="12.28515625" style="419" customWidth="1"/>
    <col min="15112" max="15359" width="9.140625" style="419" customWidth="1"/>
    <col min="15360" max="15361" width="4" style="419"/>
    <col min="15362" max="15362" width="5.7109375" style="419" customWidth="1"/>
    <col min="15363" max="15363" width="8.42578125" style="419" customWidth="1"/>
    <col min="15364" max="15364" width="49.140625" style="419" customWidth="1"/>
    <col min="15365" max="15365" width="21.42578125" style="419" customWidth="1"/>
    <col min="15366" max="15366" width="9.140625" style="419" customWidth="1"/>
    <col min="15367" max="15367" width="12.28515625" style="419" customWidth="1"/>
    <col min="15368" max="15615" width="9.140625" style="419" customWidth="1"/>
    <col min="15616" max="15617" width="4" style="419"/>
    <col min="15618" max="15618" width="5.7109375" style="419" customWidth="1"/>
    <col min="15619" max="15619" width="8.42578125" style="419" customWidth="1"/>
    <col min="15620" max="15620" width="49.140625" style="419" customWidth="1"/>
    <col min="15621" max="15621" width="21.42578125" style="419" customWidth="1"/>
    <col min="15622" max="15622" width="9.140625" style="419" customWidth="1"/>
    <col min="15623" max="15623" width="12.28515625" style="419" customWidth="1"/>
    <col min="15624" max="15871" width="9.140625" style="419" customWidth="1"/>
    <col min="15872" max="15873" width="4" style="419"/>
    <col min="15874" max="15874" width="5.7109375" style="419" customWidth="1"/>
    <col min="15875" max="15875" width="8.42578125" style="419" customWidth="1"/>
    <col min="15876" max="15876" width="49.140625" style="419" customWidth="1"/>
    <col min="15877" max="15877" width="21.42578125" style="419" customWidth="1"/>
    <col min="15878" max="15878" width="9.140625" style="419" customWidth="1"/>
    <col min="15879" max="15879" width="12.28515625" style="419" customWidth="1"/>
    <col min="15880" max="16127" width="9.140625" style="419" customWidth="1"/>
    <col min="16128" max="16129" width="4" style="419"/>
    <col min="16130" max="16130" width="5.7109375" style="419" customWidth="1"/>
    <col min="16131" max="16131" width="8.42578125" style="419" customWidth="1"/>
    <col min="16132" max="16132" width="49.140625" style="419" customWidth="1"/>
    <col min="16133" max="16133" width="21.42578125" style="419" customWidth="1"/>
    <col min="16134" max="16134" width="9.140625" style="419" customWidth="1"/>
    <col min="16135" max="16135" width="12.28515625" style="419" customWidth="1"/>
    <col min="16136" max="16383" width="9.140625" style="419" customWidth="1"/>
    <col min="16384" max="16384" width="4" style="419"/>
  </cols>
  <sheetData>
    <row r="1" spans="1:7" x14ac:dyDescent="0.2">
      <c r="A1" s="251"/>
      <c r="D1" s="252"/>
      <c r="E1" s="253" t="s">
        <v>157</v>
      </c>
    </row>
    <row r="2" spans="1:7" x14ac:dyDescent="0.2">
      <c r="D2" s="252"/>
      <c r="E2" s="4" t="s">
        <v>264</v>
      </c>
    </row>
    <row r="3" spans="1:7" x14ac:dyDescent="0.2">
      <c r="D3" s="252"/>
      <c r="E3" s="4" t="s">
        <v>1</v>
      </c>
    </row>
    <row r="4" spans="1:7" x14ac:dyDescent="0.2">
      <c r="D4" s="252"/>
      <c r="E4" s="4" t="s">
        <v>265</v>
      </c>
    </row>
    <row r="5" spans="1:7" x14ac:dyDescent="0.2">
      <c r="D5" s="253"/>
      <c r="E5" s="251"/>
    </row>
    <row r="6" spans="1:7" ht="15.75" customHeight="1" x14ac:dyDescent="0.2">
      <c r="A6" s="255" t="s">
        <v>273</v>
      </c>
      <c r="B6" s="255"/>
      <c r="C6" s="255"/>
      <c r="D6" s="255"/>
      <c r="E6" s="255"/>
    </row>
    <row r="7" spans="1:7" ht="15.75" customHeight="1" x14ac:dyDescent="0.2">
      <c r="A7" s="255" t="s">
        <v>274</v>
      </c>
      <c r="B7" s="255"/>
      <c r="C7" s="255"/>
      <c r="D7" s="255"/>
      <c r="E7" s="255"/>
    </row>
    <row r="8" spans="1:7" ht="15.75" customHeight="1" x14ac:dyDescent="0.2">
      <c r="E8" s="256"/>
    </row>
    <row r="9" spans="1:7" ht="19.5" customHeight="1" x14ac:dyDescent="0.2">
      <c r="E9" s="257" t="s">
        <v>3</v>
      </c>
    </row>
    <row r="10" spans="1:7" ht="20.25" customHeight="1" x14ac:dyDescent="0.2">
      <c r="A10" s="258" t="s">
        <v>156</v>
      </c>
      <c r="B10" s="258" t="s">
        <v>126</v>
      </c>
      <c r="C10" s="258" t="s">
        <v>127</v>
      </c>
      <c r="D10" s="259" t="s">
        <v>275</v>
      </c>
      <c r="E10" s="258" t="s">
        <v>276</v>
      </c>
    </row>
    <row r="11" spans="1:7" s="263" customFormat="1" ht="10.5" customHeight="1" x14ac:dyDescent="0.2">
      <c r="A11" s="260">
        <v>1</v>
      </c>
      <c r="B11" s="260">
        <v>2</v>
      </c>
      <c r="C11" s="260">
        <v>3</v>
      </c>
      <c r="D11" s="261">
        <v>4</v>
      </c>
      <c r="E11" s="260">
        <v>5</v>
      </c>
      <c r="F11" s="252"/>
      <c r="G11" s="262"/>
    </row>
    <row r="12" spans="1:7" ht="17.25" customHeight="1" x14ac:dyDescent="0.2">
      <c r="A12" s="420" t="s">
        <v>277</v>
      </c>
      <c r="B12" s="421"/>
      <c r="C12" s="421"/>
      <c r="D12" s="421"/>
      <c r="E12" s="422"/>
    </row>
    <row r="13" spans="1:7" ht="17.25" customHeight="1" x14ac:dyDescent="0.2">
      <c r="A13" s="264">
        <v>1</v>
      </c>
      <c r="B13" s="264">
        <v>700</v>
      </c>
      <c r="C13" s="264">
        <v>70095</v>
      </c>
      <c r="D13" s="265" t="s">
        <v>278</v>
      </c>
      <c r="E13" s="266">
        <v>1500000</v>
      </c>
      <c r="F13" s="267"/>
    </row>
    <row r="14" spans="1:7" ht="26.25" customHeight="1" x14ac:dyDescent="0.2">
      <c r="A14" s="268">
        <v>2</v>
      </c>
      <c r="B14" s="268">
        <v>750</v>
      </c>
      <c r="C14" s="268">
        <v>75095</v>
      </c>
      <c r="D14" s="269" t="s">
        <v>279</v>
      </c>
      <c r="E14" s="270">
        <v>85000</v>
      </c>
      <c r="G14" s="271"/>
    </row>
    <row r="15" spans="1:7" ht="15.75" customHeight="1" x14ac:dyDescent="0.2">
      <c r="A15" s="268">
        <v>3</v>
      </c>
      <c r="B15" s="268">
        <v>755</v>
      </c>
      <c r="C15" s="268">
        <v>75515</v>
      </c>
      <c r="D15" s="269" t="s">
        <v>280</v>
      </c>
      <c r="E15" s="266">
        <v>128040</v>
      </c>
      <c r="G15" s="271"/>
    </row>
    <row r="16" spans="1:7" ht="15.75" customHeight="1" x14ac:dyDescent="0.2">
      <c r="A16" s="272">
        <v>4</v>
      </c>
      <c r="B16" s="272">
        <v>801</v>
      </c>
      <c r="C16" s="272">
        <v>80101</v>
      </c>
      <c r="D16" s="273" t="s">
        <v>59</v>
      </c>
      <c r="E16" s="266">
        <v>24797.85</v>
      </c>
      <c r="G16" s="271"/>
    </row>
    <row r="17" spans="1:7" ht="15.75" customHeight="1" x14ac:dyDescent="0.2">
      <c r="A17" s="274"/>
      <c r="B17" s="275"/>
      <c r="C17" s="276"/>
      <c r="D17" s="277" t="s">
        <v>281</v>
      </c>
      <c r="E17" s="278"/>
      <c r="G17" s="271"/>
    </row>
    <row r="18" spans="1:7" ht="23.25" customHeight="1" x14ac:dyDescent="0.2">
      <c r="A18" s="279"/>
      <c r="B18" s="280"/>
      <c r="C18" s="281"/>
      <c r="D18" s="282" t="s">
        <v>282</v>
      </c>
      <c r="E18" s="283"/>
      <c r="G18" s="271"/>
    </row>
    <row r="19" spans="1:7" ht="15.75" customHeight="1" x14ac:dyDescent="0.2">
      <c r="A19" s="284"/>
      <c r="B19" s="285"/>
      <c r="C19" s="286"/>
      <c r="D19" s="287" t="s">
        <v>283</v>
      </c>
      <c r="E19" s="288"/>
      <c r="G19" s="271"/>
    </row>
    <row r="20" spans="1:7" ht="15.75" customHeight="1" x14ac:dyDescent="0.2">
      <c r="A20" s="272">
        <v>5</v>
      </c>
      <c r="B20" s="272">
        <v>801</v>
      </c>
      <c r="C20" s="272">
        <v>80120</v>
      </c>
      <c r="D20" s="273" t="s">
        <v>74</v>
      </c>
      <c r="E20" s="266">
        <v>12774.65</v>
      </c>
      <c r="G20" s="271"/>
    </row>
    <row r="21" spans="1:7" ht="15.75" customHeight="1" x14ac:dyDescent="0.2">
      <c r="A21" s="273"/>
      <c r="B21" s="289"/>
      <c r="C21" s="290"/>
      <c r="D21" s="291" t="s">
        <v>284</v>
      </c>
      <c r="E21" s="266"/>
      <c r="G21" s="271"/>
    </row>
    <row r="22" spans="1:7" ht="42" customHeight="1" x14ac:dyDescent="0.2">
      <c r="A22" s="292">
        <v>6</v>
      </c>
      <c r="B22" s="292">
        <v>801</v>
      </c>
      <c r="C22" s="292">
        <v>80195</v>
      </c>
      <c r="D22" s="293" t="s">
        <v>285</v>
      </c>
      <c r="E22" s="294">
        <f>533646-31962+295000</f>
        <v>796684</v>
      </c>
      <c r="G22" s="271"/>
    </row>
    <row r="23" spans="1:7" ht="38.25" x14ac:dyDescent="0.2">
      <c r="A23" s="292">
        <v>7</v>
      </c>
      <c r="B23" s="292">
        <v>801</v>
      </c>
      <c r="C23" s="292">
        <v>80195</v>
      </c>
      <c r="D23" s="293" t="s">
        <v>286</v>
      </c>
      <c r="E23" s="294">
        <f>1134.15+3854.01</f>
        <v>4988.16</v>
      </c>
      <c r="G23" s="271"/>
    </row>
    <row r="24" spans="1:7" ht="15.75" customHeight="1" x14ac:dyDescent="0.2">
      <c r="A24" s="295"/>
      <c r="B24" s="295"/>
      <c r="C24" s="295"/>
      <c r="D24" s="296" t="s">
        <v>287</v>
      </c>
      <c r="E24" s="297"/>
      <c r="G24" s="271"/>
    </row>
    <row r="25" spans="1:7" ht="15.75" customHeight="1" x14ac:dyDescent="0.2">
      <c r="A25" s="298"/>
      <c r="B25" s="298"/>
      <c r="C25" s="298"/>
      <c r="D25" s="299" t="s">
        <v>288</v>
      </c>
      <c r="E25" s="297"/>
      <c r="G25" s="271"/>
    </row>
    <row r="26" spans="1:7" ht="15.75" customHeight="1" x14ac:dyDescent="0.2">
      <c r="A26" s="298"/>
      <c r="B26" s="298"/>
      <c r="C26" s="298"/>
      <c r="D26" s="296" t="s">
        <v>289</v>
      </c>
      <c r="E26" s="300"/>
      <c r="G26" s="271"/>
    </row>
    <row r="27" spans="1:7" ht="26.25" customHeight="1" x14ac:dyDescent="0.2">
      <c r="A27" s="298"/>
      <c r="B27" s="298"/>
      <c r="C27" s="298"/>
      <c r="D27" s="301" t="s">
        <v>290</v>
      </c>
      <c r="E27" s="300"/>
      <c r="G27" s="271"/>
    </row>
    <row r="28" spans="1:7" ht="15.75" customHeight="1" x14ac:dyDescent="0.2">
      <c r="A28" s="292"/>
      <c r="B28" s="292"/>
      <c r="C28" s="292"/>
      <c r="D28" s="302" t="s">
        <v>291</v>
      </c>
      <c r="E28" s="303"/>
      <c r="G28" s="271"/>
    </row>
    <row r="29" spans="1:7" ht="15" customHeight="1" x14ac:dyDescent="0.2">
      <c r="A29" s="272">
        <v>8</v>
      </c>
      <c r="B29" s="272">
        <v>851</v>
      </c>
      <c r="C29" s="272">
        <v>85153</v>
      </c>
      <c r="D29" s="284" t="s">
        <v>292</v>
      </c>
      <c r="E29" s="288">
        <v>55000</v>
      </c>
      <c r="G29" s="271"/>
    </row>
    <row r="30" spans="1:7" ht="39.75" customHeight="1" x14ac:dyDescent="0.2">
      <c r="A30" s="268">
        <v>9</v>
      </c>
      <c r="B30" s="268">
        <v>851</v>
      </c>
      <c r="C30" s="268">
        <v>85154</v>
      </c>
      <c r="D30" s="269" t="s">
        <v>293</v>
      </c>
      <c r="E30" s="270">
        <v>550000</v>
      </c>
    </row>
    <row r="31" spans="1:7" ht="29.25" customHeight="1" x14ac:dyDescent="0.2">
      <c r="A31" s="295">
        <v>10</v>
      </c>
      <c r="B31" s="295">
        <v>851</v>
      </c>
      <c r="C31" s="304">
        <v>85195</v>
      </c>
      <c r="D31" s="269" t="s">
        <v>294</v>
      </c>
      <c r="E31" s="270">
        <v>67500</v>
      </c>
    </row>
    <row r="32" spans="1:7" ht="25.5" customHeight="1" x14ac:dyDescent="0.2">
      <c r="A32" s="305">
        <v>11</v>
      </c>
      <c r="B32" s="305">
        <v>852</v>
      </c>
      <c r="C32" s="306">
        <v>85228</v>
      </c>
      <c r="D32" s="307" t="s">
        <v>295</v>
      </c>
      <c r="E32" s="266">
        <v>7049731</v>
      </c>
    </row>
    <row r="33" spans="1:6" ht="25.5" customHeight="1" x14ac:dyDescent="0.2">
      <c r="A33" s="292"/>
      <c r="B33" s="292"/>
      <c r="C33" s="308"/>
      <c r="D33" s="309" t="s">
        <v>296</v>
      </c>
      <c r="E33" s="288">
        <f>1327900+746426+746426</f>
        <v>2820752</v>
      </c>
    </row>
    <row r="34" spans="1:6" ht="25.5" customHeight="1" x14ac:dyDescent="0.2">
      <c r="A34" s="268">
        <v>12</v>
      </c>
      <c r="B34" s="268">
        <v>852</v>
      </c>
      <c r="C34" s="268">
        <v>85295</v>
      </c>
      <c r="D34" s="269" t="s">
        <v>297</v>
      </c>
      <c r="E34" s="266">
        <v>1230600</v>
      </c>
    </row>
    <row r="35" spans="1:6" ht="26.25" customHeight="1" x14ac:dyDescent="0.2">
      <c r="A35" s="268">
        <v>13</v>
      </c>
      <c r="B35" s="268">
        <v>852</v>
      </c>
      <c r="C35" s="268">
        <v>85295</v>
      </c>
      <c r="D35" s="269" t="s">
        <v>298</v>
      </c>
      <c r="E35" s="266">
        <v>413452.32</v>
      </c>
    </row>
    <row r="36" spans="1:6" ht="26.25" customHeight="1" x14ac:dyDescent="0.2">
      <c r="A36" s="268">
        <v>14</v>
      </c>
      <c r="B36" s="268">
        <v>853</v>
      </c>
      <c r="C36" s="268">
        <v>85395</v>
      </c>
      <c r="D36" s="269" t="s">
        <v>299</v>
      </c>
      <c r="E36" s="270">
        <f>40000-10005</f>
        <v>29995</v>
      </c>
    </row>
    <row r="37" spans="1:6" ht="41.45" customHeight="1" x14ac:dyDescent="0.2">
      <c r="A37" s="268">
        <v>15</v>
      </c>
      <c r="B37" s="268">
        <v>853</v>
      </c>
      <c r="C37" s="268">
        <v>85395</v>
      </c>
      <c r="D37" s="269" t="s">
        <v>300</v>
      </c>
      <c r="E37" s="270">
        <v>265510.90999999997</v>
      </c>
    </row>
    <row r="38" spans="1:6" ht="15.75" customHeight="1" x14ac:dyDescent="0.2">
      <c r="A38" s="272">
        <v>16</v>
      </c>
      <c r="B38" s="272">
        <v>855</v>
      </c>
      <c r="C38" s="272">
        <v>85510</v>
      </c>
      <c r="D38" s="307" t="s">
        <v>112</v>
      </c>
      <c r="E38" s="266">
        <v>1568400</v>
      </c>
    </row>
    <row r="39" spans="1:6" ht="28.5" customHeight="1" x14ac:dyDescent="0.2">
      <c r="A39" s="268">
        <v>17</v>
      </c>
      <c r="B39" s="268">
        <v>900</v>
      </c>
      <c r="C39" s="268">
        <v>90095</v>
      </c>
      <c r="D39" s="269" t="s">
        <v>301</v>
      </c>
      <c r="E39" s="270">
        <v>67500</v>
      </c>
      <c r="F39" s="267"/>
    </row>
    <row r="40" spans="1:6" ht="26.25" customHeight="1" x14ac:dyDescent="0.2">
      <c r="A40" s="268">
        <v>18</v>
      </c>
      <c r="B40" s="268">
        <v>900</v>
      </c>
      <c r="C40" s="268">
        <v>90095</v>
      </c>
      <c r="D40" s="269" t="s">
        <v>302</v>
      </c>
      <c r="E40" s="270">
        <f>200000+100000</f>
        <v>300000</v>
      </c>
      <c r="F40" s="267"/>
    </row>
    <row r="41" spans="1:6" ht="26.25" customHeight="1" x14ac:dyDescent="0.2">
      <c r="A41" s="268">
        <v>19</v>
      </c>
      <c r="B41" s="268">
        <v>900</v>
      </c>
      <c r="C41" s="268">
        <v>90095</v>
      </c>
      <c r="D41" s="269" t="s">
        <v>303</v>
      </c>
      <c r="E41" s="270">
        <f>200000+100000</f>
        <v>300000</v>
      </c>
      <c r="F41" s="267"/>
    </row>
    <row r="42" spans="1:6" ht="16.5" customHeight="1" x14ac:dyDescent="0.2">
      <c r="A42" s="272">
        <v>20</v>
      </c>
      <c r="B42" s="272">
        <v>921</v>
      </c>
      <c r="C42" s="272">
        <v>92120</v>
      </c>
      <c r="D42" s="273" t="s">
        <v>304</v>
      </c>
      <c r="E42" s="266">
        <v>500000</v>
      </c>
    </row>
    <row r="43" spans="1:6" ht="39.75" customHeight="1" x14ac:dyDescent="0.2">
      <c r="A43" s="268">
        <v>21</v>
      </c>
      <c r="B43" s="268">
        <v>921</v>
      </c>
      <c r="C43" s="268">
        <v>92195</v>
      </c>
      <c r="D43" s="269" t="s">
        <v>305</v>
      </c>
      <c r="E43" s="266">
        <v>239100</v>
      </c>
    </row>
    <row r="44" spans="1:6" ht="39.75" customHeight="1" x14ac:dyDescent="0.2">
      <c r="A44" s="268">
        <v>22</v>
      </c>
      <c r="B44" s="268">
        <v>921</v>
      </c>
      <c r="C44" s="268">
        <v>92195</v>
      </c>
      <c r="D44" s="269" t="s">
        <v>300</v>
      </c>
      <c r="E44" s="266">
        <v>320536.26</v>
      </c>
    </row>
    <row r="45" spans="1:6" ht="14.45" customHeight="1" x14ac:dyDescent="0.2">
      <c r="A45" s="272">
        <v>23</v>
      </c>
      <c r="B45" s="272">
        <v>926</v>
      </c>
      <c r="C45" s="272">
        <v>92605</v>
      </c>
      <c r="D45" s="307" t="s">
        <v>99</v>
      </c>
      <c r="E45" s="266">
        <v>1833375</v>
      </c>
    </row>
    <row r="46" spans="1:6" ht="38.450000000000003" customHeight="1" x14ac:dyDescent="0.2">
      <c r="A46" s="268">
        <v>24</v>
      </c>
      <c r="B46" s="268">
        <v>926</v>
      </c>
      <c r="C46" s="268">
        <v>92605</v>
      </c>
      <c r="D46" s="307" t="s">
        <v>306</v>
      </c>
      <c r="E46" s="266">
        <v>106845.42</v>
      </c>
    </row>
    <row r="47" spans="1:6" ht="15" customHeight="1" x14ac:dyDescent="0.2">
      <c r="A47" s="423"/>
      <c r="B47" s="424"/>
      <c r="C47" s="424"/>
      <c r="D47" s="424" t="s">
        <v>307</v>
      </c>
      <c r="E47" s="425">
        <f>SUM(E13:E46)</f>
        <v>20270582.570000004</v>
      </c>
    </row>
    <row r="48" spans="1:6" ht="17.25" customHeight="1" x14ac:dyDescent="0.2">
      <c r="A48" s="420" t="s">
        <v>308</v>
      </c>
      <c r="B48" s="421"/>
      <c r="C48" s="421"/>
      <c r="D48" s="421"/>
      <c r="E48" s="422"/>
    </row>
    <row r="49" spans="1:6" ht="17.25" customHeight="1" x14ac:dyDescent="0.2">
      <c r="A49" s="258" t="s">
        <v>156</v>
      </c>
      <c r="B49" s="258" t="s">
        <v>126</v>
      </c>
      <c r="C49" s="258" t="s">
        <v>127</v>
      </c>
      <c r="D49" s="259" t="s">
        <v>309</v>
      </c>
      <c r="E49" s="258" t="s">
        <v>276</v>
      </c>
    </row>
    <row r="50" spans="1:6" ht="14.25" customHeight="1" x14ac:dyDescent="0.2">
      <c r="A50" s="272">
        <v>1</v>
      </c>
      <c r="B50" s="272">
        <v>801</v>
      </c>
      <c r="C50" s="272">
        <v>80101</v>
      </c>
      <c r="D50" s="273" t="s">
        <v>59</v>
      </c>
      <c r="E50" s="266">
        <v>7612585</v>
      </c>
    </row>
    <row r="51" spans="1:6" ht="13.5" customHeight="1" x14ac:dyDescent="0.2">
      <c r="A51" s="274"/>
      <c r="B51" s="275"/>
      <c r="C51" s="276"/>
      <c r="D51" s="277" t="s">
        <v>281</v>
      </c>
      <c r="E51" s="278"/>
    </row>
    <row r="52" spans="1:6" ht="13.5" customHeight="1" x14ac:dyDescent="0.2">
      <c r="A52" s="279"/>
      <c r="B52" s="280"/>
      <c r="C52" s="281"/>
      <c r="D52" s="310" t="s">
        <v>310</v>
      </c>
      <c r="E52" s="297"/>
      <c r="F52" s="311"/>
    </row>
    <row r="53" spans="1:6" ht="13.5" customHeight="1" x14ac:dyDescent="0.2">
      <c r="A53" s="279"/>
      <c r="B53" s="280"/>
      <c r="C53" s="281"/>
      <c r="D53" s="312" t="s">
        <v>311</v>
      </c>
      <c r="E53" s="283"/>
    </row>
    <row r="54" spans="1:6" ht="26.25" customHeight="1" x14ac:dyDescent="0.2">
      <c r="A54" s="279"/>
      <c r="B54" s="280"/>
      <c r="C54" s="281"/>
      <c r="D54" s="301" t="s">
        <v>312</v>
      </c>
      <c r="E54" s="297"/>
    </row>
    <row r="55" spans="1:6" ht="27" customHeight="1" x14ac:dyDescent="0.2">
      <c r="A55" s="279"/>
      <c r="B55" s="280"/>
      <c r="C55" s="281"/>
      <c r="D55" s="301" t="s">
        <v>313</v>
      </c>
      <c r="E55" s="297"/>
    </row>
    <row r="56" spans="1:6" ht="24.75" customHeight="1" x14ac:dyDescent="0.2">
      <c r="A56" s="279"/>
      <c r="B56" s="280"/>
      <c r="C56" s="281"/>
      <c r="D56" s="310" t="s">
        <v>314</v>
      </c>
      <c r="E56" s="297"/>
    </row>
    <row r="57" spans="1:6" ht="25.5" customHeight="1" x14ac:dyDescent="0.2">
      <c r="A57" s="279"/>
      <c r="B57" s="280"/>
      <c r="C57" s="281"/>
      <c r="D57" s="313" t="s">
        <v>315</v>
      </c>
      <c r="E57" s="283"/>
    </row>
    <row r="58" spans="1:6" ht="13.5" customHeight="1" x14ac:dyDescent="0.2">
      <c r="A58" s="279"/>
      <c r="B58" s="280"/>
      <c r="C58" s="281"/>
      <c r="D58" s="299" t="s">
        <v>283</v>
      </c>
      <c r="E58" s="297"/>
    </row>
    <row r="59" spans="1:6" ht="24" customHeight="1" x14ac:dyDescent="0.2">
      <c r="A59" s="284"/>
      <c r="B59" s="285"/>
      <c r="C59" s="286"/>
      <c r="D59" s="314" t="s">
        <v>282</v>
      </c>
      <c r="E59" s="288"/>
    </row>
    <row r="60" spans="1:6" ht="13.5" customHeight="1" x14ac:dyDescent="0.2">
      <c r="A60" s="272">
        <v>2</v>
      </c>
      <c r="B60" s="272">
        <v>801</v>
      </c>
      <c r="C60" s="272">
        <v>80103</v>
      </c>
      <c r="D60" s="273" t="s">
        <v>316</v>
      </c>
      <c r="E60" s="266">
        <v>124687</v>
      </c>
    </row>
    <row r="61" spans="1:6" ht="24" customHeight="1" x14ac:dyDescent="0.2">
      <c r="A61" s="279"/>
      <c r="B61" s="280"/>
      <c r="C61" s="281"/>
      <c r="D61" s="315" t="s">
        <v>312</v>
      </c>
      <c r="E61" s="278"/>
    </row>
    <row r="62" spans="1:6" ht="13.5" customHeight="1" x14ac:dyDescent="0.2">
      <c r="A62" s="284"/>
      <c r="B62" s="285"/>
      <c r="C62" s="286"/>
      <c r="D62" s="316" t="s">
        <v>283</v>
      </c>
      <c r="E62" s="288"/>
    </row>
    <row r="63" spans="1:6" ht="14.25" customHeight="1" x14ac:dyDescent="0.2">
      <c r="A63" s="272">
        <v>3</v>
      </c>
      <c r="B63" s="272">
        <v>801</v>
      </c>
      <c r="C63" s="272">
        <v>80104</v>
      </c>
      <c r="D63" s="273" t="s">
        <v>67</v>
      </c>
      <c r="E63" s="266">
        <v>8825749</v>
      </c>
    </row>
    <row r="64" spans="1:6" ht="14.25" customHeight="1" x14ac:dyDescent="0.2">
      <c r="A64" s="274"/>
      <c r="B64" s="275"/>
      <c r="C64" s="276"/>
      <c r="D64" s="277" t="s">
        <v>317</v>
      </c>
      <c r="E64" s="278"/>
    </row>
    <row r="65" spans="1:5" ht="14.25" customHeight="1" x14ac:dyDescent="0.2">
      <c r="A65" s="279"/>
      <c r="B65" s="280"/>
      <c r="C65" s="281"/>
      <c r="D65" s="296" t="s">
        <v>289</v>
      </c>
      <c r="E65" s="297"/>
    </row>
    <row r="66" spans="1:5" ht="13.5" customHeight="1" x14ac:dyDescent="0.2">
      <c r="A66" s="279"/>
      <c r="B66" s="280"/>
      <c r="C66" s="281"/>
      <c r="D66" s="296" t="s">
        <v>287</v>
      </c>
      <c r="E66" s="297"/>
    </row>
    <row r="67" spans="1:5" ht="23.25" customHeight="1" x14ac:dyDescent="0.2">
      <c r="A67" s="279"/>
      <c r="B67" s="280"/>
      <c r="C67" s="281"/>
      <c r="D67" s="301" t="s">
        <v>290</v>
      </c>
      <c r="E67" s="297"/>
    </row>
    <row r="68" spans="1:5" ht="13.5" customHeight="1" x14ac:dyDescent="0.2">
      <c r="A68" s="279"/>
      <c r="B68" s="280"/>
      <c r="C68" s="281"/>
      <c r="D68" s="296" t="s">
        <v>318</v>
      </c>
      <c r="E68" s="297"/>
    </row>
    <row r="69" spans="1:5" ht="13.5" customHeight="1" x14ac:dyDescent="0.2">
      <c r="A69" s="279"/>
      <c r="B69" s="280"/>
      <c r="C69" s="281"/>
      <c r="D69" s="301" t="s">
        <v>319</v>
      </c>
      <c r="E69" s="297"/>
    </row>
    <row r="70" spans="1:5" ht="13.5" customHeight="1" x14ac:dyDescent="0.2">
      <c r="A70" s="279"/>
      <c r="B70" s="280"/>
      <c r="C70" s="281"/>
      <c r="D70" s="301" t="s">
        <v>320</v>
      </c>
      <c r="E70" s="297"/>
    </row>
    <row r="71" spans="1:5" ht="13.5" customHeight="1" x14ac:dyDescent="0.2">
      <c r="A71" s="284"/>
      <c r="B71" s="285"/>
      <c r="C71" s="286"/>
      <c r="D71" s="317" t="s">
        <v>321</v>
      </c>
      <c r="E71" s="303"/>
    </row>
    <row r="72" spans="1:5" ht="13.5" customHeight="1" x14ac:dyDescent="0.2">
      <c r="A72" s="279"/>
      <c r="B72" s="280"/>
      <c r="C72" s="281"/>
      <c r="D72" s="318" t="s">
        <v>322</v>
      </c>
      <c r="E72" s="283"/>
    </row>
    <row r="73" spans="1:5" ht="13.5" customHeight="1" x14ac:dyDescent="0.2">
      <c r="A73" s="279"/>
      <c r="B73" s="280"/>
      <c r="C73" s="281"/>
      <c r="D73" s="301" t="s">
        <v>323</v>
      </c>
      <c r="E73" s="297"/>
    </row>
    <row r="74" spans="1:5" ht="13.5" customHeight="1" x14ac:dyDescent="0.2">
      <c r="A74" s="279"/>
      <c r="B74" s="280"/>
      <c r="C74" s="281"/>
      <c r="D74" s="299" t="s">
        <v>288</v>
      </c>
      <c r="E74" s="297"/>
    </row>
    <row r="75" spans="1:5" ht="13.5" customHeight="1" x14ac:dyDescent="0.2">
      <c r="A75" s="279"/>
      <c r="B75" s="280"/>
      <c r="C75" s="281"/>
      <c r="D75" s="299" t="s">
        <v>291</v>
      </c>
      <c r="E75" s="297"/>
    </row>
    <row r="76" spans="1:5" ht="13.5" customHeight="1" x14ac:dyDescent="0.2">
      <c r="A76" s="279"/>
      <c r="B76" s="280"/>
      <c r="C76" s="281"/>
      <c r="D76" s="319" t="s">
        <v>324</v>
      </c>
      <c r="E76" s="283"/>
    </row>
    <row r="77" spans="1:5" ht="13.5" customHeight="1" x14ac:dyDescent="0.2">
      <c r="A77" s="279"/>
      <c r="B77" s="280"/>
      <c r="C77" s="281"/>
      <c r="D77" s="299" t="s">
        <v>325</v>
      </c>
      <c r="E77" s="297"/>
    </row>
    <row r="78" spans="1:5" ht="13.5" customHeight="1" x14ac:dyDescent="0.2">
      <c r="A78" s="284"/>
      <c r="B78" s="285"/>
      <c r="C78" s="286"/>
      <c r="D78" s="287" t="s">
        <v>326</v>
      </c>
      <c r="E78" s="288"/>
    </row>
    <row r="79" spans="1:5" ht="24" customHeight="1" x14ac:dyDescent="0.2">
      <c r="A79" s="268">
        <v>4</v>
      </c>
      <c r="B79" s="268">
        <v>801</v>
      </c>
      <c r="C79" s="268">
        <v>80106</v>
      </c>
      <c r="D79" s="269" t="s">
        <v>327</v>
      </c>
      <c r="E79" s="270">
        <v>62237</v>
      </c>
    </row>
    <row r="80" spans="1:5" ht="13.5" customHeight="1" x14ac:dyDescent="0.2">
      <c r="A80" s="273"/>
      <c r="B80" s="289"/>
      <c r="C80" s="290"/>
      <c r="D80" s="320" t="s">
        <v>328</v>
      </c>
      <c r="E80" s="266"/>
    </row>
    <row r="81" spans="1:5" ht="13.5" customHeight="1" x14ac:dyDescent="0.2">
      <c r="A81" s="272">
        <v>5</v>
      </c>
      <c r="B81" s="272">
        <v>801</v>
      </c>
      <c r="C81" s="272">
        <v>80115</v>
      </c>
      <c r="D81" s="289" t="s">
        <v>71</v>
      </c>
      <c r="E81" s="266">
        <v>2505180</v>
      </c>
    </row>
    <row r="82" spans="1:5" ht="23.25" customHeight="1" x14ac:dyDescent="0.2">
      <c r="A82" s="273"/>
      <c r="B82" s="289"/>
      <c r="C82" s="290"/>
      <c r="D82" s="321" t="s">
        <v>329</v>
      </c>
      <c r="E82" s="266"/>
    </row>
    <row r="83" spans="1:5" ht="13.5" customHeight="1" x14ac:dyDescent="0.2">
      <c r="A83" s="272">
        <v>6</v>
      </c>
      <c r="B83" s="272">
        <v>801</v>
      </c>
      <c r="C83" s="272">
        <v>80116</v>
      </c>
      <c r="D83" s="289" t="s">
        <v>330</v>
      </c>
      <c r="E83" s="266">
        <v>5272240</v>
      </c>
    </row>
    <row r="84" spans="1:5" ht="13.5" customHeight="1" x14ac:dyDescent="0.2">
      <c r="A84" s="274"/>
      <c r="B84" s="275"/>
      <c r="C84" s="276"/>
      <c r="D84" s="322" t="s">
        <v>331</v>
      </c>
      <c r="E84" s="278"/>
    </row>
    <row r="85" spans="1:5" ht="25.5" customHeight="1" x14ac:dyDescent="0.2">
      <c r="A85" s="279"/>
      <c r="B85" s="280"/>
      <c r="C85" s="281"/>
      <c r="D85" s="310" t="s">
        <v>332</v>
      </c>
      <c r="E85" s="297"/>
    </row>
    <row r="86" spans="1:5" ht="22.5" customHeight="1" x14ac:dyDescent="0.2">
      <c r="A86" s="279"/>
      <c r="B86" s="280"/>
      <c r="C86" s="281"/>
      <c r="D86" s="301" t="s">
        <v>333</v>
      </c>
      <c r="E86" s="297"/>
    </row>
    <row r="87" spans="1:5" ht="13.5" customHeight="1" x14ac:dyDescent="0.2">
      <c r="A87" s="279"/>
      <c r="B87" s="280"/>
      <c r="C87" s="281"/>
      <c r="D87" s="319" t="s">
        <v>334</v>
      </c>
      <c r="E87" s="283"/>
    </row>
    <row r="88" spans="1:5" ht="13.5" customHeight="1" x14ac:dyDescent="0.2">
      <c r="A88" s="279"/>
      <c r="B88" s="280"/>
      <c r="C88" s="281"/>
      <c r="D88" s="323" t="s">
        <v>335</v>
      </c>
      <c r="E88" s="300"/>
    </row>
    <row r="89" spans="1:5" ht="25.5" customHeight="1" x14ac:dyDescent="0.2">
      <c r="A89" s="279"/>
      <c r="B89" s="280"/>
      <c r="C89" s="281"/>
      <c r="D89" s="312" t="s">
        <v>336</v>
      </c>
      <c r="E89" s="283"/>
    </row>
    <row r="90" spans="1:5" ht="13.5" customHeight="1" x14ac:dyDescent="0.2">
      <c r="A90" s="279"/>
      <c r="B90" s="280"/>
      <c r="C90" s="281"/>
      <c r="D90" s="310" t="s">
        <v>337</v>
      </c>
      <c r="E90" s="297"/>
    </row>
    <row r="91" spans="1:5" ht="13.5" customHeight="1" x14ac:dyDescent="0.2">
      <c r="A91" s="279"/>
      <c r="B91" s="280"/>
      <c r="C91" s="281"/>
      <c r="D91" s="310" t="s">
        <v>338</v>
      </c>
      <c r="E91" s="297"/>
    </row>
    <row r="92" spans="1:5" ht="12.75" customHeight="1" x14ac:dyDescent="0.2">
      <c r="A92" s="279"/>
      <c r="B92" s="280"/>
      <c r="C92" s="281"/>
      <c r="D92" s="301" t="s">
        <v>339</v>
      </c>
      <c r="E92" s="297"/>
    </row>
    <row r="93" spans="1:5" ht="13.5" customHeight="1" x14ac:dyDescent="0.2">
      <c r="A93" s="279"/>
      <c r="B93" s="280"/>
      <c r="C93" s="281"/>
      <c r="D93" s="299" t="s">
        <v>340</v>
      </c>
      <c r="E93" s="297"/>
    </row>
    <row r="94" spans="1:5" ht="13.5" customHeight="1" x14ac:dyDescent="0.2">
      <c r="A94" s="279"/>
      <c r="B94" s="280"/>
      <c r="C94" s="281"/>
      <c r="D94" s="324" t="s">
        <v>341</v>
      </c>
      <c r="E94" s="283"/>
    </row>
    <row r="95" spans="1:5" ht="13.5" customHeight="1" x14ac:dyDescent="0.2">
      <c r="A95" s="279"/>
      <c r="B95" s="280"/>
      <c r="C95" s="281"/>
      <c r="D95" s="325" t="s">
        <v>342</v>
      </c>
      <c r="E95" s="297"/>
    </row>
    <row r="96" spans="1:5" ht="13.5" customHeight="1" x14ac:dyDescent="0.2">
      <c r="A96" s="279"/>
      <c r="B96" s="280"/>
      <c r="C96" s="281"/>
      <c r="D96" s="299" t="s">
        <v>343</v>
      </c>
      <c r="E96" s="297"/>
    </row>
    <row r="97" spans="1:5" ht="25.5" customHeight="1" x14ac:dyDescent="0.2">
      <c r="A97" s="284"/>
      <c r="B97" s="285"/>
      <c r="C97" s="286"/>
      <c r="D97" s="314" t="s">
        <v>344</v>
      </c>
      <c r="E97" s="288"/>
    </row>
    <row r="98" spans="1:5" ht="13.5" customHeight="1" x14ac:dyDescent="0.2">
      <c r="A98" s="272">
        <v>7</v>
      </c>
      <c r="B98" s="272">
        <v>801</v>
      </c>
      <c r="C98" s="272">
        <v>80117</v>
      </c>
      <c r="D98" s="273" t="s">
        <v>73</v>
      </c>
      <c r="E98" s="266">
        <v>2656984</v>
      </c>
    </row>
    <row r="99" spans="1:5" ht="15" customHeight="1" x14ac:dyDescent="0.2">
      <c r="A99" s="274"/>
      <c r="B99" s="275"/>
      <c r="C99" s="276"/>
      <c r="D99" s="326" t="s">
        <v>345</v>
      </c>
      <c r="E99" s="278"/>
    </row>
    <row r="100" spans="1:5" ht="15" customHeight="1" x14ac:dyDescent="0.2">
      <c r="A100" s="279"/>
      <c r="B100" s="280"/>
      <c r="C100" s="281"/>
      <c r="D100" s="312" t="s">
        <v>346</v>
      </c>
      <c r="E100" s="283"/>
    </row>
    <row r="101" spans="1:5" ht="25.5" customHeight="1" x14ac:dyDescent="0.2">
      <c r="A101" s="279"/>
      <c r="B101" s="280"/>
      <c r="C101" s="281"/>
      <c r="D101" s="312" t="s">
        <v>347</v>
      </c>
      <c r="E101" s="283"/>
    </row>
    <row r="102" spans="1:5" ht="24.75" customHeight="1" x14ac:dyDescent="0.2">
      <c r="A102" s="279"/>
      <c r="B102" s="280"/>
      <c r="C102" s="281"/>
      <c r="D102" s="327" t="s">
        <v>348</v>
      </c>
      <c r="E102" s="297"/>
    </row>
    <row r="103" spans="1:5" ht="25.5" customHeight="1" x14ac:dyDescent="0.2">
      <c r="A103" s="279"/>
      <c r="B103" s="280"/>
      <c r="C103" s="281"/>
      <c r="D103" s="314" t="s">
        <v>349</v>
      </c>
      <c r="E103" s="328"/>
    </row>
    <row r="104" spans="1:5" ht="15.75" customHeight="1" x14ac:dyDescent="0.2">
      <c r="A104" s="272">
        <v>8</v>
      </c>
      <c r="B104" s="272">
        <v>801</v>
      </c>
      <c r="C104" s="272">
        <v>80120</v>
      </c>
      <c r="D104" s="273" t="s">
        <v>74</v>
      </c>
      <c r="E104" s="266">
        <v>6769589</v>
      </c>
    </row>
    <row r="105" spans="1:5" ht="13.5" customHeight="1" x14ac:dyDescent="0.2">
      <c r="A105" s="279"/>
      <c r="B105" s="280"/>
      <c r="C105" s="281"/>
      <c r="D105" s="310" t="s">
        <v>350</v>
      </c>
      <c r="E105" s="297"/>
    </row>
    <row r="106" spans="1:5" ht="13.5" customHeight="1" x14ac:dyDescent="0.2">
      <c r="A106" s="279"/>
      <c r="B106" s="280"/>
      <c r="C106" s="281"/>
      <c r="D106" s="310" t="s">
        <v>351</v>
      </c>
      <c r="E106" s="297"/>
    </row>
    <row r="107" spans="1:5" ht="13.5" customHeight="1" x14ac:dyDescent="0.2">
      <c r="A107" s="279"/>
      <c r="B107" s="280"/>
      <c r="C107" s="281"/>
      <c r="D107" s="299" t="s">
        <v>352</v>
      </c>
      <c r="E107" s="297"/>
    </row>
    <row r="108" spans="1:5" ht="24.75" customHeight="1" x14ac:dyDescent="0.2">
      <c r="A108" s="279"/>
      <c r="B108" s="280"/>
      <c r="C108" s="281"/>
      <c r="D108" s="310" t="s">
        <v>353</v>
      </c>
      <c r="E108" s="297"/>
    </row>
    <row r="109" spans="1:5" ht="13.5" customHeight="1" x14ac:dyDescent="0.2">
      <c r="A109" s="279"/>
      <c r="B109" s="280"/>
      <c r="C109" s="281"/>
      <c r="D109" s="299" t="s">
        <v>354</v>
      </c>
      <c r="E109" s="297"/>
    </row>
    <row r="110" spans="1:5" ht="15" customHeight="1" x14ac:dyDescent="0.2">
      <c r="A110" s="279"/>
      <c r="B110" s="280"/>
      <c r="C110" s="281"/>
      <c r="D110" s="310" t="s">
        <v>355</v>
      </c>
      <c r="E110" s="297"/>
    </row>
    <row r="111" spans="1:5" ht="25.5" customHeight="1" x14ac:dyDescent="0.2">
      <c r="A111" s="279"/>
      <c r="B111" s="280"/>
      <c r="C111" s="281"/>
      <c r="D111" s="296" t="s">
        <v>356</v>
      </c>
      <c r="E111" s="297"/>
    </row>
    <row r="112" spans="1:5" ht="25.5" customHeight="1" x14ac:dyDescent="0.2">
      <c r="A112" s="279"/>
      <c r="B112" s="280"/>
      <c r="C112" s="281"/>
      <c r="D112" s="301" t="s">
        <v>357</v>
      </c>
      <c r="E112" s="297"/>
    </row>
    <row r="113" spans="1:5" ht="25.5" customHeight="1" x14ac:dyDescent="0.2">
      <c r="A113" s="284"/>
      <c r="B113" s="285"/>
      <c r="C113" s="286"/>
      <c r="D113" s="329" t="s">
        <v>358</v>
      </c>
      <c r="E113" s="303"/>
    </row>
    <row r="114" spans="1:5" ht="13.5" customHeight="1" x14ac:dyDescent="0.2">
      <c r="A114" s="279"/>
      <c r="B114" s="280"/>
      <c r="C114" s="281"/>
      <c r="D114" s="319" t="s">
        <v>359</v>
      </c>
      <c r="E114" s="283"/>
    </row>
    <row r="115" spans="1:5" ht="13.5" customHeight="1" x14ac:dyDescent="0.2">
      <c r="A115" s="284"/>
      <c r="B115" s="285"/>
      <c r="C115" s="286"/>
      <c r="D115" s="287" t="s">
        <v>284</v>
      </c>
      <c r="E115" s="288"/>
    </row>
    <row r="116" spans="1:5" ht="51" customHeight="1" x14ac:dyDescent="0.2">
      <c r="A116" s="268">
        <v>9</v>
      </c>
      <c r="B116" s="268">
        <v>801</v>
      </c>
      <c r="C116" s="268">
        <v>80149</v>
      </c>
      <c r="D116" s="269" t="s">
        <v>360</v>
      </c>
      <c r="E116" s="270">
        <v>2707080</v>
      </c>
    </row>
    <row r="117" spans="1:5" ht="25.5" customHeight="1" x14ac:dyDescent="0.2">
      <c r="A117" s="274"/>
      <c r="B117" s="275"/>
      <c r="C117" s="276"/>
      <c r="D117" s="315" t="s">
        <v>290</v>
      </c>
      <c r="E117" s="278"/>
    </row>
    <row r="118" spans="1:5" ht="13.5" customHeight="1" x14ac:dyDescent="0.2">
      <c r="A118" s="279"/>
      <c r="B118" s="280"/>
      <c r="C118" s="281"/>
      <c r="D118" s="313" t="s">
        <v>288</v>
      </c>
      <c r="E118" s="283"/>
    </row>
    <row r="119" spans="1:5" ht="13.5" customHeight="1" x14ac:dyDescent="0.2">
      <c r="A119" s="279"/>
      <c r="B119" s="280"/>
      <c r="C119" s="281"/>
      <c r="D119" s="301" t="s">
        <v>361</v>
      </c>
      <c r="E119" s="297"/>
    </row>
    <row r="120" spans="1:5" ht="13.5" customHeight="1" x14ac:dyDescent="0.2">
      <c r="A120" s="279"/>
      <c r="B120" s="280"/>
      <c r="C120" s="281"/>
      <c r="D120" s="318" t="s">
        <v>317</v>
      </c>
      <c r="E120" s="283"/>
    </row>
    <row r="121" spans="1:5" ht="13.5" customHeight="1" x14ac:dyDescent="0.2">
      <c r="A121" s="279"/>
      <c r="B121" s="280"/>
      <c r="C121" s="281"/>
      <c r="D121" s="296" t="s">
        <v>287</v>
      </c>
      <c r="E121" s="297"/>
    </row>
    <row r="122" spans="1:5" ht="13.5" customHeight="1" x14ac:dyDescent="0.2">
      <c r="A122" s="279"/>
      <c r="B122" s="280"/>
      <c r="C122" s="281"/>
      <c r="D122" s="301" t="s">
        <v>362</v>
      </c>
      <c r="E122" s="297"/>
    </row>
    <row r="123" spans="1:5" ht="13.5" customHeight="1" x14ac:dyDescent="0.2">
      <c r="A123" s="279"/>
      <c r="B123" s="280"/>
      <c r="C123" s="281"/>
      <c r="D123" s="301" t="s">
        <v>363</v>
      </c>
      <c r="E123" s="297"/>
    </row>
    <row r="124" spans="1:5" ht="13.5" customHeight="1" x14ac:dyDescent="0.2">
      <c r="A124" s="279"/>
      <c r="B124" s="280"/>
      <c r="C124" s="281"/>
      <c r="D124" s="301" t="s">
        <v>283</v>
      </c>
      <c r="E124" s="297"/>
    </row>
    <row r="125" spans="1:5" ht="13.5" customHeight="1" x14ac:dyDescent="0.2">
      <c r="A125" s="279"/>
      <c r="B125" s="280"/>
      <c r="C125" s="281"/>
      <c r="D125" s="301" t="s">
        <v>320</v>
      </c>
      <c r="E125" s="297"/>
    </row>
    <row r="126" spans="1:5" ht="13.5" customHeight="1" x14ac:dyDescent="0.2">
      <c r="A126" s="279"/>
      <c r="B126" s="280"/>
      <c r="C126" s="281"/>
      <c r="D126" s="296" t="s">
        <v>289</v>
      </c>
      <c r="E126" s="297"/>
    </row>
    <row r="127" spans="1:5" ht="13.5" customHeight="1" x14ac:dyDescent="0.2">
      <c r="A127" s="279"/>
      <c r="B127" s="280"/>
      <c r="C127" s="281"/>
      <c r="D127" s="301" t="s">
        <v>326</v>
      </c>
      <c r="E127" s="297"/>
    </row>
    <row r="128" spans="1:5" ht="15" customHeight="1" x14ac:dyDescent="0.2">
      <c r="A128" s="284"/>
      <c r="B128" s="285"/>
      <c r="C128" s="286"/>
      <c r="D128" s="330" t="s">
        <v>324</v>
      </c>
      <c r="E128" s="288"/>
    </row>
    <row r="129" spans="1:6" ht="39" customHeight="1" x14ac:dyDescent="0.2">
      <c r="A129" s="268">
        <v>10</v>
      </c>
      <c r="B129" s="268">
        <v>801</v>
      </c>
      <c r="C129" s="268">
        <v>80150</v>
      </c>
      <c r="D129" s="269" t="s">
        <v>364</v>
      </c>
      <c r="E129" s="270">
        <v>165299</v>
      </c>
    </row>
    <row r="130" spans="1:6" ht="13.5" customHeight="1" x14ac:dyDescent="0.2">
      <c r="A130" s="274"/>
      <c r="B130" s="275"/>
      <c r="C130" s="276"/>
      <c r="D130" s="315" t="s">
        <v>281</v>
      </c>
      <c r="E130" s="278"/>
    </row>
    <row r="131" spans="1:6" ht="25.5" customHeight="1" x14ac:dyDescent="0.2">
      <c r="A131" s="279"/>
      <c r="B131" s="280"/>
      <c r="C131" s="281"/>
      <c r="D131" s="310" t="s">
        <v>365</v>
      </c>
      <c r="E131" s="297"/>
    </row>
    <row r="132" spans="1:6" ht="15.75" customHeight="1" x14ac:dyDescent="0.2">
      <c r="A132" s="284"/>
      <c r="B132" s="285"/>
      <c r="C132" s="286"/>
      <c r="D132" s="314" t="s">
        <v>310</v>
      </c>
      <c r="E132" s="288"/>
      <c r="F132" s="311"/>
    </row>
    <row r="133" spans="1:6" ht="13.5" customHeight="1" x14ac:dyDescent="0.2">
      <c r="A133" s="272">
        <v>11</v>
      </c>
      <c r="B133" s="272">
        <v>801</v>
      </c>
      <c r="C133" s="272">
        <v>80151</v>
      </c>
      <c r="D133" s="289" t="s">
        <v>79</v>
      </c>
      <c r="E133" s="266">
        <v>108410</v>
      </c>
    </row>
    <row r="134" spans="1:6" ht="13.5" customHeight="1" x14ac:dyDescent="0.2">
      <c r="A134" s="273"/>
      <c r="B134" s="289"/>
      <c r="C134" s="290"/>
      <c r="D134" s="331" t="s">
        <v>366</v>
      </c>
      <c r="E134" s="266"/>
    </row>
    <row r="135" spans="1:6" ht="13.5" customHeight="1" x14ac:dyDescent="0.2">
      <c r="A135" s="284"/>
      <c r="B135" s="285"/>
      <c r="C135" s="286"/>
      <c r="D135" s="332" t="s">
        <v>340</v>
      </c>
      <c r="E135" s="288"/>
    </row>
    <row r="136" spans="1:6" ht="114" customHeight="1" x14ac:dyDescent="0.2">
      <c r="A136" s="268">
        <v>12</v>
      </c>
      <c r="B136" s="268">
        <v>801</v>
      </c>
      <c r="C136" s="268">
        <v>80152</v>
      </c>
      <c r="D136" s="269" t="s">
        <v>367</v>
      </c>
      <c r="E136" s="270">
        <v>413835</v>
      </c>
    </row>
    <row r="137" spans="1:6" ht="12.75" customHeight="1" x14ac:dyDescent="0.2">
      <c r="A137" s="274"/>
      <c r="B137" s="275"/>
      <c r="C137" s="276"/>
      <c r="D137" s="333" t="s">
        <v>345</v>
      </c>
      <c r="E137" s="278"/>
    </row>
    <row r="138" spans="1:6" ht="15" customHeight="1" x14ac:dyDescent="0.2">
      <c r="A138" s="279"/>
      <c r="B138" s="280"/>
      <c r="C138" s="281"/>
      <c r="D138" s="296" t="s">
        <v>284</v>
      </c>
      <c r="E138" s="297"/>
    </row>
    <row r="139" spans="1:6" ht="22.9" customHeight="1" x14ac:dyDescent="0.2">
      <c r="A139" s="279"/>
      <c r="B139" s="280"/>
      <c r="C139" s="281"/>
      <c r="D139" s="334" t="s">
        <v>329</v>
      </c>
      <c r="E139" s="297"/>
    </row>
    <row r="140" spans="1:6" ht="23.25" customHeight="1" x14ac:dyDescent="0.2">
      <c r="A140" s="284"/>
      <c r="B140" s="285"/>
      <c r="C140" s="286"/>
      <c r="D140" s="330" t="s">
        <v>358</v>
      </c>
      <c r="E140" s="288"/>
    </row>
    <row r="141" spans="1:6" ht="15.75" customHeight="1" x14ac:dyDescent="0.2">
      <c r="A141" s="335">
        <v>13</v>
      </c>
      <c r="B141" s="335">
        <v>853</v>
      </c>
      <c r="C141" s="335">
        <v>85311</v>
      </c>
      <c r="D141" s="285" t="s">
        <v>368</v>
      </c>
      <c r="E141" s="288">
        <f>190800+10005</f>
        <v>200805</v>
      </c>
    </row>
    <row r="142" spans="1:6" ht="15" customHeight="1" x14ac:dyDescent="0.2">
      <c r="A142" s="273"/>
      <c r="B142" s="289"/>
      <c r="C142" s="286"/>
      <c r="D142" s="316" t="s">
        <v>369</v>
      </c>
      <c r="E142" s="288"/>
    </row>
    <row r="143" spans="1:6" ht="15.75" customHeight="1" x14ac:dyDescent="0.2">
      <c r="A143" s="272">
        <v>14</v>
      </c>
      <c r="B143" s="272">
        <v>854</v>
      </c>
      <c r="C143" s="272">
        <v>85402</v>
      </c>
      <c r="D143" s="289" t="s">
        <v>370</v>
      </c>
      <c r="E143" s="266">
        <v>706538</v>
      </c>
    </row>
    <row r="144" spans="1:6" ht="13.5" customHeight="1" x14ac:dyDescent="0.2">
      <c r="A144" s="273"/>
      <c r="B144" s="289"/>
      <c r="C144" s="290"/>
      <c r="D144" s="336" t="s">
        <v>371</v>
      </c>
      <c r="E144" s="266"/>
    </row>
    <row r="145" spans="1:5" ht="15.75" customHeight="1" x14ac:dyDescent="0.2">
      <c r="A145" s="272">
        <v>15</v>
      </c>
      <c r="B145" s="272">
        <v>854</v>
      </c>
      <c r="C145" s="272">
        <v>85404</v>
      </c>
      <c r="D145" s="289" t="s">
        <v>95</v>
      </c>
      <c r="E145" s="266">
        <v>500188</v>
      </c>
    </row>
    <row r="146" spans="1:5" ht="13.5" customHeight="1" x14ac:dyDescent="0.2">
      <c r="A146" s="279"/>
      <c r="B146" s="280"/>
      <c r="C146" s="281"/>
      <c r="D146" s="299" t="s">
        <v>324</v>
      </c>
      <c r="E146" s="283"/>
    </row>
    <row r="147" spans="1:5" ht="13.5" customHeight="1" x14ac:dyDescent="0.2">
      <c r="A147" s="279"/>
      <c r="B147" s="280"/>
      <c r="C147" s="281"/>
      <c r="D147" s="296" t="s">
        <v>287</v>
      </c>
      <c r="E147" s="297"/>
    </row>
    <row r="148" spans="1:5" ht="24.75" customHeight="1" x14ac:dyDescent="0.2">
      <c r="A148" s="279"/>
      <c r="B148" s="280"/>
      <c r="C148" s="281"/>
      <c r="D148" s="301" t="s">
        <v>290</v>
      </c>
      <c r="E148" s="297"/>
    </row>
    <row r="149" spans="1:5" ht="13.5" customHeight="1" x14ac:dyDescent="0.2">
      <c r="A149" s="284"/>
      <c r="B149" s="285"/>
      <c r="C149" s="286"/>
      <c r="D149" s="329" t="s">
        <v>361</v>
      </c>
      <c r="E149" s="303"/>
    </row>
    <row r="150" spans="1:5" ht="13.5" customHeight="1" x14ac:dyDescent="0.2">
      <c r="A150" s="279"/>
      <c r="B150" s="280"/>
      <c r="C150" s="281"/>
      <c r="D150" s="318" t="s">
        <v>321</v>
      </c>
      <c r="E150" s="283"/>
    </row>
    <row r="151" spans="1:5" ht="13.5" customHeight="1" x14ac:dyDescent="0.2">
      <c r="A151" s="279"/>
      <c r="B151" s="280"/>
      <c r="C151" s="281"/>
      <c r="D151" s="301" t="s">
        <v>362</v>
      </c>
      <c r="E151" s="297"/>
    </row>
    <row r="152" spans="1:5" ht="13.5" customHeight="1" x14ac:dyDescent="0.2">
      <c r="A152" s="279"/>
      <c r="B152" s="280"/>
      <c r="C152" s="281"/>
      <c r="D152" s="313" t="s">
        <v>320</v>
      </c>
      <c r="E152" s="283"/>
    </row>
    <row r="153" spans="1:5" ht="13.5" customHeight="1" x14ac:dyDescent="0.2">
      <c r="A153" s="279"/>
      <c r="B153" s="280"/>
      <c r="C153" s="281"/>
      <c r="D153" s="318" t="s">
        <v>317</v>
      </c>
      <c r="E153" s="283"/>
    </row>
    <row r="154" spans="1:5" ht="14.25" customHeight="1" x14ac:dyDescent="0.2">
      <c r="A154" s="284"/>
      <c r="B154" s="285"/>
      <c r="C154" s="286"/>
      <c r="D154" s="330" t="s">
        <v>363</v>
      </c>
      <c r="E154" s="288"/>
    </row>
    <row r="155" spans="1:5" ht="25.5" customHeight="1" x14ac:dyDescent="0.2">
      <c r="A155" s="268">
        <v>16</v>
      </c>
      <c r="B155" s="268">
        <v>854</v>
      </c>
      <c r="C155" s="268">
        <v>85406</v>
      </c>
      <c r="D155" s="337" t="s">
        <v>372</v>
      </c>
      <c r="E155" s="266">
        <v>217601</v>
      </c>
    </row>
    <row r="156" spans="1:5" ht="12.75" customHeight="1" x14ac:dyDescent="0.2">
      <c r="A156" s="273"/>
      <c r="B156" s="289"/>
      <c r="C156" s="290"/>
      <c r="D156" s="336" t="s">
        <v>373</v>
      </c>
      <c r="E156" s="266"/>
    </row>
    <row r="157" spans="1:5" ht="37.5" customHeight="1" x14ac:dyDescent="0.2">
      <c r="A157" s="284"/>
      <c r="B157" s="285"/>
      <c r="C157" s="286"/>
      <c r="D157" s="338" t="s">
        <v>374</v>
      </c>
      <c r="E157" s="288"/>
    </row>
    <row r="158" spans="1:5" ht="13.5" customHeight="1" x14ac:dyDescent="0.2">
      <c r="A158" s="272">
        <v>17</v>
      </c>
      <c r="B158" s="272">
        <v>854</v>
      </c>
      <c r="C158" s="272">
        <v>85410</v>
      </c>
      <c r="D158" s="289" t="s">
        <v>196</v>
      </c>
      <c r="E158" s="266">
        <v>952007</v>
      </c>
    </row>
    <row r="159" spans="1:5" ht="12.75" customHeight="1" x14ac:dyDescent="0.2">
      <c r="A159" s="273"/>
      <c r="B159" s="289"/>
      <c r="C159" s="290"/>
      <c r="D159" s="316" t="s">
        <v>375</v>
      </c>
      <c r="E159" s="266"/>
    </row>
    <row r="160" spans="1:5" ht="14.25" customHeight="1" x14ac:dyDescent="0.2">
      <c r="A160" s="423"/>
      <c r="B160" s="424"/>
      <c r="C160" s="424"/>
      <c r="D160" s="424" t="s">
        <v>307</v>
      </c>
      <c r="E160" s="425">
        <f>SUM(E50:E159)</f>
        <v>39801014</v>
      </c>
    </row>
    <row r="161" spans="1:5" ht="15.75" customHeight="1" x14ac:dyDescent="0.2">
      <c r="A161" s="339"/>
      <c r="B161" s="340"/>
      <c r="C161" s="340"/>
      <c r="D161" s="340" t="s">
        <v>166</v>
      </c>
      <c r="E161" s="341">
        <f>SUM(E47,E160)</f>
        <v>60071596.570000008</v>
      </c>
    </row>
    <row r="163" spans="1:5" ht="12.6" customHeight="1" x14ac:dyDescent="0.2">
      <c r="A163" s="426"/>
      <c r="E163" s="427"/>
    </row>
    <row r="165" spans="1:5" x14ac:dyDescent="0.2">
      <c r="E165" s="427"/>
    </row>
    <row r="167" spans="1:5" x14ac:dyDescent="0.2">
      <c r="E167" s="428"/>
    </row>
  </sheetData>
  <pageMargins left="0.51181102362204722" right="0.51181102362204722" top="0.74803149606299213" bottom="0.74803149606299213" header="0.31496062992125984" footer="0.31496062992125984"/>
  <pageSetup paperSize="9" orientation="portrait" r:id="rId1"/>
  <headerFooter>
    <oddFooter>&amp;C&amp;"Arial,Pogrubiony"&amp;8&amp;P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A654EC-57BF-416E-9A55-24842E88C42F}">
  <dimension ref="A1:G37"/>
  <sheetViews>
    <sheetView zoomScale="110" zoomScaleNormal="110" workbookViewId="0"/>
  </sheetViews>
  <sheetFormatPr defaultRowHeight="15" x14ac:dyDescent="0.25"/>
  <cols>
    <col min="1" max="1" width="4.42578125" style="374" customWidth="1"/>
    <col min="2" max="2" width="7.5703125" style="374" customWidth="1"/>
    <col min="3" max="3" width="49" style="374" customWidth="1"/>
    <col min="4" max="4" width="14.85546875" style="374" customWidth="1"/>
    <col min="5" max="5" width="14" style="374" customWidth="1"/>
    <col min="6" max="6" width="14.140625" style="374" customWidth="1"/>
    <col min="7" max="7" width="17" style="374" customWidth="1"/>
    <col min="8" max="256" width="9.140625" style="374"/>
    <col min="257" max="257" width="4.42578125" style="374" customWidth="1"/>
    <col min="258" max="258" width="7.5703125" style="374" customWidth="1"/>
    <col min="259" max="259" width="47.42578125" style="374" customWidth="1"/>
    <col min="260" max="260" width="14.85546875" style="374" customWidth="1"/>
    <col min="261" max="261" width="14" style="374" customWidth="1"/>
    <col min="262" max="262" width="14.140625" style="374" customWidth="1"/>
    <col min="263" max="263" width="14.7109375" style="374" customWidth="1"/>
    <col min="264" max="512" width="9.140625" style="374"/>
    <col min="513" max="513" width="4.42578125" style="374" customWidth="1"/>
    <col min="514" max="514" width="7.5703125" style="374" customWidth="1"/>
    <col min="515" max="515" width="47.42578125" style="374" customWidth="1"/>
    <col min="516" max="516" width="14.85546875" style="374" customWidth="1"/>
    <col min="517" max="517" width="14" style="374" customWidth="1"/>
    <col min="518" max="518" width="14.140625" style="374" customWidth="1"/>
    <col min="519" max="519" width="14.7109375" style="374" customWidth="1"/>
    <col min="520" max="768" width="9.140625" style="374"/>
    <col min="769" max="769" width="4.42578125" style="374" customWidth="1"/>
    <col min="770" max="770" width="7.5703125" style="374" customWidth="1"/>
    <col min="771" max="771" width="47.42578125" style="374" customWidth="1"/>
    <col min="772" max="772" width="14.85546875" style="374" customWidth="1"/>
    <col min="773" max="773" width="14" style="374" customWidth="1"/>
    <col min="774" max="774" width="14.140625" style="374" customWidth="1"/>
    <col min="775" max="775" width="14.7109375" style="374" customWidth="1"/>
    <col min="776" max="1024" width="9.140625" style="374"/>
    <col min="1025" max="1025" width="4.42578125" style="374" customWidth="1"/>
    <col min="1026" max="1026" width="7.5703125" style="374" customWidth="1"/>
    <col min="1027" max="1027" width="47.42578125" style="374" customWidth="1"/>
    <col min="1028" max="1028" width="14.85546875" style="374" customWidth="1"/>
    <col min="1029" max="1029" width="14" style="374" customWidth="1"/>
    <col min="1030" max="1030" width="14.140625" style="374" customWidth="1"/>
    <col min="1031" max="1031" width="14.7109375" style="374" customWidth="1"/>
    <col min="1032" max="1280" width="9.140625" style="374"/>
    <col min="1281" max="1281" width="4.42578125" style="374" customWidth="1"/>
    <col min="1282" max="1282" width="7.5703125" style="374" customWidth="1"/>
    <col min="1283" max="1283" width="47.42578125" style="374" customWidth="1"/>
    <col min="1284" max="1284" width="14.85546875" style="374" customWidth="1"/>
    <col min="1285" max="1285" width="14" style="374" customWidth="1"/>
    <col min="1286" max="1286" width="14.140625" style="374" customWidth="1"/>
    <col min="1287" max="1287" width="14.7109375" style="374" customWidth="1"/>
    <col min="1288" max="1536" width="9.140625" style="374"/>
    <col min="1537" max="1537" width="4.42578125" style="374" customWidth="1"/>
    <col min="1538" max="1538" width="7.5703125" style="374" customWidth="1"/>
    <col min="1539" max="1539" width="47.42578125" style="374" customWidth="1"/>
    <col min="1540" max="1540" width="14.85546875" style="374" customWidth="1"/>
    <col min="1541" max="1541" width="14" style="374" customWidth="1"/>
    <col min="1542" max="1542" width="14.140625" style="374" customWidth="1"/>
    <col min="1543" max="1543" width="14.7109375" style="374" customWidth="1"/>
    <col min="1544" max="1792" width="9.140625" style="374"/>
    <col min="1793" max="1793" width="4.42578125" style="374" customWidth="1"/>
    <col min="1794" max="1794" width="7.5703125" style="374" customWidth="1"/>
    <col min="1795" max="1795" width="47.42578125" style="374" customWidth="1"/>
    <col min="1796" max="1796" width="14.85546875" style="374" customWidth="1"/>
    <col min="1797" max="1797" width="14" style="374" customWidth="1"/>
    <col min="1798" max="1798" width="14.140625" style="374" customWidth="1"/>
    <col min="1799" max="1799" width="14.7109375" style="374" customWidth="1"/>
    <col min="1800" max="2048" width="9.140625" style="374"/>
    <col min="2049" max="2049" width="4.42578125" style="374" customWidth="1"/>
    <col min="2050" max="2050" width="7.5703125" style="374" customWidth="1"/>
    <col min="2051" max="2051" width="47.42578125" style="374" customWidth="1"/>
    <col min="2052" max="2052" width="14.85546875" style="374" customWidth="1"/>
    <col min="2053" max="2053" width="14" style="374" customWidth="1"/>
    <col min="2054" max="2054" width="14.140625" style="374" customWidth="1"/>
    <col min="2055" max="2055" width="14.7109375" style="374" customWidth="1"/>
    <col min="2056" max="2304" width="9.140625" style="374"/>
    <col min="2305" max="2305" width="4.42578125" style="374" customWidth="1"/>
    <col min="2306" max="2306" width="7.5703125" style="374" customWidth="1"/>
    <col min="2307" max="2307" width="47.42578125" style="374" customWidth="1"/>
    <col min="2308" max="2308" width="14.85546875" style="374" customWidth="1"/>
    <col min="2309" max="2309" width="14" style="374" customWidth="1"/>
    <col min="2310" max="2310" width="14.140625" style="374" customWidth="1"/>
    <col min="2311" max="2311" width="14.7109375" style="374" customWidth="1"/>
    <col min="2312" max="2560" width="9.140625" style="374"/>
    <col min="2561" max="2561" width="4.42578125" style="374" customWidth="1"/>
    <col min="2562" max="2562" width="7.5703125" style="374" customWidth="1"/>
    <col min="2563" max="2563" width="47.42578125" style="374" customWidth="1"/>
    <col min="2564" max="2564" width="14.85546875" style="374" customWidth="1"/>
    <col min="2565" max="2565" width="14" style="374" customWidth="1"/>
    <col min="2566" max="2566" width="14.140625" style="374" customWidth="1"/>
    <col min="2567" max="2567" width="14.7109375" style="374" customWidth="1"/>
    <col min="2568" max="2816" width="9.140625" style="374"/>
    <col min="2817" max="2817" width="4.42578125" style="374" customWidth="1"/>
    <col min="2818" max="2818" width="7.5703125" style="374" customWidth="1"/>
    <col min="2819" max="2819" width="47.42578125" style="374" customWidth="1"/>
    <col min="2820" max="2820" width="14.85546875" style="374" customWidth="1"/>
    <col min="2821" max="2821" width="14" style="374" customWidth="1"/>
    <col min="2822" max="2822" width="14.140625" style="374" customWidth="1"/>
    <col min="2823" max="2823" width="14.7109375" style="374" customWidth="1"/>
    <col min="2824" max="3072" width="9.140625" style="374"/>
    <col min="3073" max="3073" width="4.42578125" style="374" customWidth="1"/>
    <col min="3074" max="3074" width="7.5703125" style="374" customWidth="1"/>
    <col min="3075" max="3075" width="47.42578125" style="374" customWidth="1"/>
    <col min="3076" max="3076" width="14.85546875" style="374" customWidth="1"/>
    <col min="3077" max="3077" width="14" style="374" customWidth="1"/>
    <col min="3078" max="3078" width="14.140625" style="374" customWidth="1"/>
    <col min="3079" max="3079" width="14.7109375" style="374" customWidth="1"/>
    <col min="3080" max="3328" width="9.140625" style="374"/>
    <col min="3329" max="3329" width="4.42578125" style="374" customWidth="1"/>
    <col min="3330" max="3330" width="7.5703125" style="374" customWidth="1"/>
    <col min="3331" max="3331" width="47.42578125" style="374" customWidth="1"/>
    <col min="3332" max="3332" width="14.85546875" style="374" customWidth="1"/>
    <col min="3333" max="3333" width="14" style="374" customWidth="1"/>
    <col min="3334" max="3334" width="14.140625" style="374" customWidth="1"/>
    <col min="3335" max="3335" width="14.7109375" style="374" customWidth="1"/>
    <col min="3336" max="3584" width="9.140625" style="374"/>
    <col min="3585" max="3585" width="4.42578125" style="374" customWidth="1"/>
    <col min="3586" max="3586" width="7.5703125" style="374" customWidth="1"/>
    <col min="3587" max="3587" width="47.42578125" style="374" customWidth="1"/>
    <col min="3588" max="3588" width="14.85546875" style="374" customWidth="1"/>
    <col min="3589" max="3589" width="14" style="374" customWidth="1"/>
    <col min="3590" max="3590" width="14.140625" style="374" customWidth="1"/>
    <col min="3591" max="3591" width="14.7109375" style="374" customWidth="1"/>
    <col min="3592" max="3840" width="9.140625" style="374"/>
    <col min="3841" max="3841" width="4.42578125" style="374" customWidth="1"/>
    <col min="3842" max="3842" width="7.5703125" style="374" customWidth="1"/>
    <col min="3843" max="3843" width="47.42578125" style="374" customWidth="1"/>
    <col min="3844" max="3844" width="14.85546875" style="374" customWidth="1"/>
    <col min="3845" max="3845" width="14" style="374" customWidth="1"/>
    <col min="3846" max="3846" width="14.140625" style="374" customWidth="1"/>
    <col min="3847" max="3847" width="14.7109375" style="374" customWidth="1"/>
    <col min="3848" max="4096" width="9.140625" style="374"/>
    <col min="4097" max="4097" width="4.42578125" style="374" customWidth="1"/>
    <col min="4098" max="4098" width="7.5703125" style="374" customWidth="1"/>
    <col min="4099" max="4099" width="47.42578125" style="374" customWidth="1"/>
    <col min="4100" max="4100" width="14.85546875" style="374" customWidth="1"/>
    <col min="4101" max="4101" width="14" style="374" customWidth="1"/>
    <col min="4102" max="4102" width="14.140625" style="374" customWidth="1"/>
    <col min="4103" max="4103" width="14.7109375" style="374" customWidth="1"/>
    <col min="4104" max="4352" width="9.140625" style="374"/>
    <col min="4353" max="4353" width="4.42578125" style="374" customWidth="1"/>
    <col min="4354" max="4354" width="7.5703125" style="374" customWidth="1"/>
    <col min="4355" max="4355" width="47.42578125" style="374" customWidth="1"/>
    <col min="4356" max="4356" width="14.85546875" style="374" customWidth="1"/>
    <col min="4357" max="4357" width="14" style="374" customWidth="1"/>
    <col min="4358" max="4358" width="14.140625" style="374" customWidth="1"/>
    <col min="4359" max="4359" width="14.7109375" style="374" customWidth="1"/>
    <col min="4360" max="4608" width="9.140625" style="374"/>
    <col min="4609" max="4609" width="4.42578125" style="374" customWidth="1"/>
    <col min="4610" max="4610" width="7.5703125" style="374" customWidth="1"/>
    <col min="4611" max="4611" width="47.42578125" style="374" customWidth="1"/>
    <col min="4612" max="4612" width="14.85546875" style="374" customWidth="1"/>
    <col min="4613" max="4613" width="14" style="374" customWidth="1"/>
    <col min="4614" max="4614" width="14.140625" style="374" customWidth="1"/>
    <col min="4615" max="4615" width="14.7109375" style="374" customWidth="1"/>
    <col min="4616" max="4864" width="9.140625" style="374"/>
    <col min="4865" max="4865" width="4.42578125" style="374" customWidth="1"/>
    <col min="4866" max="4866" width="7.5703125" style="374" customWidth="1"/>
    <col min="4867" max="4867" width="47.42578125" style="374" customWidth="1"/>
    <col min="4868" max="4868" width="14.85546875" style="374" customWidth="1"/>
    <col min="4869" max="4869" width="14" style="374" customWidth="1"/>
    <col min="4870" max="4870" width="14.140625" style="374" customWidth="1"/>
    <col min="4871" max="4871" width="14.7109375" style="374" customWidth="1"/>
    <col min="4872" max="5120" width="9.140625" style="374"/>
    <col min="5121" max="5121" width="4.42578125" style="374" customWidth="1"/>
    <col min="5122" max="5122" width="7.5703125" style="374" customWidth="1"/>
    <col min="5123" max="5123" width="47.42578125" style="374" customWidth="1"/>
    <col min="5124" max="5124" width="14.85546875" style="374" customWidth="1"/>
    <col min="5125" max="5125" width="14" style="374" customWidth="1"/>
    <col min="5126" max="5126" width="14.140625" style="374" customWidth="1"/>
    <col min="5127" max="5127" width="14.7109375" style="374" customWidth="1"/>
    <col min="5128" max="5376" width="9.140625" style="374"/>
    <col min="5377" max="5377" width="4.42578125" style="374" customWidth="1"/>
    <col min="5378" max="5378" width="7.5703125" style="374" customWidth="1"/>
    <col min="5379" max="5379" width="47.42578125" style="374" customWidth="1"/>
    <col min="5380" max="5380" width="14.85546875" style="374" customWidth="1"/>
    <col min="5381" max="5381" width="14" style="374" customWidth="1"/>
    <col min="5382" max="5382" width="14.140625" style="374" customWidth="1"/>
    <col min="5383" max="5383" width="14.7109375" style="374" customWidth="1"/>
    <col min="5384" max="5632" width="9.140625" style="374"/>
    <col min="5633" max="5633" width="4.42578125" style="374" customWidth="1"/>
    <col min="5634" max="5634" width="7.5703125" style="374" customWidth="1"/>
    <col min="5635" max="5635" width="47.42578125" style="374" customWidth="1"/>
    <col min="5636" max="5636" width="14.85546875" style="374" customWidth="1"/>
    <col min="5637" max="5637" width="14" style="374" customWidth="1"/>
    <col min="5638" max="5638" width="14.140625" style="374" customWidth="1"/>
    <col min="5639" max="5639" width="14.7109375" style="374" customWidth="1"/>
    <col min="5640" max="5888" width="9.140625" style="374"/>
    <col min="5889" max="5889" width="4.42578125" style="374" customWidth="1"/>
    <col min="5890" max="5890" width="7.5703125" style="374" customWidth="1"/>
    <col min="5891" max="5891" width="47.42578125" style="374" customWidth="1"/>
    <col min="5892" max="5892" width="14.85546875" style="374" customWidth="1"/>
    <col min="5893" max="5893" width="14" style="374" customWidth="1"/>
    <col min="5894" max="5894" width="14.140625" style="374" customWidth="1"/>
    <col min="5895" max="5895" width="14.7109375" style="374" customWidth="1"/>
    <col min="5896" max="6144" width="9.140625" style="374"/>
    <col min="6145" max="6145" width="4.42578125" style="374" customWidth="1"/>
    <col min="6146" max="6146" width="7.5703125" style="374" customWidth="1"/>
    <col min="6147" max="6147" width="47.42578125" style="374" customWidth="1"/>
    <col min="6148" max="6148" width="14.85546875" style="374" customWidth="1"/>
    <col min="6149" max="6149" width="14" style="374" customWidth="1"/>
    <col min="6150" max="6150" width="14.140625" style="374" customWidth="1"/>
    <col min="6151" max="6151" width="14.7109375" style="374" customWidth="1"/>
    <col min="6152" max="6400" width="9.140625" style="374"/>
    <col min="6401" max="6401" width="4.42578125" style="374" customWidth="1"/>
    <col min="6402" max="6402" width="7.5703125" style="374" customWidth="1"/>
    <col min="6403" max="6403" width="47.42578125" style="374" customWidth="1"/>
    <col min="6404" max="6404" width="14.85546875" style="374" customWidth="1"/>
    <col min="6405" max="6405" width="14" style="374" customWidth="1"/>
    <col min="6406" max="6406" width="14.140625" style="374" customWidth="1"/>
    <col min="6407" max="6407" width="14.7109375" style="374" customWidth="1"/>
    <col min="6408" max="6656" width="9.140625" style="374"/>
    <col min="6657" max="6657" width="4.42578125" style="374" customWidth="1"/>
    <col min="6658" max="6658" width="7.5703125" style="374" customWidth="1"/>
    <col min="6659" max="6659" width="47.42578125" style="374" customWidth="1"/>
    <col min="6660" max="6660" width="14.85546875" style="374" customWidth="1"/>
    <col min="6661" max="6661" width="14" style="374" customWidth="1"/>
    <col min="6662" max="6662" width="14.140625" style="374" customWidth="1"/>
    <col min="6663" max="6663" width="14.7109375" style="374" customWidth="1"/>
    <col min="6664" max="6912" width="9.140625" style="374"/>
    <col min="6913" max="6913" width="4.42578125" style="374" customWidth="1"/>
    <col min="6914" max="6914" width="7.5703125" style="374" customWidth="1"/>
    <col min="6915" max="6915" width="47.42578125" style="374" customWidth="1"/>
    <col min="6916" max="6916" width="14.85546875" style="374" customWidth="1"/>
    <col min="6917" max="6917" width="14" style="374" customWidth="1"/>
    <col min="6918" max="6918" width="14.140625" style="374" customWidth="1"/>
    <col min="6919" max="6919" width="14.7109375" style="374" customWidth="1"/>
    <col min="6920" max="7168" width="9.140625" style="374"/>
    <col min="7169" max="7169" width="4.42578125" style="374" customWidth="1"/>
    <col min="7170" max="7170" width="7.5703125" style="374" customWidth="1"/>
    <col min="7171" max="7171" width="47.42578125" style="374" customWidth="1"/>
    <col min="7172" max="7172" width="14.85546875" style="374" customWidth="1"/>
    <col min="7173" max="7173" width="14" style="374" customWidth="1"/>
    <col min="7174" max="7174" width="14.140625" style="374" customWidth="1"/>
    <col min="7175" max="7175" width="14.7109375" style="374" customWidth="1"/>
    <col min="7176" max="7424" width="9.140625" style="374"/>
    <col min="7425" max="7425" width="4.42578125" style="374" customWidth="1"/>
    <col min="7426" max="7426" width="7.5703125" style="374" customWidth="1"/>
    <col min="7427" max="7427" width="47.42578125" style="374" customWidth="1"/>
    <col min="7428" max="7428" width="14.85546875" style="374" customWidth="1"/>
    <col min="7429" max="7429" width="14" style="374" customWidth="1"/>
    <col min="7430" max="7430" width="14.140625" style="374" customWidth="1"/>
    <col min="7431" max="7431" width="14.7109375" style="374" customWidth="1"/>
    <col min="7432" max="7680" width="9.140625" style="374"/>
    <col min="7681" max="7681" width="4.42578125" style="374" customWidth="1"/>
    <col min="7682" max="7682" width="7.5703125" style="374" customWidth="1"/>
    <col min="7683" max="7683" width="47.42578125" style="374" customWidth="1"/>
    <col min="7684" max="7684" width="14.85546875" style="374" customWidth="1"/>
    <col min="7685" max="7685" width="14" style="374" customWidth="1"/>
    <col min="7686" max="7686" width="14.140625" style="374" customWidth="1"/>
    <col min="7687" max="7687" width="14.7109375" style="374" customWidth="1"/>
    <col min="7688" max="7936" width="9.140625" style="374"/>
    <col min="7937" max="7937" width="4.42578125" style="374" customWidth="1"/>
    <col min="7938" max="7938" width="7.5703125" style="374" customWidth="1"/>
    <col min="7939" max="7939" width="47.42578125" style="374" customWidth="1"/>
    <col min="7940" max="7940" width="14.85546875" style="374" customWidth="1"/>
    <col min="7941" max="7941" width="14" style="374" customWidth="1"/>
    <col min="7942" max="7942" width="14.140625" style="374" customWidth="1"/>
    <col min="7943" max="7943" width="14.7109375" style="374" customWidth="1"/>
    <col min="7944" max="8192" width="9.140625" style="374"/>
    <col min="8193" max="8193" width="4.42578125" style="374" customWidth="1"/>
    <col min="8194" max="8194" width="7.5703125" style="374" customWidth="1"/>
    <col min="8195" max="8195" width="47.42578125" style="374" customWidth="1"/>
    <col min="8196" max="8196" width="14.85546875" style="374" customWidth="1"/>
    <col min="8197" max="8197" width="14" style="374" customWidth="1"/>
    <col min="8198" max="8198" width="14.140625" style="374" customWidth="1"/>
    <col min="8199" max="8199" width="14.7109375" style="374" customWidth="1"/>
    <col min="8200" max="8448" width="9.140625" style="374"/>
    <col min="8449" max="8449" width="4.42578125" style="374" customWidth="1"/>
    <col min="8450" max="8450" width="7.5703125" style="374" customWidth="1"/>
    <col min="8451" max="8451" width="47.42578125" style="374" customWidth="1"/>
    <col min="8452" max="8452" width="14.85546875" style="374" customWidth="1"/>
    <col min="8453" max="8453" width="14" style="374" customWidth="1"/>
    <col min="8454" max="8454" width="14.140625" style="374" customWidth="1"/>
    <col min="8455" max="8455" width="14.7109375" style="374" customWidth="1"/>
    <col min="8456" max="8704" width="9.140625" style="374"/>
    <col min="8705" max="8705" width="4.42578125" style="374" customWidth="1"/>
    <col min="8706" max="8706" width="7.5703125" style="374" customWidth="1"/>
    <col min="8707" max="8707" width="47.42578125" style="374" customWidth="1"/>
    <col min="8708" max="8708" width="14.85546875" style="374" customWidth="1"/>
    <col min="8709" max="8709" width="14" style="374" customWidth="1"/>
    <col min="8710" max="8710" width="14.140625" style="374" customWidth="1"/>
    <col min="8711" max="8711" width="14.7109375" style="374" customWidth="1"/>
    <col min="8712" max="8960" width="9.140625" style="374"/>
    <col min="8961" max="8961" width="4.42578125" style="374" customWidth="1"/>
    <col min="8962" max="8962" width="7.5703125" style="374" customWidth="1"/>
    <col min="8963" max="8963" width="47.42578125" style="374" customWidth="1"/>
    <col min="8964" max="8964" width="14.85546875" style="374" customWidth="1"/>
    <col min="8965" max="8965" width="14" style="374" customWidth="1"/>
    <col min="8966" max="8966" width="14.140625" style="374" customWidth="1"/>
    <col min="8967" max="8967" width="14.7109375" style="374" customWidth="1"/>
    <col min="8968" max="9216" width="9.140625" style="374"/>
    <col min="9217" max="9217" width="4.42578125" style="374" customWidth="1"/>
    <col min="9218" max="9218" width="7.5703125" style="374" customWidth="1"/>
    <col min="9219" max="9219" width="47.42578125" style="374" customWidth="1"/>
    <col min="9220" max="9220" width="14.85546875" style="374" customWidth="1"/>
    <col min="9221" max="9221" width="14" style="374" customWidth="1"/>
    <col min="9222" max="9222" width="14.140625" style="374" customWidth="1"/>
    <col min="9223" max="9223" width="14.7109375" style="374" customWidth="1"/>
    <col min="9224" max="9472" width="9.140625" style="374"/>
    <col min="9473" max="9473" width="4.42578125" style="374" customWidth="1"/>
    <col min="9474" max="9474" width="7.5703125" style="374" customWidth="1"/>
    <col min="9475" max="9475" width="47.42578125" style="374" customWidth="1"/>
    <col min="9476" max="9476" width="14.85546875" style="374" customWidth="1"/>
    <col min="9477" max="9477" width="14" style="374" customWidth="1"/>
    <col min="9478" max="9478" width="14.140625" style="374" customWidth="1"/>
    <col min="9479" max="9479" width="14.7109375" style="374" customWidth="1"/>
    <col min="9480" max="9728" width="9.140625" style="374"/>
    <col min="9729" max="9729" width="4.42578125" style="374" customWidth="1"/>
    <col min="9730" max="9730" width="7.5703125" style="374" customWidth="1"/>
    <col min="9731" max="9731" width="47.42578125" style="374" customWidth="1"/>
    <col min="9732" max="9732" width="14.85546875" style="374" customWidth="1"/>
    <col min="9733" max="9733" width="14" style="374" customWidth="1"/>
    <col min="9734" max="9734" width="14.140625" style="374" customWidth="1"/>
    <col min="9735" max="9735" width="14.7109375" style="374" customWidth="1"/>
    <col min="9736" max="9984" width="9.140625" style="374"/>
    <col min="9985" max="9985" width="4.42578125" style="374" customWidth="1"/>
    <col min="9986" max="9986" width="7.5703125" style="374" customWidth="1"/>
    <col min="9987" max="9987" width="47.42578125" style="374" customWidth="1"/>
    <col min="9988" max="9988" width="14.85546875" style="374" customWidth="1"/>
    <col min="9989" max="9989" width="14" style="374" customWidth="1"/>
    <col min="9990" max="9990" width="14.140625" style="374" customWidth="1"/>
    <col min="9991" max="9991" width="14.7109375" style="374" customWidth="1"/>
    <col min="9992" max="10240" width="9.140625" style="374"/>
    <col min="10241" max="10241" width="4.42578125" style="374" customWidth="1"/>
    <col min="10242" max="10242" width="7.5703125" style="374" customWidth="1"/>
    <col min="10243" max="10243" width="47.42578125" style="374" customWidth="1"/>
    <col min="10244" max="10244" width="14.85546875" style="374" customWidth="1"/>
    <col min="10245" max="10245" width="14" style="374" customWidth="1"/>
    <col min="10246" max="10246" width="14.140625" style="374" customWidth="1"/>
    <col min="10247" max="10247" width="14.7109375" style="374" customWidth="1"/>
    <col min="10248" max="10496" width="9.140625" style="374"/>
    <col min="10497" max="10497" width="4.42578125" style="374" customWidth="1"/>
    <col min="10498" max="10498" width="7.5703125" style="374" customWidth="1"/>
    <col min="10499" max="10499" width="47.42578125" style="374" customWidth="1"/>
    <col min="10500" max="10500" width="14.85546875" style="374" customWidth="1"/>
    <col min="10501" max="10501" width="14" style="374" customWidth="1"/>
    <col min="10502" max="10502" width="14.140625" style="374" customWidth="1"/>
    <col min="10503" max="10503" width="14.7109375" style="374" customWidth="1"/>
    <col min="10504" max="10752" width="9.140625" style="374"/>
    <col min="10753" max="10753" width="4.42578125" style="374" customWidth="1"/>
    <col min="10754" max="10754" width="7.5703125" style="374" customWidth="1"/>
    <col min="10755" max="10755" width="47.42578125" style="374" customWidth="1"/>
    <col min="10756" max="10756" width="14.85546875" style="374" customWidth="1"/>
    <col min="10757" max="10757" width="14" style="374" customWidth="1"/>
    <col min="10758" max="10758" width="14.140625" style="374" customWidth="1"/>
    <col min="10759" max="10759" width="14.7109375" style="374" customWidth="1"/>
    <col min="10760" max="11008" width="9.140625" style="374"/>
    <col min="11009" max="11009" width="4.42578125" style="374" customWidth="1"/>
    <col min="11010" max="11010" width="7.5703125" style="374" customWidth="1"/>
    <col min="11011" max="11011" width="47.42578125" style="374" customWidth="1"/>
    <col min="11012" max="11012" width="14.85546875" style="374" customWidth="1"/>
    <col min="11013" max="11013" width="14" style="374" customWidth="1"/>
    <col min="11014" max="11014" width="14.140625" style="374" customWidth="1"/>
    <col min="11015" max="11015" width="14.7109375" style="374" customWidth="1"/>
    <col min="11016" max="11264" width="9.140625" style="374"/>
    <col min="11265" max="11265" width="4.42578125" style="374" customWidth="1"/>
    <col min="11266" max="11266" width="7.5703125" style="374" customWidth="1"/>
    <col min="11267" max="11267" width="47.42578125" style="374" customWidth="1"/>
    <col min="11268" max="11268" width="14.85546875" style="374" customWidth="1"/>
    <col min="11269" max="11269" width="14" style="374" customWidth="1"/>
    <col min="11270" max="11270" width="14.140625" style="374" customWidth="1"/>
    <col min="11271" max="11271" width="14.7109375" style="374" customWidth="1"/>
    <col min="11272" max="11520" width="9.140625" style="374"/>
    <col min="11521" max="11521" width="4.42578125" style="374" customWidth="1"/>
    <col min="11522" max="11522" width="7.5703125" style="374" customWidth="1"/>
    <col min="11523" max="11523" width="47.42578125" style="374" customWidth="1"/>
    <col min="11524" max="11524" width="14.85546875" style="374" customWidth="1"/>
    <col min="11525" max="11525" width="14" style="374" customWidth="1"/>
    <col min="11526" max="11526" width="14.140625" style="374" customWidth="1"/>
    <col min="11527" max="11527" width="14.7109375" style="374" customWidth="1"/>
    <col min="11528" max="11776" width="9.140625" style="374"/>
    <col min="11777" max="11777" width="4.42578125" style="374" customWidth="1"/>
    <col min="11778" max="11778" width="7.5703125" style="374" customWidth="1"/>
    <col min="11779" max="11779" width="47.42578125" style="374" customWidth="1"/>
    <col min="11780" max="11780" width="14.85546875" style="374" customWidth="1"/>
    <col min="11781" max="11781" width="14" style="374" customWidth="1"/>
    <col min="11782" max="11782" width="14.140625" style="374" customWidth="1"/>
    <col min="11783" max="11783" width="14.7109375" style="374" customWidth="1"/>
    <col min="11784" max="12032" width="9.140625" style="374"/>
    <col min="12033" max="12033" width="4.42578125" style="374" customWidth="1"/>
    <col min="12034" max="12034" width="7.5703125" style="374" customWidth="1"/>
    <col min="12035" max="12035" width="47.42578125" style="374" customWidth="1"/>
    <col min="12036" max="12036" width="14.85546875" style="374" customWidth="1"/>
    <col min="12037" max="12037" width="14" style="374" customWidth="1"/>
    <col min="12038" max="12038" width="14.140625" style="374" customWidth="1"/>
    <col min="12039" max="12039" width="14.7109375" style="374" customWidth="1"/>
    <col min="12040" max="12288" width="9.140625" style="374"/>
    <col min="12289" max="12289" width="4.42578125" style="374" customWidth="1"/>
    <col min="12290" max="12290" width="7.5703125" style="374" customWidth="1"/>
    <col min="12291" max="12291" width="47.42578125" style="374" customWidth="1"/>
    <col min="12292" max="12292" width="14.85546875" style="374" customWidth="1"/>
    <col min="12293" max="12293" width="14" style="374" customWidth="1"/>
    <col min="12294" max="12294" width="14.140625" style="374" customWidth="1"/>
    <col min="12295" max="12295" width="14.7109375" style="374" customWidth="1"/>
    <col min="12296" max="12544" width="9.140625" style="374"/>
    <col min="12545" max="12545" width="4.42578125" style="374" customWidth="1"/>
    <col min="12546" max="12546" width="7.5703125" style="374" customWidth="1"/>
    <col min="12547" max="12547" width="47.42578125" style="374" customWidth="1"/>
    <col min="12548" max="12548" width="14.85546875" style="374" customWidth="1"/>
    <col min="12549" max="12549" width="14" style="374" customWidth="1"/>
    <col min="12550" max="12550" width="14.140625" style="374" customWidth="1"/>
    <col min="12551" max="12551" width="14.7109375" style="374" customWidth="1"/>
    <col min="12552" max="12800" width="9.140625" style="374"/>
    <col min="12801" max="12801" width="4.42578125" style="374" customWidth="1"/>
    <col min="12802" max="12802" width="7.5703125" style="374" customWidth="1"/>
    <col min="12803" max="12803" width="47.42578125" style="374" customWidth="1"/>
    <col min="12804" max="12804" width="14.85546875" style="374" customWidth="1"/>
    <col min="12805" max="12805" width="14" style="374" customWidth="1"/>
    <col min="12806" max="12806" width="14.140625" style="374" customWidth="1"/>
    <col min="12807" max="12807" width="14.7109375" style="374" customWidth="1"/>
    <col min="12808" max="13056" width="9.140625" style="374"/>
    <col min="13057" max="13057" width="4.42578125" style="374" customWidth="1"/>
    <col min="13058" max="13058" width="7.5703125" style="374" customWidth="1"/>
    <col min="13059" max="13059" width="47.42578125" style="374" customWidth="1"/>
    <col min="13060" max="13060" width="14.85546875" style="374" customWidth="1"/>
    <col min="13061" max="13061" width="14" style="374" customWidth="1"/>
    <col min="13062" max="13062" width="14.140625" style="374" customWidth="1"/>
    <col min="13063" max="13063" width="14.7109375" style="374" customWidth="1"/>
    <col min="13064" max="13312" width="9.140625" style="374"/>
    <col min="13313" max="13313" width="4.42578125" style="374" customWidth="1"/>
    <col min="13314" max="13314" width="7.5703125" style="374" customWidth="1"/>
    <col min="13315" max="13315" width="47.42578125" style="374" customWidth="1"/>
    <col min="13316" max="13316" width="14.85546875" style="374" customWidth="1"/>
    <col min="13317" max="13317" width="14" style="374" customWidth="1"/>
    <col min="13318" max="13318" width="14.140625" style="374" customWidth="1"/>
    <col min="13319" max="13319" width="14.7109375" style="374" customWidth="1"/>
    <col min="13320" max="13568" width="9.140625" style="374"/>
    <col min="13569" max="13569" width="4.42578125" style="374" customWidth="1"/>
    <col min="13570" max="13570" width="7.5703125" style="374" customWidth="1"/>
    <col min="13571" max="13571" width="47.42578125" style="374" customWidth="1"/>
    <col min="13572" max="13572" width="14.85546875" style="374" customWidth="1"/>
    <col min="13573" max="13573" width="14" style="374" customWidth="1"/>
    <col min="13574" max="13574" width="14.140625" style="374" customWidth="1"/>
    <col min="13575" max="13575" width="14.7109375" style="374" customWidth="1"/>
    <col min="13576" max="13824" width="9.140625" style="374"/>
    <col min="13825" max="13825" width="4.42578125" style="374" customWidth="1"/>
    <col min="13826" max="13826" width="7.5703125" style="374" customWidth="1"/>
    <col min="13827" max="13827" width="47.42578125" style="374" customWidth="1"/>
    <col min="13828" max="13828" width="14.85546875" style="374" customWidth="1"/>
    <col min="13829" max="13829" width="14" style="374" customWidth="1"/>
    <col min="13830" max="13830" width="14.140625" style="374" customWidth="1"/>
    <col min="13831" max="13831" width="14.7109375" style="374" customWidth="1"/>
    <col min="13832" max="14080" width="9.140625" style="374"/>
    <col min="14081" max="14081" width="4.42578125" style="374" customWidth="1"/>
    <col min="14082" max="14082" width="7.5703125" style="374" customWidth="1"/>
    <col min="14083" max="14083" width="47.42578125" style="374" customWidth="1"/>
    <col min="14084" max="14084" width="14.85546875" style="374" customWidth="1"/>
    <col min="14085" max="14085" width="14" style="374" customWidth="1"/>
    <col min="14086" max="14086" width="14.140625" style="374" customWidth="1"/>
    <col min="14087" max="14087" width="14.7109375" style="374" customWidth="1"/>
    <col min="14088" max="14336" width="9.140625" style="374"/>
    <col min="14337" max="14337" width="4.42578125" style="374" customWidth="1"/>
    <col min="14338" max="14338" width="7.5703125" style="374" customWidth="1"/>
    <col min="14339" max="14339" width="47.42578125" style="374" customWidth="1"/>
    <col min="14340" max="14340" width="14.85546875" style="374" customWidth="1"/>
    <col min="14341" max="14341" width="14" style="374" customWidth="1"/>
    <col min="14342" max="14342" width="14.140625" style="374" customWidth="1"/>
    <col min="14343" max="14343" width="14.7109375" style="374" customWidth="1"/>
    <col min="14344" max="14592" width="9.140625" style="374"/>
    <col min="14593" max="14593" width="4.42578125" style="374" customWidth="1"/>
    <col min="14594" max="14594" width="7.5703125" style="374" customWidth="1"/>
    <col min="14595" max="14595" width="47.42578125" style="374" customWidth="1"/>
    <col min="14596" max="14596" width="14.85546875" style="374" customWidth="1"/>
    <col min="14597" max="14597" width="14" style="374" customWidth="1"/>
    <col min="14598" max="14598" width="14.140625" style="374" customWidth="1"/>
    <col min="14599" max="14599" width="14.7109375" style="374" customWidth="1"/>
    <col min="14600" max="14848" width="9.140625" style="374"/>
    <col min="14849" max="14849" width="4.42578125" style="374" customWidth="1"/>
    <col min="14850" max="14850" width="7.5703125" style="374" customWidth="1"/>
    <col min="14851" max="14851" width="47.42578125" style="374" customWidth="1"/>
    <col min="14852" max="14852" width="14.85546875" style="374" customWidth="1"/>
    <col min="14853" max="14853" width="14" style="374" customWidth="1"/>
    <col min="14854" max="14854" width="14.140625" style="374" customWidth="1"/>
    <col min="14855" max="14855" width="14.7109375" style="374" customWidth="1"/>
    <col min="14856" max="15104" width="9.140625" style="374"/>
    <col min="15105" max="15105" width="4.42578125" style="374" customWidth="1"/>
    <col min="15106" max="15106" width="7.5703125" style="374" customWidth="1"/>
    <col min="15107" max="15107" width="47.42578125" style="374" customWidth="1"/>
    <col min="15108" max="15108" width="14.85546875" style="374" customWidth="1"/>
    <col min="15109" max="15109" width="14" style="374" customWidth="1"/>
    <col min="15110" max="15110" width="14.140625" style="374" customWidth="1"/>
    <col min="15111" max="15111" width="14.7109375" style="374" customWidth="1"/>
    <col min="15112" max="15360" width="9.140625" style="374"/>
    <col min="15361" max="15361" width="4.42578125" style="374" customWidth="1"/>
    <col min="15362" max="15362" width="7.5703125" style="374" customWidth="1"/>
    <col min="15363" max="15363" width="47.42578125" style="374" customWidth="1"/>
    <col min="15364" max="15364" width="14.85546875" style="374" customWidth="1"/>
    <col min="15365" max="15365" width="14" style="374" customWidth="1"/>
    <col min="15366" max="15366" width="14.140625" style="374" customWidth="1"/>
    <col min="15367" max="15367" width="14.7109375" style="374" customWidth="1"/>
    <col min="15368" max="15616" width="9.140625" style="374"/>
    <col min="15617" max="15617" width="4.42578125" style="374" customWidth="1"/>
    <col min="15618" max="15618" width="7.5703125" style="374" customWidth="1"/>
    <col min="15619" max="15619" width="47.42578125" style="374" customWidth="1"/>
    <col min="15620" max="15620" width="14.85546875" style="374" customWidth="1"/>
    <col min="15621" max="15621" width="14" style="374" customWidth="1"/>
    <col min="15622" max="15622" width="14.140625" style="374" customWidth="1"/>
    <col min="15623" max="15623" width="14.7109375" style="374" customWidth="1"/>
    <col min="15624" max="15872" width="9.140625" style="374"/>
    <col min="15873" max="15873" width="4.42578125" style="374" customWidth="1"/>
    <col min="15874" max="15874" width="7.5703125" style="374" customWidth="1"/>
    <col min="15875" max="15875" width="47.42578125" style="374" customWidth="1"/>
    <col min="15876" max="15876" width="14.85546875" style="374" customWidth="1"/>
    <col min="15877" max="15877" width="14" style="374" customWidth="1"/>
    <col min="15878" max="15878" width="14.140625" style="374" customWidth="1"/>
    <col min="15879" max="15879" width="14.7109375" style="374" customWidth="1"/>
    <col min="15880" max="16128" width="9.140625" style="374"/>
    <col min="16129" max="16129" width="4.42578125" style="374" customWidth="1"/>
    <col min="16130" max="16130" width="7.5703125" style="374" customWidth="1"/>
    <col min="16131" max="16131" width="47.42578125" style="374" customWidth="1"/>
    <col min="16132" max="16132" width="14.85546875" style="374" customWidth="1"/>
    <col min="16133" max="16133" width="14" style="374" customWidth="1"/>
    <col min="16134" max="16134" width="14.140625" style="374" customWidth="1"/>
    <col min="16135" max="16135" width="14.7109375" style="374" customWidth="1"/>
    <col min="16136" max="16384" width="9.140625" style="374"/>
  </cols>
  <sheetData>
    <row r="1" spans="1:7" x14ac:dyDescent="0.25">
      <c r="F1" s="4" t="s">
        <v>167</v>
      </c>
    </row>
    <row r="2" spans="1:7" x14ac:dyDescent="0.25">
      <c r="F2" s="4" t="s">
        <v>264</v>
      </c>
    </row>
    <row r="3" spans="1:7" x14ac:dyDescent="0.25">
      <c r="F3" s="4" t="s">
        <v>1</v>
      </c>
    </row>
    <row r="4" spans="1:7" x14ac:dyDescent="0.25">
      <c r="F4" s="4" t="s">
        <v>265</v>
      </c>
    </row>
    <row r="6" spans="1:7" s="172" customFormat="1" ht="12.75" x14ac:dyDescent="0.2">
      <c r="A6" s="171" t="s">
        <v>168</v>
      </c>
      <c r="B6" s="171"/>
      <c r="C6" s="171"/>
      <c r="D6" s="171"/>
      <c r="E6" s="171"/>
      <c r="F6" s="171"/>
      <c r="G6" s="171"/>
    </row>
    <row r="7" spans="1:7" s="172" customFormat="1" ht="12.75" x14ac:dyDescent="0.2">
      <c r="A7" s="171" t="s">
        <v>169</v>
      </c>
      <c r="B7" s="171"/>
      <c r="C7" s="171"/>
      <c r="D7" s="171"/>
      <c r="E7" s="171"/>
      <c r="F7" s="171"/>
      <c r="G7" s="171"/>
    </row>
    <row r="8" spans="1:7" x14ac:dyDescent="0.25">
      <c r="A8" s="173" t="s">
        <v>170</v>
      </c>
      <c r="B8" s="173"/>
      <c r="C8" s="173"/>
      <c r="D8" s="173"/>
      <c r="E8" s="173"/>
      <c r="F8" s="173"/>
      <c r="G8" s="173"/>
    </row>
    <row r="9" spans="1:7" x14ac:dyDescent="0.25">
      <c r="A9" s="429"/>
      <c r="B9" s="429"/>
      <c r="C9" s="429"/>
      <c r="D9" s="429"/>
      <c r="E9" s="429"/>
      <c r="F9" s="429"/>
      <c r="G9" s="174" t="s">
        <v>3</v>
      </c>
    </row>
    <row r="10" spans="1:7" ht="15" customHeight="1" x14ac:dyDescent="0.25">
      <c r="A10" s="175"/>
      <c r="B10" s="175"/>
      <c r="C10" s="175"/>
      <c r="D10" s="176" t="s">
        <v>171</v>
      </c>
      <c r="E10" s="177"/>
      <c r="F10" s="178"/>
      <c r="G10" s="176" t="s">
        <v>171</v>
      </c>
    </row>
    <row r="11" spans="1:7" x14ac:dyDescent="0.25">
      <c r="A11" s="179"/>
      <c r="B11" s="179" t="s">
        <v>5</v>
      </c>
      <c r="C11" s="179"/>
      <c r="D11" s="180" t="s">
        <v>172</v>
      </c>
      <c r="E11" s="180"/>
      <c r="F11" s="180"/>
      <c r="G11" s="180" t="s">
        <v>173</v>
      </c>
    </row>
    <row r="12" spans="1:7" x14ac:dyDescent="0.25">
      <c r="A12" s="179" t="s">
        <v>156</v>
      </c>
      <c r="B12" s="181"/>
      <c r="C12" s="179" t="s">
        <v>174</v>
      </c>
      <c r="D12" s="180" t="s">
        <v>175</v>
      </c>
      <c r="E12" s="180" t="s">
        <v>176</v>
      </c>
      <c r="F12" s="180" t="s">
        <v>177</v>
      </c>
      <c r="G12" s="180" t="s">
        <v>178</v>
      </c>
    </row>
    <row r="13" spans="1:7" x14ac:dyDescent="0.25">
      <c r="A13" s="181"/>
      <c r="B13" s="181" t="s">
        <v>6</v>
      </c>
      <c r="C13" s="181"/>
      <c r="D13" s="182" t="s">
        <v>179</v>
      </c>
      <c r="E13" s="182"/>
      <c r="F13" s="182"/>
      <c r="G13" s="182" t="s">
        <v>179</v>
      </c>
    </row>
    <row r="14" spans="1:7" x14ac:dyDescent="0.25">
      <c r="A14" s="183">
        <v>1</v>
      </c>
      <c r="B14" s="183">
        <v>2</v>
      </c>
      <c r="C14" s="183">
        <v>3</v>
      </c>
      <c r="D14" s="183">
        <v>4</v>
      </c>
      <c r="E14" s="183">
        <v>5</v>
      </c>
      <c r="F14" s="183">
        <v>6</v>
      </c>
      <c r="G14" s="183">
        <v>7</v>
      </c>
    </row>
    <row r="15" spans="1:7" s="429" customFormat="1" ht="12" customHeight="1" x14ac:dyDescent="0.25">
      <c r="A15" s="184"/>
      <c r="B15" s="185">
        <v>801</v>
      </c>
      <c r="C15" s="430"/>
      <c r="D15" s="431"/>
      <c r="E15" s="431"/>
      <c r="F15" s="431"/>
      <c r="G15" s="431"/>
    </row>
    <row r="16" spans="1:7" x14ac:dyDescent="0.25">
      <c r="A16" s="186" t="s">
        <v>180</v>
      </c>
      <c r="B16" s="432">
        <v>80101</v>
      </c>
      <c r="C16" s="187" t="s">
        <v>59</v>
      </c>
      <c r="D16" s="433">
        <v>170.99</v>
      </c>
      <c r="E16" s="433">
        <v>794205.21</v>
      </c>
      <c r="F16" s="433">
        <v>794376.2</v>
      </c>
      <c r="G16" s="433">
        <v>0</v>
      </c>
    </row>
    <row r="17" spans="1:7" x14ac:dyDescent="0.25">
      <c r="A17" s="186" t="s">
        <v>181</v>
      </c>
      <c r="B17" s="432">
        <v>80102</v>
      </c>
      <c r="C17" s="188" t="s">
        <v>66</v>
      </c>
      <c r="D17" s="434">
        <v>0</v>
      </c>
      <c r="E17" s="434">
        <v>4490</v>
      </c>
      <c r="F17" s="434">
        <v>4490</v>
      </c>
      <c r="G17" s="434">
        <v>0</v>
      </c>
    </row>
    <row r="18" spans="1:7" x14ac:dyDescent="0.25">
      <c r="A18" s="186" t="s">
        <v>182</v>
      </c>
      <c r="B18" s="432">
        <v>80104</v>
      </c>
      <c r="C18" s="188" t="s">
        <v>67</v>
      </c>
      <c r="D18" s="434">
        <v>5123.59</v>
      </c>
      <c r="E18" s="434">
        <v>2992328.59</v>
      </c>
      <c r="F18" s="434">
        <v>2997452.18</v>
      </c>
      <c r="G18" s="434">
        <v>0</v>
      </c>
    </row>
    <row r="19" spans="1:7" x14ac:dyDescent="0.25">
      <c r="A19" s="186" t="s">
        <v>183</v>
      </c>
      <c r="B19" s="432">
        <v>80115</v>
      </c>
      <c r="C19" s="188" t="s">
        <v>71</v>
      </c>
      <c r="D19" s="434">
        <v>3153.5</v>
      </c>
      <c r="E19" s="434">
        <v>1143508</v>
      </c>
      <c r="F19" s="434">
        <v>1146661.5</v>
      </c>
      <c r="G19" s="434">
        <v>0</v>
      </c>
    </row>
    <row r="20" spans="1:7" x14ac:dyDescent="0.25">
      <c r="A20" s="186" t="s">
        <v>184</v>
      </c>
      <c r="B20" s="432">
        <v>80120</v>
      </c>
      <c r="C20" s="188" t="s">
        <v>74</v>
      </c>
      <c r="D20" s="435">
        <v>68.55</v>
      </c>
      <c r="E20" s="434">
        <v>243036.99</v>
      </c>
      <c r="F20" s="434">
        <v>243105.54</v>
      </c>
      <c r="G20" s="434">
        <v>0</v>
      </c>
    </row>
    <row r="21" spans="1:7" x14ac:dyDescent="0.25">
      <c r="A21" s="186" t="s">
        <v>185</v>
      </c>
      <c r="B21" s="432">
        <v>80132</v>
      </c>
      <c r="C21" s="188" t="s">
        <v>186</v>
      </c>
      <c r="D21" s="434">
        <v>2.87</v>
      </c>
      <c r="E21" s="434">
        <v>40992</v>
      </c>
      <c r="F21" s="434">
        <v>40994.870000000003</v>
      </c>
      <c r="G21" s="436">
        <v>0</v>
      </c>
    </row>
    <row r="22" spans="1:7" x14ac:dyDescent="0.25">
      <c r="A22" s="186" t="s">
        <v>187</v>
      </c>
      <c r="B22" s="432">
        <v>80134</v>
      </c>
      <c r="C22" s="188" t="s">
        <v>188</v>
      </c>
      <c r="D22" s="434">
        <v>0</v>
      </c>
      <c r="E22" s="434">
        <v>1300</v>
      </c>
      <c r="F22" s="434">
        <v>1300</v>
      </c>
      <c r="G22" s="434">
        <v>0</v>
      </c>
    </row>
    <row r="23" spans="1:7" ht="25.5" x14ac:dyDescent="0.25">
      <c r="A23" s="189" t="s">
        <v>189</v>
      </c>
      <c r="B23" s="437">
        <v>80140</v>
      </c>
      <c r="C23" s="190" t="s">
        <v>190</v>
      </c>
      <c r="D23" s="434">
        <v>0</v>
      </c>
      <c r="E23" s="434">
        <v>101038</v>
      </c>
      <c r="F23" s="434">
        <v>101038</v>
      </c>
      <c r="G23" s="434">
        <v>0</v>
      </c>
    </row>
    <row r="24" spans="1:7" x14ac:dyDescent="0.25">
      <c r="A24" s="189" t="s">
        <v>191</v>
      </c>
      <c r="B24" s="437">
        <v>80142</v>
      </c>
      <c r="C24" s="190" t="s">
        <v>76</v>
      </c>
      <c r="D24" s="434">
        <v>0</v>
      </c>
      <c r="E24" s="434">
        <v>281040</v>
      </c>
      <c r="F24" s="434">
        <v>281040</v>
      </c>
      <c r="G24" s="434">
        <v>0</v>
      </c>
    </row>
    <row r="25" spans="1:7" x14ac:dyDescent="0.25">
      <c r="A25" s="189" t="s">
        <v>192</v>
      </c>
      <c r="B25" s="437">
        <v>80144</v>
      </c>
      <c r="C25" s="190" t="s">
        <v>193</v>
      </c>
      <c r="D25" s="434">
        <v>0</v>
      </c>
      <c r="E25" s="434">
        <v>63532</v>
      </c>
      <c r="F25" s="434">
        <v>63532</v>
      </c>
      <c r="G25" s="434">
        <v>0</v>
      </c>
    </row>
    <row r="26" spans="1:7" x14ac:dyDescent="0.25">
      <c r="A26" s="191" t="s">
        <v>194</v>
      </c>
      <c r="B26" s="438">
        <v>80148</v>
      </c>
      <c r="C26" s="188" t="s">
        <v>195</v>
      </c>
      <c r="D26" s="439">
        <v>304.12</v>
      </c>
      <c r="E26" s="439">
        <v>2773291</v>
      </c>
      <c r="F26" s="439">
        <v>2773595.12</v>
      </c>
      <c r="G26" s="439">
        <v>0</v>
      </c>
    </row>
    <row r="27" spans="1:7" ht="12.75" customHeight="1" x14ac:dyDescent="0.25">
      <c r="A27" s="440"/>
      <c r="B27" s="192">
        <v>854</v>
      </c>
      <c r="C27" s="193"/>
      <c r="D27" s="441"/>
      <c r="E27" s="441"/>
      <c r="F27" s="441"/>
      <c r="G27" s="441"/>
    </row>
    <row r="28" spans="1:7" x14ac:dyDescent="0.25">
      <c r="A28" s="186" t="s">
        <v>180</v>
      </c>
      <c r="B28" s="432">
        <v>85410</v>
      </c>
      <c r="C28" s="188" t="s">
        <v>196</v>
      </c>
      <c r="D28" s="434">
        <v>20.57</v>
      </c>
      <c r="E28" s="434">
        <v>491700</v>
      </c>
      <c r="F28" s="434">
        <v>491720.57</v>
      </c>
      <c r="G28" s="434">
        <v>0</v>
      </c>
    </row>
    <row r="29" spans="1:7" x14ac:dyDescent="0.25">
      <c r="A29" s="186" t="s">
        <v>181</v>
      </c>
      <c r="B29" s="432">
        <v>85412</v>
      </c>
      <c r="C29" s="188" t="s">
        <v>197</v>
      </c>
      <c r="D29" s="434"/>
      <c r="E29" s="434"/>
      <c r="F29" s="434"/>
      <c r="G29" s="434"/>
    </row>
    <row r="30" spans="1:7" x14ac:dyDescent="0.25">
      <c r="A30" s="186"/>
      <c r="B30" s="432"/>
      <c r="C30" s="188" t="s">
        <v>198</v>
      </c>
      <c r="D30" s="434">
        <v>0</v>
      </c>
      <c r="E30" s="434">
        <v>9850</v>
      </c>
      <c r="F30" s="434">
        <v>9850</v>
      </c>
      <c r="G30" s="434">
        <v>0</v>
      </c>
    </row>
    <row r="31" spans="1:7" x14ac:dyDescent="0.25">
      <c r="A31" s="186" t="s">
        <v>182</v>
      </c>
      <c r="B31" s="432">
        <v>85417</v>
      </c>
      <c r="C31" s="194" t="s">
        <v>199</v>
      </c>
      <c r="D31" s="434">
        <v>0</v>
      </c>
      <c r="E31" s="434">
        <v>80400</v>
      </c>
      <c r="F31" s="434">
        <v>80400</v>
      </c>
      <c r="G31" s="434">
        <v>0</v>
      </c>
    </row>
    <row r="32" spans="1:7" x14ac:dyDescent="0.25">
      <c r="A32" s="195" t="s">
        <v>183</v>
      </c>
      <c r="B32" s="442">
        <v>85420</v>
      </c>
      <c r="C32" s="196" t="s">
        <v>200</v>
      </c>
      <c r="D32" s="443">
        <v>0</v>
      </c>
      <c r="E32" s="443">
        <v>19502</v>
      </c>
      <c r="F32" s="443">
        <v>19502</v>
      </c>
      <c r="G32" s="444">
        <v>0</v>
      </c>
    </row>
    <row r="33" spans="1:7" s="448" customFormat="1" ht="20.25" customHeight="1" x14ac:dyDescent="0.25">
      <c r="A33" s="445"/>
      <c r="B33" s="445"/>
      <c r="C33" s="446" t="s">
        <v>201</v>
      </c>
      <c r="D33" s="447">
        <f>SUM(D16:D32)</f>
        <v>8844.19</v>
      </c>
      <c r="E33" s="447">
        <f>SUM(E16:E32)</f>
        <v>9040213.7899999991</v>
      </c>
      <c r="F33" s="447">
        <f>SUM(F16:F32)</f>
        <v>9049057.9800000004</v>
      </c>
      <c r="G33" s="447">
        <f>SUM(G16:G32)</f>
        <v>0</v>
      </c>
    </row>
    <row r="35" spans="1:7" x14ac:dyDescent="0.25">
      <c r="A35" s="449"/>
      <c r="B35" s="449"/>
      <c r="C35" s="197"/>
    </row>
    <row r="36" spans="1:7" x14ac:dyDescent="0.25">
      <c r="A36" s="449"/>
      <c r="B36" s="449"/>
      <c r="C36" s="197"/>
    </row>
    <row r="37" spans="1:7" x14ac:dyDescent="0.25">
      <c r="A37" s="449"/>
      <c r="B37" s="449"/>
      <c r="C37" s="197"/>
    </row>
  </sheetData>
  <pageMargins left="0.70866141732283472" right="0.70866141732283472" top="0.74803149606299213" bottom="0.74803149606299213" header="0.31496062992125984" footer="0.31496062992125984"/>
  <pageSetup paperSize="9" firstPageNumber="50" orientation="landscape" useFirstPageNumber="1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ED9752-6191-4497-9493-16F139C2FD71}">
  <dimension ref="A1:BX75"/>
  <sheetViews>
    <sheetView topLeftCell="A40" zoomScale="130" zoomScaleNormal="130" workbookViewId="0"/>
  </sheetViews>
  <sheetFormatPr defaultRowHeight="15" x14ac:dyDescent="0.25"/>
  <cols>
    <col min="1" max="1" width="4.85546875" style="429" customWidth="1"/>
    <col min="2" max="2" width="33.42578125" style="429" customWidth="1"/>
    <col min="3" max="3" width="8.5703125" style="429" customWidth="1"/>
    <col min="4" max="4" width="9.42578125" style="429" customWidth="1"/>
    <col min="5" max="5" width="8.140625" style="429" customWidth="1"/>
    <col min="6" max="6" width="13" style="374" customWidth="1"/>
    <col min="7" max="7" width="12.85546875" style="374" customWidth="1"/>
    <col min="8" max="8" width="9.140625" style="374"/>
    <col min="9" max="9" width="12.42578125" style="374" customWidth="1"/>
    <col min="10" max="76" width="9.140625" style="374"/>
    <col min="77" max="253" width="9.140625" style="429"/>
    <col min="254" max="254" width="5.28515625" style="429" customWidth="1"/>
    <col min="255" max="255" width="8" style="429" customWidth="1"/>
    <col min="256" max="256" width="5.85546875" style="429" customWidth="1"/>
    <col min="257" max="257" width="9.42578125" style="429" customWidth="1"/>
    <col min="258" max="258" width="11.28515625" style="429" customWidth="1"/>
    <col min="259" max="259" width="11" style="429" customWidth="1"/>
    <col min="260" max="260" width="13.140625" style="429" customWidth="1"/>
    <col min="261" max="261" width="11.7109375" style="429" customWidth="1"/>
    <col min="262" max="262" width="11.140625" style="429" customWidth="1"/>
    <col min="263" max="263" width="11.7109375" style="429" customWidth="1"/>
    <col min="264" max="509" width="9.140625" style="429"/>
    <col min="510" max="510" width="5.28515625" style="429" customWidth="1"/>
    <col min="511" max="511" width="8" style="429" customWidth="1"/>
    <col min="512" max="512" width="5.85546875" style="429" customWidth="1"/>
    <col min="513" max="513" width="9.42578125" style="429" customWidth="1"/>
    <col min="514" max="514" width="11.28515625" style="429" customWidth="1"/>
    <col min="515" max="515" width="11" style="429" customWidth="1"/>
    <col min="516" max="516" width="13.140625" style="429" customWidth="1"/>
    <col min="517" max="517" width="11.7109375" style="429" customWidth="1"/>
    <col min="518" max="518" width="11.140625" style="429" customWidth="1"/>
    <col min="519" max="519" width="11.7109375" style="429" customWidth="1"/>
    <col min="520" max="765" width="9.140625" style="429"/>
    <col min="766" max="766" width="5.28515625" style="429" customWidth="1"/>
    <col min="767" max="767" width="8" style="429" customWidth="1"/>
    <col min="768" max="768" width="5.85546875" style="429" customWidth="1"/>
    <col min="769" max="769" width="9.42578125" style="429" customWidth="1"/>
    <col min="770" max="770" width="11.28515625" style="429" customWidth="1"/>
    <col min="771" max="771" width="11" style="429" customWidth="1"/>
    <col min="772" max="772" width="13.140625" style="429" customWidth="1"/>
    <col min="773" max="773" width="11.7109375" style="429" customWidth="1"/>
    <col min="774" max="774" width="11.140625" style="429" customWidth="1"/>
    <col min="775" max="775" width="11.7109375" style="429" customWidth="1"/>
    <col min="776" max="1021" width="9.140625" style="429"/>
    <col min="1022" max="1022" width="5.28515625" style="429" customWidth="1"/>
    <col min="1023" max="1023" width="8" style="429" customWidth="1"/>
    <col min="1024" max="1024" width="5.85546875" style="429" customWidth="1"/>
    <col min="1025" max="1025" width="9.42578125" style="429" customWidth="1"/>
    <col min="1026" max="1026" width="11.28515625" style="429" customWidth="1"/>
    <col min="1027" max="1027" width="11" style="429" customWidth="1"/>
    <col min="1028" max="1028" width="13.140625" style="429" customWidth="1"/>
    <col min="1029" max="1029" width="11.7109375" style="429" customWidth="1"/>
    <col min="1030" max="1030" width="11.140625" style="429" customWidth="1"/>
    <col min="1031" max="1031" width="11.7109375" style="429" customWidth="1"/>
    <col min="1032" max="1277" width="9.140625" style="429"/>
    <col min="1278" max="1278" width="5.28515625" style="429" customWidth="1"/>
    <col min="1279" max="1279" width="8" style="429" customWidth="1"/>
    <col min="1280" max="1280" width="5.85546875" style="429" customWidth="1"/>
    <col min="1281" max="1281" width="9.42578125" style="429" customWidth="1"/>
    <col min="1282" max="1282" width="11.28515625" style="429" customWidth="1"/>
    <col min="1283" max="1283" width="11" style="429" customWidth="1"/>
    <col min="1284" max="1284" width="13.140625" style="429" customWidth="1"/>
    <col min="1285" max="1285" width="11.7109375" style="429" customWidth="1"/>
    <col min="1286" max="1286" width="11.140625" style="429" customWidth="1"/>
    <col min="1287" max="1287" width="11.7109375" style="429" customWidth="1"/>
    <col min="1288" max="1533" width="9.140625" style="429"/>
    <col min="1534" max="1534" width="5.28515625" style="429" customWidth="1"/>
    <col min="1535" max="1535" width="8" style="429" customWidth="1"/>
    <col min="1536" max="1536" width="5.85546875" style="429" customWidth="1"/>
    <col min="1537" max="1537" width="9.42578125" style="429" customWidth="1"/>
    <col min="1538" max="1538" width="11.28515625" style="429" customWidth="1"/>
    <col min="1539" max="1539" width="11" style="429" customWidth="1"/>
    <col min="1540" max="1540" width="13.140625" style="429" customWidth="1"/>
    <col min="1541" max="1541" width="11.7109375" style="429" customWidth="1"/>
    <col min="1542" max="1542" width="11.140625" style="429" customWidth="1"/>
    <col min="1543" max="1543" width="11.7109375" style="429" customWidth="1"/>
    <col min="1544" max="1789" width="9.140625" style="429"/>
    <col min="1790" max="1790" width="5.28515625" style="429" customWidth="1"/>
    <col min="1791" max="1791" width="8" style="429" customWidth="1"/>
    <col min="1792" max="1792" width="5.85546875" style="429" customWidth="1"/>
    <col min="1793" max="1793" width="9.42578125" style="429" customWidth="1"/>
    <col min="1794" max="1794" width="11.28515625" style="429" customWidth="1"/>
    <col min="1795" max="1795" width="11" style="429" customWidth="1"/>
    <col min="1796" max="1796" width="13.140625" style="429" customWidth="1"/>
    <col min="1797" max="1797" width="11.7109375" style="429" customWidth="1"/>
    <col min="1798" max="1798" width="11.140625" style="429" customWidth="1"/>
    <col min="1799" max="1799" width="11.7109375" style="429" customWidth="1"/>
    <col min="1800" max="2045" width="9.140625" style="429"/>
    <col min="2046" max="2046" width="5.28515625" style="429" customWidth="1"/>
    <col min="2047" max="2047" width="8" style="429" customWidth="1"/>
    <col min="2048" max="2048" width="5.85546875" style="429" customWidth="1"/>
    <col min="2049" max="2049" width="9.42578125" style="429" customWidth="1"/>
    <col min="2050" max="2050" width="11.28515625" style="429" customWidth="1"/>
    <col min="2051" max="2051" width="11" style="429" customWidth="1"/>
    <col min="2052" max="2052" width="13.140625" style="429" customWidth="1"/>
    <col min="2053" max="2053" width="11.7109375" style="429" customWidth="1"/>
    <col min="2054" max="2054" width="11.140625" style="429" customWidth="1"/>
    <col min="2055" max="2055" width="11.7109375" style="429" customWidth="1"/>
    <col min="2056" max="2301" width="9.140625" style="429"/>
    <col min="2302" max="2302" width="5.28515625" style="429" customWidth="1"/>
    <col min="2303" max="2303" width="8" style="429" customWidth="1"/>
    <col min="2304" max="2304" width="5.85546875" style="429" customWidth="1"/>
    <col min="2305" max="2305" width="9.42578125" style="429" customWidth="1"/>
    <col min="2306" max="2306" width="11.28515625" style="429" customWidth="1"/>
    <col min="2307" max="2307" width="11" style="429" customWidth="1"/>
    <col min="2308" max="2308" width="13.140625" style="429" customWidth="1"/>
    <col min="2309" max="2309" width="11.7109375" style="429" customWidth="1"/>
    <col min="2310" max="2310" width="11.140625" style="429" customWidth="1"/>
    <col min="2311" max="2311" width="11.7109375" style="429" customWidth="1"/>
    <col min="2312" max="2557" width="9.140625" style="429"/>
    <col min="2558" max="2558" width="5.28515625" style="429" customWidth="1"/>
    <col min="2559" max="2559" width="8" style="429" customWidth="1"/>
    <col min="2560" max="2560" width="5.85546875" style="429" customWidth="1"/>
    <col min="2561" max="2561" width="9.42578125" style="429" customWidth="1"/>
    <col min="2562" max="2562" width="11.28515625" style="429" customWidth="1"/>
    <col min="2563" max="2563" width="11" style="429" customWidth="1"/>
    <col min="2564" max="2564" width="13.140625" style="429" customWidth="1"/>
    <col min="2565" max="2565" width="11.7109375" style="429" customWidth="1"/>
    <col min="2566" max="2566" width="11.140625" style="429" customWidth="1"/>
    <col min="2567" max="2567" width="11.7109375" style="429" customWidth="1"/>
    <col min="2568" max="2813" width="9.140625" style="429"/>
    <col min="2814" max="2814" width="5.28515625" style="429" customWidth="1"/>
    <col min="2815" max="2815" width="8" style="429" customWidth="1"/>
    <col min="2816" max="2816" width="5.85546875" style="429" customWidth="1"/>
    <col min="2817" max="2817" width="9.42578125" style="429" customWidth="1"/>
    <col min="2818" max="2818" width="11.28515625" style="429" customWidth="1"/>
    <col min="2819" max="2819" width="11" style="429" customWidth="1"/>
    <col min="2820" max="2820" width="13.140625" style="429" customWidth="1"/>
    <col min="2821" max="2821" width="11.7109375" style="429" customWidth="1"/>
    <col min="2822" max="2822" width="11.140625" style="429" customWidth="1"/>
    <col min="2823" max="2823" width="11.7109375" style="429" customWidth="1"/>
    <col min="2824" max="3069" width="9.140625" style="429"/>
    <col min="3070" max="3070" width="5.28515625" style="429" customWidth="1"/>
    <col min="3071" max="3071" width="8" style="429" customWidth="1"/>
    <col min="3072" max="3072" width="5.85546875" style="429" customWidth="1"/>
    <col min="3073" max="3073" width="9.42578125" style="429" customWidth="1"/>
    <col min="3074" max="3074" width="11.28515625" style="429" customWidth="1"/>
    <col min="3075" max="3075" width="11" style="429" customWidth="1"/>
    <col min="3076" max="3076" width="13.140625" style="429" customWidth="1"/>
    <col min="3077" max="3077" width="11.7109375" style="429" customWidth="1"/>
    <col min="3078" max="3078" width="11.140625" style="429" customWidth="1"/>
    <col min="3079" max="3079" width="11.7109375" style="429" customWidth="1"/>
    <col min="3080" max="3325" width="9.140625" style="429"/>
    <col min="3326" max="3326" width="5.28515625" style="429" customWidth="1"/>
    <col min="3327" max="3327" width="8" style="429" customWidth="1"/>
    <col min="3328" max="3328" width="5.85546875" style="429" customWidth="1"/>
    <col min="3329" max="3329" width="9.42578125" style="429" customWidth="1"/>
    <col min="3330" max="3330" width="11.28515625" style="429" customWidth="1"/>
    <col min="3331" max="3331" width="11" style="429" customWidth="1"/>
    <col min="3332" max="3332" width="13.140625" style="429" customWidth="1"/>
    <col min="3333" max="3333" width="11.7109375" style="429" customWidth="1"/>
    <col min="3334" max="3334" width="11.140625" style="429" customWidth="1"/>
    <col min="3335" max="3335" width="11.7109375" style="429" customWidth="1"/>
    <col min="3336" max="3581" width="9.140625" style="429"/>
    <col min="3582" max="3582" width="5.28515625" style="429" customWidth="1"/>
    <col min="3583" max="3583" width="8" style="429" customWidth="1"/>
    <col min="3584" max="3584" width="5.85546875" style="429" customWidth="1"/>
    <col min="3585" max="3585" width="9.42578125" style="429" customWidth="1"/>
    <col min="3586" max="3586" width="11.28515625" style="429" customWidth="1"/>
    <col min="3587" max="3587" width="11" style="429" customWidth="1"/>
    <col min="3588" max="3588" width="13.140625" style="429" customWidth="1"/>
    <col min="3589" max="3589" width="11.7109375" style="429" customWidth="1"/>
    <col min="3590" max="3590" width="11.140625" style="429" customWidth="1"/>
    <col min="3591" max="3591" width="11.7109375" style="429" customWidth="1"/>
    <col min="3592" max="3837" width="9.140625" style="429"/>
    <col min="3838" max="3838" width="5.28515625" style="429" customWidth="1"/>
    <col min="3839" max="3839" width="8" style="429" customWidth="1"/>
    <col min="3840" max="3840" width="5.85546875" style="429" customWidth="1"/>
    <col min="3841" max="3841" width="9.42578125" style="429" customWidth="1"/>
    <col min="3842" max="3842" width="11.28515625" style="429" customWidth="1"/>
    <col min="3843" max="3843" width="11" style="429" customWidth="1"/>
    <col min="3844" max="3844" width="13.140625" style="429" customWidth="1"/>
    <col min="3845" max="3845" width="11.7109375" style="429" customWidth="1"/>
    <col min="3846" max="3846" width="11.140625" style="429" customWidth="1"/>
    <col min="3847" max="3847" width="11.7109375" style="429" customWidth="1"/>
    <col min="3848" max="4093" width="9.140625" style="429"/>
    <col min="4094" max="4094" width="5.28515625" style="429" customWidth="1"/>
    <col min="4095" max="4095" width="8" style="429" customWidth="1"/>
    <col min="4096" max="4096" width="5.85546875" style="429" customWidth="1"/>
    <col min="4097" max="4097" width="9.42578125" style="429" customWidth="1"/>
    <col min="4098" max="4098" width="11.28515625" style="429" customWidth="1"/>
    <col min="4099" max="4099" width="11" style="429" customWidth="1"/>
    <col min="4100" max="4100" width="13.140625" style="429" customWidth="1"/>
    <col min="4101" max="4101" width="11.7109375" style="429" customWidth="1"/>
    <col min="4102" max="4102" width="11.140625" style="429" customWidth="1"/>
    <col min="4103" max="4103" width="11.7109375" style="429" customWidth="1"/>
    <col min="4104" max="4349" width="9.140625" style="429"/>
    <col min="4350" max="4350" width="5.28515625" style="429" customWidth="1"/>
    <col min="4351" max="4351" width="8" style="429" customWidth="1"/>
    <col min="4352" max="4352" width="5.85546875" style="429" customWidth="1"/>
    <col min="4353" max="4353" width="9.42578125" style="429" customWidth="1"/>
    <col min="4354" max="4354" width="11.28515625" style="429" customWidth="1"/>
    <col min="4355" max="4355" width="11" style="429" customWidth="1"/>
    <col min="4356" max="4356" width="13.140625" style="429" customWidth="1"/>
    <col min="4357" max="4357" width="11.7109375" style="429" customWidth="1"/>
    <col min="4358" max="4358" width="11.140625" style="429" customWidth="1"/>
    <col min="4359" max="4359" width="11.7109375" style="429" customWidth="1"/>
    <col min="4360" max="4605" width="9.140625" style="429"/>
    <col min="4606" max="4606" width="5.28515625" style="429" customWidth="1"/>
    <col min="4607" max="4607" width="8" style="429" customWidth="1"/>
    <col min="4608" max="4608" width="5.85546875" style="429" customWidth="1"/>
    <col min="4609" max="4609" width="9.42578125" style="429" customWidth="1"/>
    <col min="4610" max="4610" width="11.28515625" style="429" customWidth="1"/>
    <col min="4611" max="4611" width="11" style="429" customWidth="1"/>
    <col min="4612" max="4612" width="13.140625" style="429" customWidth="1"/>
    <col min="4613" max="4613" width="11.7109375" style="429" customWidth="1"/>
    <col min="4614" max="4614" width="11.140625" style="429" customWidth="1"/>
    <col min="4615" max="4615" width="11.7109375" style="429" customWidth="1"/>
    <col min="4616" max="4861" width="9.140625" style="429"/>
    <col min="4862" max="4862" width="5.28515625" style="429" customWidth="1"/>
    <col min="4863" max="4863" width="8" style="429" customWidth="1"/>
    <col min="4864" max="4864" width="5.85546875" style="429" customWidth="1"/>
    <col min="4865" max="4865" width="9.42578125" style="429" customWidth="1"/>
    <col min="4866" max="4866" width="11.28515625" style="429" customWidth="1"/>
    <col min="4867" max="4867" width="11" style="429" customWidth="1"/>
    <col min="4868" max="4868" width="13.140625" style="429" customWidth="1"/>
    <col min="4869" max="4869" width="11.7109375" style="429" customWidth="1"/>
    <col min="4870" max="4870" width="11.140625" style="429" customWidth="1"/>
    <col min="4871" max="4871" width="11.7109375" style="429" customWidth="1"/>
    <col min="4872" max="5117" width="9.140625" style="429"/>
    <col min="5118" max="5118" width="5.28515625" style="429" customWidth="1"/>
    <col min="5119" max="5119" width="8" style="429" customWidth="1"/>
    <col min="5120" max="5120" width="5.85546875" style="429" customWidth="1"/>
    <col min="5121" max="5121" width="9.42578125" style="429" customWidth="1"/>
    <col min="5122" max="5122" width="11.28515625" style="429" customWidth="1"/>
    <col min="5123" max="5123" width="11" style="429" customWidth="1"/>
    <col min="5124" max="5124" width="13.140625" style="429" customWidth="1"/>
    <col min="5125" max="5125" width="11.7109375" style="429" customWidth="1"/>
    <col min="5126" max="5126" width="11.140625" style="429" customWidth="1"/>
    <col min="5127" max="5127" width="11.7109375" style="429" customWidth="1"/>
    <col min="5128" max="5373" width="9.140625" style="429"/>
    <col min="5374" max="5374" width="5.28515625" style="429" customWidth="1"/>
    <col min="5375" max="5375" width="8" style="429" customWidth="1"/>
    <col min="5376" max="5376" width="5.85546875" style="429" customWidth="1"/>
    <col min="5377" max="5377" width="9.42578125" style="429" customWidth="1"/>
    <col min="5378" max="5378" width="11.28515625" style="429" customWidth="1"/>
    <col min="5379" max="5379" width="11" style="429" customWidth="1"/>
    <col min="5380" max="5380" width="13.140625" style="429" customWidth="1"/>
    <col min="5381" max="5381" width="11.7109375" style="429" customWidth="1"/>
    <col min="5382" max="5382" width="11.140625" style="429" customWidth="1"/>
    <col min="5383" max="5383" width="11.7109375" style="429" customWidth="1"/>
    <col min="5384" max="5629" width="9.140625" style="429"/>
    <col min="5630" max="5630" width="5.28515625" style="429" customWidth="1"/>
    <col min="5631" max="5631" width="8" style="429" customWidth="1"/>
    <col min="5632" max="5632" width="5.85546875" style="429" customWidth="1"/>
    <col min="5633" max="5633" width="9.42578125" style="429" customWidth="1"/>
    <col min="5634" max="5634" width="11.28515625" style="429" customWidth="1"/>
    <col min="5635" max="5635" width="11" style="429" customWidth="1"/>
    <col min="5636" max="5636" width="13.140625" style="429" customWidth="1"/>
    <col min="5637" max="5637" width="11.7109375" style="429" customWidth="1"/>
    <col min="5638" max="5638" width="11.140625" style="429" customWidth="1"/>
    <col min="5639" max="5639" width="11.7109375" style="429" customWidth="1"/>
    <col min="5640" max="5885" width="9.140625" style="429"/>
    <col min="5886" max="5886" width="5.28515625" style="429" customWidth="1"/>
    <col min="5887" max="5887" width="8" style="429" customWidth="1"/>
    <col min="5888" max="5888" width="5.85546875" style="429" customWidth="1"/>
    <col min="5889" max="5889" width="9.42578125" style="429" customWidth="1"/>
    <col min="5890" max="5890" width="11.28515625" style="429" customWidth="1"/>
    <col min="5891" max="5891" width="11" style="429" customWidth="1"/>
    <col min="5892" max="5892" width="13.140625" style="429" customWidth="1"/>
    <col min="5893" max="5893" width="11.7109375" style="429" customWidth="1"/>
    <col min="5894" max="5894" width="11.140625" style="429" customWidth="1"/>
    <col min="5895" max="5895" width="11.7109375" style="429" customWidth="1"/>
    <col min="5896" max="6141" width="9.140625" style="429"/>
    <col min="6142" max="6142" width="5.28515625" style="429" customWidth="1"/>
    <col min="6143" max="6143" width="8" style="429" customWidth="1"/>
    <col min="6144" max="6144" width="5.85546875" style="429" customWidth="1"/>
    <col min="6145" max="6145" width="9.42578125" style="429" customWidth="1"/>
    <col min="6146" max="6146" width="11.28515625" style="429" customWidth="1"/>
    <col min="6147" max="6147" width="11" style="429" customWidth="1"/>
    <col min="6148" max="6148" width="13.140625" style="429" customWidth="1"/>
    <col min="6149" max="6149" width="11.7109375" style="429" customWidth="1"/>
    <col min="6150" max="6150" width="11.140625" style="429" customWidth="1"/>
    <col min="6151" max="6151" width="11.7109375" style="429" customWidth="1"/>
    <col min="6152" max="6397" width="9.140625" style="429"/>
    <col min="6398" max="6398" width="5.28515625" style="429" customWidth="1"/>
    <col min="6399" max="6399" width="8" style="429" customWidth="1"/>
    <col min="6400" max="6400" width="5.85546875" style="429" customWidth="1"/>
    <col min="6401" max="6401" width="9.42578125" style="429" customWidth="1"/>
    <col min="6402" max="6402" width="11.28515625" style="429" customWidth="1"/>
    <col min="6403" max="6403" width="11" style="429" customWidth="1"/>
    <col min="6404" max="6404" width="13.140625" style="429" customWidth="1"/>
    <col min="6405" max="6405" width="11.7109375" style="429" customWidth="1"/>
    <col min="6406" max="6406" width="11.140625" style="429" customWidth="1"/>
    <col min="6407" max="6407" width="11.7109375" style="429" customWidth="1"/>
    <col min="6408" max="6653" width="9.140625" style="429"/>
    <col min="6654" max="6654" width="5.28515625" style="429" customWidth="1"/>
    <col min="6655" max="6655" width="8" style="429" customWidth="1"/>
    <col min="6656" max="6656" width="5.85546875" style="429" customWidth="1"/>
    <col min="6657" max="6657" width="9.42578125" style="429" customWidth="1"/>
    <col min="6658" max="6658" width="11.28515625" style="429" customWidth="1"/>
    <col min="6659" max="6659" width="11" style="429" customWidth="1"/>
    <col min="6660" max="6660" width="13.140625" style="429" customWidth="1"/>
    <col min="6661" max="6661" width="11.7109375" style="429" customWidth="1"/>
    <col min="6662" max="6662" width="11.140625" style="429" customWidth="1"/>
    <col min="6663" max="6663" width="11.7109375" style="429" customWidth="1"/>
    <col min="6664" max="6909" width="9.140625" style="429"/>
    <col min="6910" max="6910" width="5.28515625" style="429" customWidth="1"/>
    <col min="6911" max="6911" width="8" style="429" customWidth="1"/>
    <col min="6912" max="6912" width="5.85546875" style="429" customWidth="1"/>
    <col min="6913" max="6913" width="9.42578125" style="429" customWidth="1"/>
    <col min="6914" max="6914" width="11.28515625" style="429" customWidth="1"/>
    <col min="6915" max="6915" width="11" style="429" customWidth="1"/>
    <col min="6916" max="6916" width="13.140625" style="429" customWidth="1"/>
    <col min="6917" max="6917" width="11.7109375" style="429" customWidth="1"/>
    <col min="6918" max="6918" width="11.140625" style="429" customWidth="1"/>
    <col min="6919" max="6919" width="11.7109375" style="429" customWidth="1"/>
    <col min="6920" max="7165" width="9.140625" style="429"/>
    <col min="7166" max="7166" width="5.28515625" style="429" customWidth="1"/>
    <col min="7167" max="7167" width="8" style="429" customWidth="1"/>
    <col min="7168" max="7168" width="5.85546875" style="429" customWidth="1"/>
    <col min="7169" max="7169" width="9.42578125" style="429" customWidth="1"/>
    <col min="7170" max="7170" width="11.28515625" style="429" customWidth="1"/>
    <col min="7171" max="7171" width="11" style="429" customWidth="1"/>
    <col min="7172" max="7172" width="13.140625" style="429" customWidth="1"/>
    <col min="7173" max="7173" width="11.7109375" style="429" customWidth="1"/>
    <col min="7174" max="7174" width="11.140625" style="429" customWidth="1"/>
    <col min="7175" max="7175" width="11.7109375" style="429" customWidth="1"/>
    <col min="7176" max="7421" width="9.140625" style="429"/>
    <col min="7422" max="7422" width="5.28515625" style="429" customWidth="1"/>
    <col min="7423" max="7423" width="8" style="429" customWidth="1"/>
    <col min="7424" max="7424" width="5.85546875" style="429" customWidth="1"/>
    <col min="7425" max="7425" width="9.42578125" style="429" customWidth="1"/>
    <col min="7426" max="7426" width="11.28515625" style="429" customWidth="1"/>
    <col min="7427" max="7427" width="11" style="429" customWidth="1"/>
    <col min="7428" max="7428" width="13.140625" style="429" customWidth="1"/>
    <col min="7429" max="7429" width="11.7109375" style="429" customWidth="1"/>
    <col min="7430" max="7430" width="11.140625" style="429" customWidth="1"/>
    <col min="7431" max="7431" width="11.7109375" style="429" customWidth="1"/>
    <col min="7432" max="7677" width="9.140625" style="429"/>
    <col min="7678" max="7678" width="5.28515625" style="429" customWidth="1"/>
    <col min="7679" max="7679" width="8" style="429" customWidth="1"/>
    <col min="7680" max="7680" width="5.85546875" style="429" customWidth="1"/>
    <col min="7681" max="7681" width="9.42578125" style="429" customWidth="1"/>
    <col min="7682" max="7682" width="11.28515625" style="429" customWidth="1"/>
    <col min="7683" max="7683" width="11" style="429" customWidth="1"/>
    <col min="7684" max="7684" width="13.140625" style="429" customWidth="1"/>
    <col min="7685" max="7685" width="11.7109375" style="429" customWidth="1"/>
    <col min="7686" max="7686" width="11.140625" style="429" customWidth="1"/>
    <col min="7687" max="7687" width="11.7109375" style="429" customWidth="1"/>
    <col min="7688" max="7933" width="9.140625" style="429"/>
    <col min="7934" max="7934" width="5.28515625" style="429" customWidth="1"/>
    <col min="7935" max="7935" width="8" style="429" customWidth="1"/>
    <col min="7936" max="7936" width="5.85546875" style="429" customWidth="1"/>
    <col min="7937" max="7937" width="9.42578125" style="429" customWidth="1"/>
    <col min="7938" max="7938" width="11.28515625" style="429" customWidth="1"/>
    <col min="7939" max="7939" width="11" style="429" customWidth="1"/>
    <col min="7940" max="7940" width="13.140625" style="429" customWidth="1"/>
    <col min="7941" max="7941" width="11.7109375" style="429" customWidth="1"/>
    <col min="7942" max="7942" width="11.140625" style="429" customWidth="1"/>
    <col min="7943" max="7943" width="11.7109375" style="429" customWidth="1"/>
    <col min="7944" max="8189" width="9.140625" style="429"/>
    <col min="8190" max="8190" width="5.28515625" style="429" customWidth="1"/>
    <col min="8191" max="8191" width="8" style="429" customWidth="1"/>
    <col min="8192" max="8192" width="5.85546875" style="429" customWidth="1"/>
    <col min="8193" max="8193" width="9.42578125" style="429" customWidth="1"/>
    <col min="8194" max="8194" width="11.28515625" style="429" customWidth="1"/>
    <col min="8195" max="8195" width="11" style="429" customWidth="1"/>
    <col min="8196" max="8196" width="13.140625" style="429" customWidth="1"/>
    <col min="8197" max="8197" width="11.7109375" style="429" customWidth="1"/>
    <col min="8198" max="8198" width="11.140625" style="429" customWidth="1"/>
    <col min="8199" max="8199" width="11.7109375" style="429" customWidth="1"/>
    <col min="8200" max="8445" width="9.140625" style="429"/>
    <col min="8446" max="8446" width="5.28515625" style="429" customWidth="1"/>
    <col min="8447" max="8447" width="8" style="429" customWidth="1"/>
    <col min="8448" max="8448" width="5.85546875" style="429" customWidth="1"/>
    <col min="8449" max="8449" width="9.42578125" style="429" customWidth="1"/>
    <col min="8450" max="8450" width="11.28515625" style="429" customWidth="1"/>
    <col min="8451" max="8451" width="11" style="429" customWidth="1"/>
    <col min="8452" max="8452" width="13.140625" style="429" customWidth="1"/>
    <col min="8453" max="8453" width="11.7109375" style="429" customWidth="1"/>
    <col min="8454" max="8454" width="11.140625" style="429" customWidth="1"/>
    <col min="8455" max="8455" width="11.7109375" style="429" customWidth="1"/>
    <col min="8456" max="8701" width="9.140625" style="429"/>
    <col min="8702" max="8702" width="5.28515625" style="429" customWidth="1"/>
    <col min="8703" max="8703" width="8" style="429" customWidth="1"/>
    <col min="8704" max="8704" width="5.85546875" style="429" customWidth="1"/>
    <col min="8705" max="8705" width="9.42578125" style="429" customWidth="1"/>
    <col min="8706" max="8706" width="11.28515625" style="429" customWidth="1"/>
    <col min="8707" max="8707" width="11" style="429" customWidth="1"/>
    <col min="8708" max="8708" width="13.140625" style="429" customWidth="1"/>
    <col min="8709" max="8709" width="11.7109375" style="429" customWidth="1"/>
    <col min="8710" max="8710" width="11.140625" style="429" customWidth="1"/>
    <col min="8711" max="8711" width="11.7109375" style="429" customWidth="1"/>
    <col min="8712" max="8957" width="9.140625" style="429"/>
    <col min="8958" max="8958" width="5.28515625" style="429" customWidth="1"/>
    <col min="8959" max="8959" width="8" style="429" customWidth="1"/>
    <col min="8960" max="8960" width="5.85546875" style="429" customWidth="1"/>
    <col min="8961" max="8961" width="9.42578125" style="429" customWidth="1"/>
    <col min="8962" max="8962" width="11.28515625" style="429" customWidth="1"/>
    <col min="8963" max="8963" width="11" style="429" customWidth="1"/>
    <col min="8964" max="8964" width="13.140625" style="429" customWidth="1"/>
    <col min="8965" max="8965" width="11.7109375" style="429" customWidth="1"/>
    <col min="8966" max="8966" width="11.140625" style="429" customWidth="1"/>
    <col min="8967" max="8967" width="11.7109375" style="429" customWidth="1"/>
    <col min="8968" max="9213" width="9.140625" style="429"/>
    <col min="9214" max="9214" width="5.28515625" style="429" customWidth="1"/>
    <col min="9215" max="9215" width="8" style="429" customWidth="1"/>
    <col min="9216" max="9216" width="5.85546875" style="429" customWidth="1"/>
    <col min="9217" max="9217" width="9.42578125" style="429" customWidth="1"/>
    <col min="9218" max="9218" width="11.28515625" style="429" customWidth="1"/>
    <col min="9219" max="9219" width="11" style="429" customWidth="1"/>
    <col min="9220" max="9220" width="13.140625" style="429" customWidth="1"/>
    <col min="9221" max="9221" width="11.7109375" style="429" customWidth="1"/>
    <col min="9222" max="9222" width="11.140625" style="429" customWidth="1"/>
    <col min="9223" max="9223" width="11.7109375" style="429" customWidth="1"/>
    <col min="9224" max="9469" width="9.140625" style="429"/>
    <col min="9470" max="9470" width="5.28515625" style="429" customWidth="1"/>
    <col min="9471" max="9471" width="8" style="429" customWidth="1"/>
    <col min="9472" max="9472" width="5.85546875" style="429" customWidth="1"/>
    <col min="9473" max="9473" width="9.42578125" style="429" customWidth="1"/>
    <col min="9474" max="9474" width="11.28515625" style="429" customWidth="1"/>
    <col min="9475" max="9475" width="11" style="429" customWidth="1"/>
    <col min="9476" max="9476" width="13.140625" style="429" customWidth="1"/>
    <col min="9477" max="9477" width="11.7109375" style="429" customWidth="1"/>
    <col min="9478" max="9478" width="11.140625" style="429" customWidth="1"/>
    <col min="9479" max="9479" width="11.7109375" style="429" customWidth="1"/>
    <col min="9480" max="9725" width="9.140625" style="429"/>
    <col min="9726" max="9726" width="5.28515625" style="429" customWidth="1"/>
    <col min="9727" max="9727" width="8" style="429" customWidth="1"/>
    <col min="9728" max="9728" width="5.85546875" style="429" customWidth="1"/>
    <col min="9729" max="9729" width="9.42578125" style="429" customWidth="1"/>
    <col min="9730" max="9730" width="11.28515625" style="429" customWidth="1"/>
    <col min="9731" max="9731" width="11" style="429" customWidth="1"/>
    <col min="9732" max="9732" width="13.140625" style="429" customWidth="1"/>
    <col min="9733" max="9733" width="11.7109375" style="429" customWidth="1"/>
    <col min="9734" max="9734" width="11.140625" style="429" customWidth="1"/>
    <col min="9735" max="9735" width="11.7109375" style="429" customWidth="1"/>
    <col min="9736" max="9981" width="9.140625" style="429"/>
    <col min="9982" max="9982" width="5.28515625" style="429" customWidth="1"/>
    <col min="9983" max="9983" width="8" style="429" customWidth="1"/>
    <col min="9984" max="9984" width="5.85546875" style="429" customWidth="1"/>
    <col min="9985" max="9985" width="9.42578125" style="429" customWidth="1"/>
    <col min="9986" max="9986" width="11.28515625" style="429" customWidth="1"/>
    <col min="9987" max="9987" width="11" style="429" customWidth="1"/>
    <col min="9988" max="9988" width="13.140625" style="429" customWidth="1"/>
    <col min="9989" max="9989" width="11.7109375" style="429" customWidth="1"/>
    <col min="9990" max="9990" width="11.140625" style="429" customWidth="1"/>
    <col min="9991" max="9991" width="11.7109375" style="429" customWidth="1"/>
    <col min="9992" max="10237" width="9.140625" style="429"/>
    <col min="10238" max="10238" width="5.28515625" style="429" customWidth="1"/>
    <col min="10239" max="10239" width="8" style="429" customWidth="1"/>
    <col min="10240" max="10240" width="5.85546875" style="429" customWidth="1"/>
    <col min="10241" max="10241" width="9.42578125" style="429" customWidth="1"/>
    <col min="10242" max="10242" width="11.28515625" style="429" customWidth="1"/>
    <col min="10243" max="10243" width="11" style="429" customWidth="1"/>
    <col min="10244" max="10244" width="13.140625" style="429" customWidth="1"/>
    <col min="10245" max="10245" width="11.7109375" style="429" customWidth="1"/>
    <col min="10246" max="10246" width="11.140625" style="429" customWidth="1"/>
    <col min="10247" max="10247" width="11.7109375" style="429" customWidth="1"/>
    <col min="10248" max="10493" width="9.140625" style="429"/>
    <col min="10494" max="10494" width="5.28515625" style="429" customWidth="1"/>
    <col min="10495" max="10495" width="8" style="429" customWidth="1"/>
    <col min="10496" max="10496" width="5.85546875" style="429" customWidth="1"/>
    <col min="10497" max="10497" width="9.42578125" style="429" customWidth="1"/>
    <col min="10498" max="10498" width="11.28515625" style="429" customWidth="1"/>
    <col min="10499" max="10499" width="11" style="429" customWidth="1"/>
    <col min="10500" max="10500" width="13.140625" style="429" customWidth="1"/>
    <col min="10501" max="10501" width="11.7109375" style="429" customWidth="1"/>
    <col min="10502" max="10502" width="11.140625" style="429" customWidth="1"/>
    <col min="10503" max="10503" width="11.7109375" style="429" customWidth="1"/>
    <col min="10504" max="10749" width="9.140625" style="429"/>
    <col min="10750" max="10750" width="5.28515625" style="429" customWidth="1"/>
    <col min="10751" max="10751" width="8" style="429" customWidth="1"/>
    <col min="10752" max="10752" width="5.85546875" style="429" customWidth="1"/>
    <col min="10753" max="10753" width="9.42578125" style="429" customWidth="1"/>
    <col min="10754" max="10754" width="11.28515625" style="429" customWidth="1"/>
    <col min="10755" max="10755" width="11" style="429" customWidth="1"/>
    <col min="10756" max="10756" width="13.140625" style="429" customWidth="1"/>
    <col min="10757" max="10757" width="11.7109375" style="429" customWidth="1"/>
    <col min="10758" max="10758" width="11.140625" style="429" customWidth="1"/>
    <col min="10759" max="10759" width="11.7109375" style="429" customWidth="1"/>
    <col min="10760" max="11005" width="9.140625" style="429"/>
    <col min="11006" max="11006" width="5.28515625" style="429" customWidth="1"/>
    <col min="11007" max="11007" width="8" style="429" customWidth="1"/>
    <col min="11008" max="11008" width="5.85546875" style="429" customWidth="1"/>
    <col min="11009" max="11009" width="9.42578125" style="429" customWidth="1"/>
    <col min="11010" max="11010" width="11.28515625" style="429" customWidth="1"/>
    <col min="11011" max="11011" width="11" style="429" customWidth="1"/>
    <col min="11012" max="11012" width="13.140625" style="429" customWidth="1"/>
    <col min="11013" max="11013" width="11.7109375" style="429" customWidth="1"/>
    <col min="11014" max="11014" width="11.140625" style="429" customWidth="1"/>
    <col min="11015" max="11015" width="11.7109375" style="429" customWidth="1"/>
    <col min="11016" max="11261" width="9.140625" style="429"/>
    <col min="11262" max="11262" width="5.28515625" style="429" customWidth="1"/>
    <col min="11263" max="11263" width="8" style="429" customWidth="1"/>
    <col min="11264" max="11264" width="5.85546875" style="429" customWidth="1"/>
    <col min="11265" max="11265" width="9.42578125" style="429" customWidth="1"/>
    <col min="11266" max="11266" width="11.28515625" style="429" customWidth="1"/>
    <col min="11267" max="11267" width="11" style="429" customWidth="1"/>
    <col min="11268" max="11268" width="13.140625" style="429" customWidth="1"/>
    <col min="11269" max="11269" width="11.7109375" style="429" customWidth="1"/>
    <col min="11270" max="11270" width="11.140625" style="429" customWidth="1"/>
    <col min="11271" max="11271" width="11.7109375" style="429" customWidth="1"/>
    <col min="11272" max="11517" width="9.140625" style="429"/>
    <col min="11518" max="11518" width="5.28515625" style="429" customWidth="1"/>
    <col min="11519" max="11519" width="8" style="429" customWidth="1"/>
    <col min="11520" max="11520" width="5.85546875" style="429" customWidth="1"/>
    <col min="11521" max="11521" width="9.42578125" style="429" customWidth="1"/>
    <col min="11522" max="11522" width="11.28515625" style="429" customWidth="1"/>
    <col min="11523" max="11523" width="11" style="429" customWidth="1"/>
    <col min="11524" max="11524" width="13.140625" style="429" customWidth="1"/>
    <col min="11525" max="11525" width="11.7109375" style="429" customWidth="1"/>
    <col min="11526" max="11526" width="11.140625" style="429" customWidth="1"/>
    <col min="11527" max="11527" width="11.7109375" style="429" customWidth="1"/>
    <col min="11528" max="11773" width="9.140625" style="429"/>
    <col min="11774" max="11774" width="5.28515625" style="429" customWidth="1"/>
    <col min="11775" max="11775" width="8" style="429" customWidth="1"/>
    <col min="11776" max="11776" width="5.85546875" style="429" customWidth="1"/>
    <col min="11777" max="11777" width="9.42578125" style="429" customWidth="1"/>
    <col min="11778" max="11778" width="11.28515625" style="429" customWidth="1"/>
    <col min="11779" max="11779" width="11" style="429" customWidth="1"/>
    <col min="11780" max="11780" width="13.140625" style="429" customWidth="1"/>
    <col min="11781" max="11781" width="11.7109375" style="429" customWidth="1"/>
    <col min="11782" max="11782" width="11.140625" style="429" customWidth="1"/>
    <col min="11783" max="11783" width="11.7109375" style="429" customWidth="1"/>
    <col min="11784" max="12029" width="9.140625" style="429"/>
    <col min="12030" max="12030" width="5.28515625" style="429" customWidth="1"/>
    <col min="12031" max="12031" width="8" style="429" customWidth="1"/>
    <col min="12032" max="12032" width="5.85546875" style="429" customWidth="1"/>
    <col min="12033" max="12033" width="9.42578125" style="429" customWidth="1"/>
    <col min="12034" max="12034" width="11.28515625" style="429" customWidth="1"/>
    <col min="12035" max="12035" width="11" style="429" customWidth="1"/>
    <col min="12036" max="12036" width="13.140625" style="429" customWidth="1"/>
    <col min="12037" max="12037" width="11.7109375" style="429" customWidth="1"/>
    <col min="12038" max="12038" width="11.140625" style="429" customWidth="1"/>
    <col min="12039" max="12039" width="11.7109375" style="429" customWidth="1"/>
    <col min="12040" max="12285" width="9.140625" style="429"/>
    <col min="12286" max="12286" width="5.28515625" style="429" customWidth="1"/>
    <col min="12287" max="12287" width="8" style="429" customWidth="1"/>
    <col min="12288" max="12288" width="5.85546875" style="429" customWidth="1"/>
    <col min="12289" max="12289" width="9.42578125" style="429" customWidth="1"/>
    <col min="12290" max="12290" width="11.28515625" style="429" customWidth="1"/>
    <col min="12291" max="12291" width="11" style="429" customWidth="1"/>
    <col min="12292" max="12292" width="13.140625" style="429" customWidth="1"/>
    <col min="12293" max="12293" width="11.7109375" style="429" customWidth="1"/>
    <col min="12294" max="12294" width="11.140625" style="429" customWidth="1"/>
    <col min="12295" max="12295" width="11.7109375" style="429" customWidth="1"/>
    <col min="12296" max="12541" width="9.140625" style="429"/>
    <col min="12542" max="12542" width="5.28515625" style="429" customWidth="1"/>
    <col min="12543" max="12543" width="8" style="429" customWidth="1"/>
    <col min="12544" max="12544" width="5.85546875" style="429" customWidth="1"/>
    <col min="12545" max="12545" width="9.42578125" style="429" customWidth="1"/>
    <col min="12546" max="12546" width="11.28515625" style="429" customWidth="1"/>
    <col min="12547" max="12547" width="11" style="429" customWidth="1"/>
    <col min="12548" max="12548" width="13.140625" style="429" customWidth="1"/>
    <col min="12549" max="12549" width="11.7109375" style="429" customWidth="1"/>
    <col min="12550" max="12550" width="11.140625" style="429" customWidth="1"/>
    <col min="12551" max="12551" width="11.7109375" style="429" customWidth="1"/>
    <col min="12552" max="12797" width="9.140625" style="429"/>
    <col min="12798" max="12798" width="5.28515625" style="429" customWidth="1"/>
    <col min="12799" max="12799" width="8" style="429" customWidth="1"/>
    <col min="12800" max="12800" width="5.85546875" style="429" customWidth="1"/>
    <col min="12801" max="12801" width="9.42578125" style="429" customWidth="1"/>
    <col min="12802" max="12802" width="11.28515625" style="429" customWidth="1"/>
    <col min="12803" max="12803" width="11" style="429" customWidth="1"/>
    <col min="12804" max="12804" width="13.140625" style="429" customWidth="1"/>
    <col min="12805" max="12805" width="11.7109375" style="429" customWidth="1"/>
    <col min="12806" max="12806" width="11.140625" style="429" customWidth="1"/>
    <col min="12807" max="12807" width="11.7109375" style="429" customWidth="1"/>
    <col min="12808" max="13053" width="9.140625" style="429"/>
    <col min="13054" max="13054" width="5.28515625" style="429" customWidth="1"/>
    <col min="13055" max="13055" width="8" style="429" customWidth="1"/>
    <col min="13056" max="13056" width="5.85546875" style="429" customWidth="1"/>
    <col min="13057" max="13057" width="9.42578125" style="429" customWidth="1"/>
    <col min="13058" max="13058" width="11.28515625" style="429" customWidth="1"/>
    <col min="13059" max="13059" width="11" style="429" customWidth="1"/>
    <col min="13060" max="13060" width="13.140625" style="429" customWidth="1"/>
    <col min="13061" max="13061" width="11.7109375" style="429" customWidth="1"/>
    <col min="13062" max="13062" width="11.140625" style="429" customWidth="1"/>
    <col min="13063" max="13063" width="11.7109375" style="429" customWidth="1"/>
    <col min="13064" max="13309" width="9.140625" style="429"/>
    <col min="13310" max="13310" width="5.28515625" style="429" customWidth="1"/>
    <col min="13311" max="13311" width="8" style="429" customWidth="1"/>
    <col min="13312" max="13312" width="5.85546875" style="429" customWidth="1"/>
    <col min="13313" max="13313" width="9.42578125" style="429" customWidth="1"/>
    <col min="13314" max="13314" width="11.28515625" style="429" customWidth="1"/>
    <col min="13315" max="13315" width="11" style="429" customWidth="1"/>
    <col min="13316" max="13316" width="13.140625" style="429" customWidth="1"/>
    <col min="13317" max="13317" width="11.7109375" style="429" customWidth="1"/>
    <col min="13318" max="13318" width="11.140625" style="429" customWidth="1"/>
    <col min="13319" max="13319" width="11.7109375" style="429" customWidth="1"/>
    <col min="13320" max="13565" width="9.140625" style="429"/>
    <col min="13566" max="13566" width="5.28515625" style="429" customWidth="1"/>
    <col min="13567" max="13567" width="8" style="429" customWidth="1"/>
    <col min="13568" max="13568" width="5.85546875" style="429" customWidth="1"/>
    <col min="13569" max="13569" width="9.42578125" style="429" customWidth="1"/>
    <col min="13570" max="13570" width="11.28515625" style="429" customWidth="1"/>
    <col min="13571" max="13571" width="11" style="429" customWidth="1"/>
    <col min="13572" max="13572" width="13.140625" style="429" customWidth="1"/>
    <col min="13573" max="13573" width="11.7109375" style="429" customWidth="1"/>
    <col min="13574" max="13574" width="11.140625" style="429" customWidth="1"/>
    <col min="13575" max="13575" width="11.7109375" style="429" customWidth="1"/>
    <col min="13576" max="13821" width="9.140625" style="429"/>
    <col min="13822" max="13822" width="5.28515625" style="429" customWidth="1"/>
    <col min="13823" max="13823" width="8" style="429" customWidth="1"/>
    <col min="13824" max="13824" width="5.85546875" style="429" customWidth="1"/>
    <col min="13825" max="13825" width="9.42578125" style="429" customWidth="1"/>
    <col min="13826" max="13826" width="11.28515625" style="429" customWidth="1"/>
    <col min="13827" max="13827" width="11" style="429" customWidth="1"/>
    <col min="13828" max="13828" width="13.140625" style="429" customWidth="1"/>
    <col min="13829" max="13829" width="11.7109375" style="429" customWidth="1"/>
    <col min="13830" max="13830" width="11.140625" style="429" customWidth="1"/>
    <col min="13831" max="13831" width="11.7109375" style="429" customWidth="1"/>
    <col min="13832" max="14077" width="9.140625" style="429"/>
    <col min="14078" max="14078" width="5.28515625" style="429" customWidth="1"/>
    <col min="14079" max="14079" width="8" style="429" customWidth="1"/>
    <col min="14080" max="14080" width="5.85546875" style="429" customWidth="1"/>
    <col min="14081" max="14081" width="9.42578125" style="429" customWidth="1"/>
    <col min="14082" max="14082" width="11.28515625" style="429" customWidth="1"/>
    <col min="14083" max="14083" width="11" style="429" customWidth="1"/>
    <col min="14084" max="14084" width="13.140625" style="429" customWidth="1"/>
    <col min="14085" max="14085" width="11.7109375" style="429" customWidth="1"/>
    <col min="14086" max="14086" width="11.140625" style="429" customWidth="1"/>
    <col min="14087" max="14087" width="11.7109375" style="429" customWidth="1"/>
    <col min="14088" max="14333" width="9.140625" style="429"/>
    <col min="14334" max="14334" width="5.28515625" style="429" customWidth="1"/>
    <col min="14335" max="14335" width="8" style="429" customWidth="1"/>
    <col min="14336" max="14336" width="5.85546875" style="429" customWidth="1"/>
    <col min="14337" max="14337" width="9.42578125" style="429" customWidth="1"/>
    <col min="14338" max="14338" width="11.28515625" style="429" customWidth="1"/>
    <col min="14339" max="14339" width="11" style="429" customWidth="1"/>
    <col min="14340" max="14340" width="13.140625" style="429" customWidth="1"/>
    <col min="14341" max="14341" width="11.7109375" style="429" customWidth="1"/>
    <col min="14342" max="14342" width="11.140625" style="429" customWidth="1"/>
    <col min="14343" max="14343" width="11.7109375" style="429" customWidth="1"/>
    <col min="14344" max="14589" width="9.140625" style="429"/>
    <col min="14590" max="14590" width="5.28515625" style="429" customWidth="1"/>
    <col min="14591" max="14591" width="8" style="429" customWidth="1"/>
    <col min="14592" max="14592" width="5.85546875" style="429" customWidth="1"/>
    <col min="14593" max="14593" width="9.42578125" style="429" customWidth="1"/>
    <col min="14594" max="14594" width="11.28515625" style="429" customWidth="1"/>
    <col min="14595" max="14595" width="11" style="429" customWidth="1"/>
    <col min="14596" max="14596" width="13.140625" style="429" customWidth="1"/>
    <col min="14597" max="14597" width="11.7109375" style="429" customWidth="1"/>
    <col min="14598" max="14598" width="11.140625" style="429" customWidth="1"/>
    <col min="14599" max="14599" width="11.7109375" style="429" customWidth="1"/>
    <col min="14600" max="14845" width="9.140625" style="429"/>
    <col min="14846" max="14846" width="5.28515625" style="429" customWidth="1"/>
    <col min="14847" max="14847" width="8" style="429" customWidth="1"/>
    <col min="14848" max="14848" width="5.85546875" style="429" customWidth="1"/>
    <col min="14849" max="14849" width="9.42578125" style="429" customWidth="1"/>
    <col min="14850" max="14850" width="11.28515625" style="429" customWidth="1"/>
    <col min="14851" max="14851" width="11" style="429" customWidth="1"/>
    <col min="14852" max="14852" width="13.140625" style="429" customWidth="1"/>
    <col min="14853" max="14853" width="11.7109375" style="429" customWidth="1"/>
    <col min="14854" max="14854" width="11.140625" style="429" customWidth="1"/>
    <col min="14855" max="14855" width="11.7109375" style="429" customWidth="1"/>
    <col min="14856" max="15101" width="9.140625" style="429"/>
    <col min="15102" max="15102" width="5.28515625" style="429" customWidth="1"/>
    <col min="15103" max="15103" width="8" style="429" customWidth="1"/>
    <col min="15104" max="15104" width="5.85546875" style="429" customWidth="1"/>
    <col min="15105" max="15105" width="9.42578125" style="429" customWidth="1"/>
    <col min="15106" max="15106" width="11.28515625" style="429" customWidth="1"/>
    <col min="15107" max="15107" width="11" style="429" customWidth="1"/>
    <col min="15108" max="15108" width="13.140625" style="429" customWidth="1"/>
    <col min="15109" max="15109" width="11.7109375" style="429" customWidth="1"/>
    <col min="15110" max="15110" width="11.140625" style="429" customWidth="1"/>
    <col min="15111" max="15111" width="11.7109375" style="429" customWidth="1"/>
    <col min="15112" max="15357" width="9.140625" style="429"/>
    <col min="15358" max="15358" width="5.28515625" style="429" customWidth="1"/>
    <col min="15359" max="15359" width="8" style="429" customWidth="1"/>
    <col min="15360" max="15360" width="5.85546875" style="429" customWidth="1"/>
    <col min="15361" max="15361" width="9.42578125" style="429" customWidth="1"/>
    <col min="15362" max="15362" width="11.28515625" style="429" customWidth="1"/>
    <col min="15363" max="15363" width="11" style="429" customWidth="1"/>
    <col min="15364" max="15364" width="13.140625" style="429" customWidth="1"/>
    <col min="15365" max="15365" width="11.7109375" style="429" customWidth="1"/>
    <col min="15366" max="15366" width="11.140625" style="429" customWidth="1"/>
    <col min="15367" max="15367" width="11.7109375" style="429" customWidth="1"/>
    <col min="15368" max="15613" width="9.140625" style="429"/>
    <col min="15614" max="15614" width="5.28515625" style="429" customWidth="1"/>
    <col min="15615" max="15615" width="8" style="429" customWidth="1"/>
    <col min="15616" max="15616" width="5.85546875" style="429" customWidth="1"/>
    <col min="15617" max="15617" width="9.42578125" style="429" customWidth="1"/>
    <col min="15618" max="15618" width="11.28515625" style="429" customWidth="1"/>
    <col min="15619" max="15619" width="11" style="429" customWidth="1"/>
    <col min="15620" max="15620" width="13.140625" style="429" customWidth="1"/>
    <col min="15621" max="15621" width="11.7109375" style="429" customWidth="1"/>
    <col min="15622" max="15622" width="11.140625" style="429" customWidth="1"/>
    <col min="15623" max="15623" width="11.7109375" style="429" customWidth="1"/>
    <col min="15624" max="15869" width="9.140625" style="429"/>
    <col min="15870" max="15870" width="5.28515625" style="429" customWidth="1"/>
    <col min="15871" max="15871" width="8" style="429" customWidth="1"/>
    <col min="15872" max="15872" width="5.85546875" style="429" customWidth="1"/>
    <col min="15873" max="15873" width="9.42578125" style="429" customWidth="1"/>
    <col min="15874" max="15874" width="11.28515625" style="429" customWidth="1"/>
    <col min="15875" max="15875" width="11" style="429" customWidth="1"/>
    <col min="15876" max="15876" width="13.140625" style="429" customWidth="1"/>
    <col min="15877" max="15877" width="11.7109375" style="429" customWidth="1"/>
    <col min="15878" max="15878" width="11.140625" style="429" customWidth="1"/>
    <col min="15879" max="15879" width="11.7109375" style="429" customWidth="1"/>
    <col min="15880" max="16125" width="9.140625" style="429"/>
    <col min="16126" max="16126" width="5.28515625" style="429" customWidth="1"/>
    <col min="16127" max="16127" width="8" style="429" customWidth="1"/>
    <col min="16128" max="16128" width="5.85546875" style="429" customWidth="1"/>
    <col min="16129" max="16129" width="9.42578125" style="429" customWidth="1"/>
    <col min="16130" max="16130" width="11.28515625" style="429" customWidth="1"/>
    <col min="16131" max="16131" width="11" style="429" customWidth="1"/>
    <col min="16132" max="16132" width="13.140625" style="429" customWidth="1"/>
    <col min="16133" max="16133" width="11.7109375" style="429" customWidth="1"/>
    <col min="16134" max="16134" width="11.140625" style="429" customWidth="1"/>
    <col min="16135" max="16135" width="11.7109375" style="429" customWidth="1"/>
    <col min="16136" max="16384" width="9.140625" style="429"/>
  </cols>
  <sheetData>
    <row r="1" spans="1:72" ht="12.75" customHeight="1" x14ac:dyDescent="0.25">
      <c r="A1" s="342"/>
      <c r="F1" s="4" t="s">
        <v>376</v>
      </c>
    </row>
    <row r="2" spans="1:72" ht="12.75" customHeight="1" x14ac:dyDescent="0.25">
      <c r="F2" s="4" t="s">
        <v>264</v>
      </c>
    </row>
    <row r="3" spans="1:72" ht="12.75" customHeight="1" x14ac:dyDescent="0.25">
      <c r="F3" s="4" t="s">
        <v>1</v>
      </c>
    </row>
    <row r="4" spans="1:72" ht="12.75" customHeight="1" x14ac:dyDescent="0.25">
      <c r="F4" s="4" t="s">
        <v>265</v>
      </c>
    </row>
    <row r="5" spans="1:72" ht="12.75" customHeight="1" x14ac:dyDescent="0.25"/>
    <row r="6" spans="1:72" ht="13.5" customHeight="1" x14ac:dyDescent="0.25">
      <c r="A6" s="171" t="s">
        <v>377</v>
      </c>
      <c r="B6" s="171"/>
      <c r="C6" s="171"/>
      <c r="D6" s="171"/>
      <c r="E6" s="171"/>
      <c r="F6" s="171"/>
      <c r="G6" s="171"/>
      <c r="J6" s="2"/>
    </row>
    <row r="7" spans="1:72" ht="12.75" customHeight="1" x14ac:dyDescent="0.25">
      <c r="A7" s="171" t="s">
        <v>378</v>
      </c>
      <c r="B7" s="343"/>
      <c r="C7" s="343"/>
      <c r="D7" s="343"/>
      <c r="E7" s="343"/>
      <c r="F7" s="343"/>
      <c r="G7" s="343"/>
      <c r="J7" s="2"/>
    </row>
    <row r="8" spans="1:72" ht="9" customHeight="1" x14ac:dyDescent="0.25">
      <c r="A8" s="344"/>
      <c r="B8" s="345"/>
      <c r="C8" s="345"/>
      <c r="D8" s="345"/>
      <c r="E8" s="345"/>
      <c r="F8" s="345"/>
      <c r="G8" s="345"/>
      <c r="J8" s="2"/>
    </row>
    <row r="9" spans="1:72" ht="11.25" customHeight="1" x14ac:dyDescent="0.25">
      <c r="G9" s="346" t="s">
        <v>3</v>
      </c>
    </row>
    <row r="10" spans="1:72" s="350" customFormat="1" ht="36.75" customHeight="1" x14ac:dyDescent="0.2">
      <c r="A10" s="347" t="s">
        <v>156</v>
      </c>
      <c r="B10" s="347" t="s">
        <v>275</v>
      </c>
      <c r="C10" s="347" t="s">
        <v>379</v>
      </c>
      <c r="D10" s="347" t="s">
        <v>127</v>
      </c>
      <c r="E10" s="348" t="s">
        <v>7</v>
      </c>
      <c r="F10" s="348" t="s">
        <v>380</v>
      </c>
      <c r="G10" s="348" t="s">
        <v>381</v>
      </c>
      <c r="H10" s="349"/>
      <c r="I10" s="349"/>
      <c r="J10" s="349"/>
      <c r="K10" s="349"/>
      <c r="L10" s="349"/>
      <c r="M10" s="349"/>
      <c r="N10" s="349"/>
      <c r="O10" s="349"/>
      <c r="P10" s="349"/>
      <c r="Q10" s="349"/>
      <c r="R10" s="349"/>
      <c r="S10" s="349"/>
      <c r="T10" s="349"/>
      <c r="U10" s="349"/>
      <c r="V10" s="349"/>
      <c r="W10" s="349"/>
      <c r="X10" s="349"/>
      <c r="Y10" s="349"/>
      <c r="Z10" s="349"/>
      <c r="AA10" s="349"/>
      <c r="AB10" s="349"/>
      <c r="AC10" s="349"/>
      <c r="AD10" s="349"/>
      <c r="AE10" s="349"/>
      <c r="AF10" s="349"/>
      <c r="AG10" s="349"/>
      <c r="AH10" s="349"/>
      <c r="AI10" s="349"/>
      <c r="AJ10" s="349"/>
      <c r="AK10" s="349"/>
      <c r="AL10" s="349"/>
      <c r="AM10" s="349"/>
      <c r="AN10" s="349"/>
      <c r="AO10" s="349"/>
      <c r="AP10" s="349"/>
      <c r="AQ10" s="349"/>
      <c r="AR10" s="349"/>
      <c r="AS10" s="349"/>
      <c r="AT10" s="349"/>
      <c r="AU10" s="349"/>
      <c r="AV10" s="349"/>
      <c r="AW10" s="349"/>
      <c r="AX10" s="349"/>
      <c r="AY10" s="349"/>
      <c r="AZ10" s="349"/>
      <c r="BA10" s="349"/>
      <c r="BB10" s="349"/>
      <c r="BC10" s="349"/>
      <c r="BD10" s="349"/>
      <c r="BE10" s="349"/>
      <c r="BF10" s="349"/>
      <c r="BG10" s="349"/>
      <c r="BH10" s="349"/>
      <c r="BI10" s="349"/>
      <c r="BJ10" s="349"/>
      <c r="BK10" s="349"/>
      <c r="BL10" s="349"/>
      <c r="BM10" s="349"/>
      <c r="BN10" s="349"/>
      <c r="BO10" s="349"/>
      <c r="BP10" s="349"/>
      <c r="BQ10" s="349"/>
      <c r="BR10" s="349"/>
      <c r="BS10" s="349"/>
      <c r="BT10" s="349"/>
    </row>
    <row r="11" spans="1:72" s="353" customFormat="1" ht="10.5" customHeight="1" x14ac:dyDescent="0.2">
      <c r="A11" s="351">
        <v>1</v>
      </c>
      <c r="B11" s="351">
        <v>2</v>
      </c>
      <c r="C11" s="351">
        <v>3</v>
      </c>
      <c r="D11" s="351">
        <v>4</v>
      </c>
      <c r="E11" s="351">
        <v>5</v>
      </c>
      <c r="F11" s="351">
        <v>6</v>
      </c>
      <c r="G11" s="351">
        <v>7</v>
      </c>
      <c r="H11" s="352"/>
      <c r="I11" s="352"/>
      <c r="J11" s="352"/>
      <c r="K11" s="352"/>
      <c r="L11" s="352"/>
      <c r="M11" s="352"/>
      <c r="N11" s="352"/>
      <c r="O11" s="352"/>
      <c r="P11" s="352"/>
      <c r="Q11" s="352"/>
      <c r="R11" s="352"/>
      <c r="S11" s="352"/>
      <c r="T11" s="352"/>
      <c r="U11" s="352"/>
      <c r="V11" s="352"/>
      <c r="W11" s="352"/>
      <c r="X11" s="352"/>
      <c r="Y11" s="352"/>
      <c r="Z11" s="352"/>
      <c r="AA11" s="352"/>
      <c r="AB11" s="352"/>
      <c r="AC11" s="352"/>
      <c r="AD11" s="352"/>
      <c r="AE11" s="352"/>
      <c r="AF11" s="352"/>
      <c r="AG11" s="352"/>
      <c r="AH11" s="352"/>
      <c r="AI11" s="352"/>
      <c r="AJ11" s="352"/>
      <c r="AK11" s="352"/>
      <c r="AL11" s="352"/>
      <c r="AM11" s="352"/>
      <c r="AN11" s="352"/>
      <c r="AO11" s="352"/>
      <c r="AP11" s="352"/>
      <c r="AQ11" s="352"/>
      <c r="AR11" s="352"/>
      <c r="AS11" s="352"/>
      <c r="AT11" s="352"/>
      <c r="AU11" s="352"/>
      <c r="AV11" s="352"/>
      <c r="AW11" s="352"/>
      <c r="AX11" s="352"/>
      <c r="AY11" s="352"/>
      <c r="AZ11" s="352"/>
      <c r="BA11" s="352"/>
      <c r="BB11" s="352"/>
      <c r="BC11" s="352"/>
      <c r="BD11" s="352"/>
      <c r="BE11" s="352"/>
      <c r="BF11" s="352"/>
      <c r="BG11" s="352"/>
      <c r="BH11" s="352"/>
      <c r="BI11" s="352"/>
      <c r="BJ11" s="352"/>
      <c r="BK11" s="352"/>
      <c r="BL11" s="352"/>
      <c r="BM11" s="352"/>
      <c r="BN11" s="352"/>
      <c r="BO11" s="352"/>
      <c r="BP11" s="352"/>
      <c r="BQ11" s="352"/>
      <c r="BR11" s="352"/>
      <c r="BS11" s="352"/>
      <c r="BT11" s="352"/>
    </row>
    <row r="12" spans="1:72" s="450" customFormat="1" ht="15.75" customHeight="1" x14ac:dyDescent="0.2">
      <c r="A12" s="354"/>
      <c r="B12" s="355"/>
      <c r="C12" s="356"/>
      <c r="D12" s="356"/>
      <c r="E12" s="357" t="s">
        <v>205</v>
      </c>
      <c r="F12" s="358">
        <f>5350+9150+36625</f>
        <v>51125</v>
      </c>
      <c r="G12" s="359" t="s">
        <v>150</v>
      </c>
      <c r="H12" s="197"/>
      <c r="I12" s="197"/>
      <c r="J12" s="197"/>
      <c r="K12" s="197"/>
      <c r="L12" s="197"/>
      <c r="M12" s="197"/>
      <c r="N12" s="197"/>
      <c r="O12" s="197"/>
      <c r="P12" s="197"/>
      <c r="Q12" s="197"/>
      <c r="R12" s="197"/>
      <c r="S12" s="197"/>
      <c r="T12" s="197"/>
      <c r="U12" s="197"/>
      <c r="V12" s="197"/>
      <c r="W12" s="197"/>
      <c r="X12" s="197"/>
      <c r="Y12" s="197"/>
      <c r="Z12" s="197"/>
      <c r="AA12" s="197"/>
      <c r="AB12" s="197"/>
      <c r="AC12" s="197"/>
      <c r="AD12" s="197"/>
      <c r="AE12" s="197"/>
      <c r="AF12" s="197"/>
      <c r="AG12" s="197"/>
      <c r="AH12" s="197"/>
      <c r="AI12" s="197"/>
      <c r="AJ12" s="197"/>
      <c r="AK12" s="197"/>
      <c r="AL12" s="197"/>
      <c r="AM12" s="197"/>
      <c r="AN12" s="197"/>
      <c r="AO12" s="197"/>
      <c r="AP12" s="197"/>
      <c r="AQ12" s="197"/>
      <c r="AR12" s="197"/>
      <c r="AS12" s="197"/>
      <c r="AT12" s="197"/>
      <c r="AU12" s="197"/>
      <c r="AV12" s="197"/>
      <c r="AW12" s="197"/>
      <c r="AX12" s="197"/>
      <c r="AY12" s="197"/>
      <c r="AZ12" s="197"/>
      <c r="BA12" s="197"/>
      <c r="BB12" s="197"/>
      <c r="BC12" s="197"/>
      <c r="BD12" s="197"/>
      <c r="BE12" s="197"/>
      <c r="BF12" s="197"/>
      <c r="BG12" s="197"/>
      <c r="BH12" s="197"/>
      <c r="BI12" s="197"/>
      <c r="BJ12" s="197"/>
      <c r="BK12" s="197"/>
      <c r="BL12" s="197"/>
      <c r="BM12" s="197"/>
      <c r="BN12" s="197"/>
      <c r="BO12" s="197"/>
      <c r="BP12" s="197"/>
      <c r="BQ12" s="197"/>
      <c r="BR12" s="197"/>
      <c r="BS12" s="197"/>
      <c r="BT12" s="197"/>
    </row>
    <row r="13" spans="1:72" s="450" customFormat="1" ht="24" x14ac:dyDescent="0.2">
      <c r="A13" s="360" t="s">
        <v>180</v>
      </c>
      <c r="B13" s="361" t="s">
        <v>382</v>
      </c>
      <c r="C13" s="356" t="s">
        <v>92</v>
      </c>
      <c r="D13" s="356" t="s">
        <v>383</v>
      </c>
      <c r="E13" s="362" t="s">
        <v>150</v>
      </c>
      <c r="F13" s="363" t="s">
        <v>150</v>
      </c>
      <c r="G13" s="364">
        <f>SUM(G15)</f>
        <v>51125</v>
      </c>
      <c r="H13" s="197"/>
      <c r="I13" s="197"/>
      <c r="J13" s="197"/>
      <c r="K13" s="197"/>
      <c r="L13" s="197"/>
      <c r="M13" s="197"/>
      <c r="N13" s="197"/>
      <c r="O13" s="197"/>
      <c r="P13" s="197"/>
      <c r="Q13" s="197"/>
      <c r="R13" s="197"/>
      <c r="S13" s="197"/>
      <c r="T13" s="197"/>
      <c r="U13" s="197"/>
      <c r="V13" s="197"/>
      <c r="W13" s="197"/>
      <c r="X13" s="197"/>
      <c r="Y13" s="197"/>
      <c r="Z13" s="197"/>
      <c r="AA13" s="197"/>
      <c r="AB13" s="197"/>
      <c r="AC13" s="197"/>
      <c r="AD13" s="197"/>
      <c r="AE13" s="197"/>
      <c r="AF13" s="197"/>
      <c r="AG13" s="197"/>
      <c r="AH13" s="197"/>
      <c r="AI13" s="197"/>
      <c r="AJ13" s="197"/>
      <c r="AK13" s="197"/>
      <c r="AL13" s="197"/>
      <c r="AM13" s="197"/>
      <c r="AN13" s="197"/>
      <c r="AO13" s="197"/>
      <c r="AP13" s="197"/>
      <c r="AQ13" s="197"/>
      <c r="AR13" s="197"/>
      <c r="AS13" s="197"/>
      <c r="AT13" s="197"/>
      <c r="AU13" s="197"/>
      <c r="AV13" s="197"/>
      <c r="AW13" s="197"/>
      <c r="AX13" s="197"/>
      <c r="AY13" s="197"/>
      <c r="AZ13" s="197"/>
      <c r="BA13" s="197"/>
      <c r="BB13" s="197"/>
      <c r="BC13" s="197"/>
      <c r="BD13" s="197"/>
      <c r="BE13" s="197"/>
      <c r="BF13" s="197"/>
      <c r="BG13" s="197"/>
      <c r="BH13" s="197"/>
      <c r="BI13" s="197"/>
      <c r="BJ13" s="197"/>
      <c r="BK13" s="197"/>
      <c r="BL13" s="197"/>
      <c r="BM13" s="197"/>
      <c r="BN13" s="197"/>
      <c r="BO13" s="197"/>
      <c r="BP13" s="197"/>
      <c r="BQ13" s="197"/>
      <c r="BR13" s="197"/>
      <c r="BS13" s="197"/>
      <c r="BT13" s="197"/>
    </row>
    <row r="14" spans="1:72" s="450" customFormat="1" ht="9" customHeight="1" x14ac:dyDescent="0.2">
      <c r="A14" s="354"/>
      <c r="B14" s="365"/>
      <c r="C14" s="356"/>
      <c r="D14" s="356"/>
      <c r="E14" s="356"/>
      <c r="F14" s="366"/>
      <c r="G14" s="451"/>
      <c r="H14" s="197"/>
      <c r="I14" s="197"/>
      <c r="J14" s="197"/>
      <c r="K14" s="197"/>
      <c r="L14" s="197"/>
      <c r="M14" s="197"/>
      <c r="N14" s="197"/>
      <c r="O14" s="197"/>
      <c r="P14" s="197"/>
      <c r="Q14" s="197"/>
      <c r="R14" s="197"/>
      <c r="S14" s="197"/>
      <c r="T14" s="197"/>
      <c r="U14" s="197"/>
      <c r="V14" s="197"/>
      <c r="W14" s="197"/>
      <c r="X14" s="197"/>
      <c r="Y14" s="197"/>
      <c r="Z14" s="197"/>
      <c r="AA14" s="197"/>
      <c r="AB14" s="197"/>
      <c r="AC14" s="197"/>
      <c r="AD14" s="197"/>
      <c r="AE14" s="197"/>
      <c r="AF14" s="197"/>
      <c r="AG14" s="197"/>
      <c r="AH14" s="197"/>
      <c r="AI14" s="197"/>
      <c r="AJ14" s="197"/>
      <c r="AK14" s="197"/>
      <c r="AL14" s="197"/>
      <c r="AM14" s="197"/>
      <c r="AN14" s="197"/>
      <c r="AO14" s="197"/>
      <c r="AP14" s="197"/>
      <c r="AQ14" s="197"/>
      <c r="AR14" s="197"/>
      <c r="AS14" s="197"/>
      <c r="AT14" s="197"/>
      <c r="AU14" s="197"/>
      <c r="AV14" s="197"/>
      <c r="AW14" s="197"/>
      <c r="AX14" s="197"/>
      <c r="AY14" s="197"/>
      <c r="AZ14" s="197"/>
      <c r="BA14" s="197"/>
      <c r="BB14" s="197"/>
      <c r="BC14" s="197"/>
      <c r="BD14" s="197"/>
      <c r="BE14" s="197"/>
      <c r="BF14" s="197"/>
      <c r="BG14" s="197"/>
      <c r="BH14" s="197"/>
      <c r="BI14" s="197"/>
      <c r="BJ14" s="197"/>
      <c r="BK14" s="197"/>
      <c r="BL14" s="197"/>
      <c r="BM14" s="197"/>
      <c r="BN14" s="197"/>
      <c r="BO14" s="197"/>
      <c r="BP14" s="197"/>
      <c r="BQ14" s="197"/>
      <c r="BR14" s="197"/>
      <c r="BS14" s="197"/>
      <c r="BT14" s="197"/>
    </row>
    <row r="15" spans="1:72" s="450" customFormat="1" ht="15.75" customHeight="1" x14ac:dyDescent="0.2">
      <c r="A15" s="354"/>
      <c r="B15" s="452" t="s">
        <v>384</v>
      </c>
      <c r="C15" s="356"/>
      <c r="D15" s="356"/>
      <c r="E15" s="356"/>
      <c r="F15" s="366"/>
      <c r="G15" s="451">
        <f>SUM(G16:G16)</f>
        <v>51125</v>
      </c>
      <c r="H15" s="197"/>
      <c r="I15" s="197"/>
      <c r="J15" s="197"/>
      <c r="K15" s="197"/>
      <c r="L15" s="197"/>
      <c r="M15" s="197"/>
      <c r="N15" s="197"/>
      <c r="O15" s="197"/>
      <c r="P15" s="197"/>
      <c r="Q15" s="197"/>
      <c r="R15" s="197"/>
      <c r="S15" s="197"/>
      <c r="T15" s="197"/>
      <c r="U15" s="197"/>
      <c r="V15" s="197"/>
      <c r="W15" s="197"/>
      <c r="X15" s="197"/>
      <c r="Y15" s="197"/>
      <c r="Z15" s="197"/>
      <c r="AA15" s="197"/>
      <c r="AB15" s="197"/>
      <c r="AC15" s="197"/>
      <c r="AD15" s="197"/>
      <c r="AE15" s="197"/>
      <c r="AF15" s="197"/>
      <c r="AG15" s="197"/>
      <c r="AH15" s="197"/>
      <c r="AI15" s="197"/>
      <c r="AJ15" s="197"/>
      <c r="AK15" s="197"/>
      <c r="AL15" s="197"/>
      <c r="AM15" s="197"/>
      <c r="AN15" s="197"/>
      <c r="AO15" s="197"/>
      <c r="AP15" s="197"/>
      <c r="AQ15" s="197"/>
      <c r="AR15" s="197"/>
      <c r="AS15" s="197"/>
      <c r="AT15" s="197"/>
      <c r="AU15" s="197"/>
      <c r="AV15" s="197"/>
      <c r="AW15" s="197"/>
      <c r="AX15" s="197"/>
      <c r="AY15" s="197"/>
      <c r="AZ15" s="197"/>
      <c r="BA15" s="197"/>
      <c r="BB15" s="197"/>
      <c r="BC15" s="197"/>
      <c r="BD15" s="197"/>
      <c r="BE15" s="197"/>
      <c r="BF15" s="197"/>
      <c r="BG15" s="197"/>
      <c r="BH15" s="197"/>
      <c r="BI15" s="197"/>
      <c r="BJ15" s="197"/>
      <c r="BK15" s="197"/>
      <c r="BL15" s="197"/>
      <c r="BM15" s="197"/>
      <c r="BN15" s="197"/>
      <c r="BO15" s="197"/>
      <c r="BP15" s="197"/>
      <c r="BQ15" s="197"/>
      <c r="BR15" s="197"/>
      <c r="BS15" s="197"/>
      <c r="BT15" s="197"/>
    </row>
    <row r="16" spans="1:72" s="450" customFormat="1" ht="15.75" customHeight="1" x14ac:dyDescent="0.2">
      <c r="A16" s="354"/>
      <c r="B16" s="355"/>
      <c r="C16" s="356"/>
      <c r="D16" s="356"/>
      <c r="E16" s="356" t="s">
        <v>385</v>
      </c>
      <c r="F16" s="366" t="s">
        <v>150</v>
      </c>
      <c r="G16" s="367">
        <f>5350+9150+36625</f>
        <v>51125</v>
      </c>
      <c r="H16" s="197"/>
      <c r="I16" s="197"/>
      <c r="J16" s="197"/>
      <c r="K16" s="197"/>
      <c r="L16" s="197"/>
      <c r="M16" s="197"/>
      <c r="N16" s="197"/>
      <c r="O16" s="197"/>
      <c r="P16" s="197"/>
      <c r="Q16" s="197"/>
      <c r="R16" s="197"/>
      <c r="S16" s="197"/>
      <c r="T16" s="197"/>
      <c r="U16" s="197"/>
      <c r="V16" s="197"/>
      <c r="W16" s="197"/>
      <c r="X16" s="197"/>
      <c r="Y16" s="197"/>
      <c r="Z16" s="197"/>
      <c r="AA16" s="197"/>
      <c r="AB16" s="197"/>
      <c r="AC16" s="197"/>
      <c r="AD16" s="197"/>
      <c r="AE16" s="197"/>
      <c r="AF16" s="197"/>
      <c r="AG16" s="197"/>
      <c r="AH16" s="197"/>
      <c r="AI16" s="197"/>
      <c r="AJ16" s="197"/>
      <c r="AK16" s="197"/>
      <c r="AL16" s="197"/>
      <c r="AM16" s="197"/>
      <c r="AN16" s="197"/>
      <c r="AO16" s="197"/>
      <c r="AP16" s="197"/>
      <c r="AQ16" s="197"/>
      <c r="AR16" s="197"/>
      <c r="AS16" s="197"/>
      <c r="AT16" s="197"/>
      <c r="AU16" s="197"/>
      <c r="AV16" s="197"/>
      <c r="AW16" s="197"/>
      <c r="AX16" s="197"/>
      <c r="AY16" s="197"/>
      <c r="AZ16" s="197"/>
      <c r="BA16" s="197"/>
      <c r="BB16" s="197"/>
      <c r="BC16" s="197"/>
      <c r="BD16" s="197"/>
      <c r="BE16" s="197"/>
      <c r="BF16" s="197"/>
      <c r="BG16" s="197"/>
      <c r="BH16" s="197"/>
      <c r="BI16" s="197"/>
      <c r="BJ16" s="197"/>
      <c r="BK16" s="197"/>
      <c r="BL16" s="197"/>
      <c r="BM16" s="197"/>
      <c r="BN16" s="197"/>
      <c r="BO16" s="197"/>
      <c r="BP16" s="197"/>
      <c r="BQ16" s="197"/>
      <c r="BR16" s="197"/>
      <c r="BS16" s="197"/>
      <c r="BT16" s="197"/>
    </row>
    <row r="17" spans="1:72" s="450" customFormat="1" ht="15.75" customHeight="1" x14ac:dyDescent="0.2">
      <c r="A17" s="368"/>
      <c r="B17" s="369"/>
      <c r="C17" s="370"/>
      <c r="D17" s="357"/>
      <c r="E17" s="357"/>
      <c r="F17" s="359"/>
      <c r="G17" s="371"/>
      <c r="H17" s="197"/>
      <c r="I17" s="197"/>
      <c r="J17" s="197"/>
      <c r="K17" s="197"/>
      <c r="L17" s="197"/>
      <c r="M17" s="197"/>
      <c r="N17" s="197"/>
      <c r="O17" s="197"/>
      <c r="P17" s="197"/>
      <c r="Q17" s="197"/>
      <c r="R17" s="197"/>
      <c r="S17" s="197"/>
      <c r="T17" s="197"/>
      <c r="U17" s="197"/>
      <c r="V17" s="197"/>
      <c r="W17" s="197"/>
      <c r="X17" s="197"/>
      <c r="Y17" s="197"/>
      <c r="Z17" s="197"/>
      <c r="AA17" s="197"/>
      <c r="AB17" s="197"/>
      <c r="AC17" s="197"/>
      <c r="AD17" s="197"/>
      <c r="AE17" s="197"/>
      <c r="AF17" s="197"/>
      <c r="AG17" s="197"/>
      <c r="AH17" s="197"/>
      <c r="AI17" s="197"/>
      <c r="AJ17" s="197"/>
      <c r="AK17" s="197"/>
      <c r="AL17" s="197"/>
      <c r="AM17" s="197"/>
      <c r="AN17" s="197"/>
      <c r="AO17" s="197"/>
      <c r="AP17" s="197"/>
      <c r="AQ17" s="197"/>
      <c r="AR17" s="197"/>
      <c r="AS17" s="197"/>
      <c r="AT17" s="197"/>
      <c r="AU17" s="197"/>
      <c r="AV17" s="197"/>
      <c r="AW17" s="197"/>
      <c r="AX17" s="197"/>
      <c r="AY17" s="197"/>
      <c r="AZ17" s="197"/>
      <c r="BA17" s="197"/>
      <c r="BB17" s="197"/>
      <c r="BC17" s="197"/>
      <c r="BD17" s="197"/>
      <c r="BE17" s="197"/>
      <c r="BF17" s="197"/>
      <c r="BG17" s="197"/>
      <c r="BH17" s="197"/>
      <c r="BI17" s="197"/>
      <c r="BJ17" s="197"/>
      <c r="BK17" s="197"/>
      <c r="BL17" s="197"/>
      <c r="BM17" s="197"/>
      <c r="BN17" s="197"/>
      <c r="BO17" s="197"/>
      <c r="BP17" s="197"/>
      <c r="BQ17" s="197"/>
      <c r="BR17" s="197"/>
      <c r="BS17" s="197"/>
      <c r="BT17" s="197"/>
    </row>
    <row r="18" spans="1:72" s="450" customFormat="1" ht="15.75" customHeight="1" x14ac:dyDescent="0.2">
      <c r="A18" s="354"/>
      <c r="B18" s="355"/>
      <c r="C18" s="356"/>
      <c r="D18" s="356"/>
      <c r="E18" s="357" t="s">
        <v>205</v>
      </c>
      <c r="F18" s="358">
        <f>9095+9126</f>
        <v>18221</v>
      </c>
      <c r="G18" s="359" t="s">
        <v>150</v>
      </c>
      <c r="H18" s="197"/>
      <c r="I18" s="197"/>
      <c r="J18" s="197"/>
      <c r="K18" s="197"/>
      <c r="L18" s="197"/>
      <c r="M18" s="197"/>
      <c r="N18" s="197"/>
      <c r="O18" s="197"/>
      <c r="P18" s="197"/>
      <c r="Q18" s="197"/>
      <c r="R18" s="197"/>
      <c r="S18" s="197"/>
      <c r="T18" s="197"/>
      <c r="U18" s="197"/>
      <c r="V18" s="197"/>
      <c r="W18" s="197"/>
      <c r="X18" s="197"/>
      <c r="Y18" s="197"/>
      <c r="Z18" s="197"/>
      <c r="AA18" s="197"/>
      <c r="AB18" s="197"/>
      <c r="AC18" s="197"/>
      <c r="AD18" s="197"/>
      <c r="AE18" s="197"/>
      <c r="AF18" s="197"/>
      <c r="AG18" s="197"/>
      <c r="AH18" s="197"/>
      <c r="AI18" s="197"/>
      <c r="AJ18" s="197"/>
      <c r="AK18" s="197"/>
      <c r="AL18" s="197"/>
      <c r="AM18" s="197"/>
      <c r="AN18" s="197"/>
      <c r="AO18" s="197"/>
      <c r="AP18" s="197"/>
      <c r="AQ18" s="197"/>
      <c r="AR18" s="197"/>
      <c r="AS18" s="197"/>
      <c r="AT18" s="197"/>
      <c r="AU18" s="197"/>
      <c r="AV18" s="197"/>
      <c r="AW18" s="197"/>
      <c r="AX18" s="197"/>
      <c r="AY18" s="197"/>
      <c r="AZ18" s="197"/>
      <c r="BA18" s="197"/>
      <c r="BB18" s="197"/>
      <c r="BC18" s="197"/>
      <c r="BD18" s="197"/>
      <c r="BE18" s="197"/>
      <c r="BF18" s="197"/>
      <c r="BG18" s="197"/>
      <c r="BH18" s="197"/>
      <c r="BI18" s="197"/>
      <c r="BJ18" s="197"/>
      <c r="BK18" s="197"/>
      <c r="BL18" s="197"/>
      <c r="BM18" s="197"/>
      <c r="BN18" s="197"/>
      <c r="BO18" s="197"/>
      <c r="BP18" s="197"/>
      <c r="BQ18" s="197"/>
      <c r="BR18" s="197"/>
      <c r="BS18" s="197"/>
      <c r="BT18" s="197"/>
    </row>
    <row r="19" spans="1:72" s="450" customFormat="1" ht="20.25" customHeight="1" x14ac:dyDescent="0.2">
      <c r="A19" s="360" t="s">
        <v>181</v>
      </c>
      <c r="B19" s="372" t="s">
        <v>386</v>
      </c>
      <c r="C19" s="356" t="s">
        <v>387</v>
      </c>
      <c r="D19" s="356" t="s">
        <v>388</v>
      </c>
      <c r="E19" s="362" t="s">
        <v>150</v>
      </c>
      <c r="F19" s="363" t="s">
        <v>150</v>
      </c>
      <c r="G19" s="364">
        <f>SUM(G21)</f>
        <v>18221</v>
      </c>
      <c r="H19" s="197"/>
      <c r="I19" s="197"/>
      <c r="J19" s="197"/>
      <c r="K19" s="197"/>
      <c r="L19" s="197"/>
      <c r="M19" s="197"/>
      <c r="N19" s="197"/>
      <c r="O19" s="197"/>
      <c r="P19" s="197"/>
      <c r="Q19" s="197"/>
      <c r="R19" s="197"/>
      <c r="S19" s="197"/>
      <c r="T19" s="197"/>
      <c r="U19" s="197"/>
      <c r="V19" s="197"/>
      <c r="W19" s="197"/>
      <c r="X19" s="197"/>
      <c r="Y19" s="197"/>
      <c r="Z19" s="197"/>
      <c r="AA19" s="197"/>
      <c r="AB19" s="197"/>
      <c r="AC19" s="197"/>
      <c r="AD19" s="197"/>
      <c r="AE19" s="197"/>
      <c r="AF19" s="197"/>
      <c r="AG19" s="197"/>
      <c r="AH19" s="197"/>
      <c r="AI19" s="197"/>
      <c r="AJ19" s="197"/>
      <c r="AK19" s="197"/>
      <c r="AL19" s="197"/>
      <c r="AM19" s="197"/>
      <c r="AN19" s="197"/>
      <c r="AO19" s="197"/>
      <c r="AP19" s="197"/>
      <c r="AQ19" s="197"/>
      <c r="AR19" s="197"/>
      <c r="AS19" s="197"/>
      <c r="AT19" s="197"/>
      <c r="AU19" s="197"/>
      <c r="AV19" s="197"/>
      <c r="AW19" s="197"/>
      <c r="AX19" s="197"/>
      <c r="AY19" s="197"/>
      <c r="AZ19" s="197"/>
      <c r="BA19" s="197"/>
      <c r="BB19" s="197"/>
      <c r="BC19" s="197"/>
      <c r="BD19" s="197"/>
      <c r="BE19" s="197"/>
      <c r="BF19" s="197"/>
      <c r="BG19" s="197"/>
      <c r="BH19" s="197"/>
      <c r="BI19" s="197"/>
      <c r="BJ19" s="197"/>
      <c r="BK19" s="197"/>
      <c r="BL19" s="197"/>
      <c r="BM19" s="197"/>
      <c r="BN19" s="197"/>
      <c r="BO19" s="197"/>
      <c r="BP19" s="197"/>
      <c r="BQ19" s="197"/>
      <c r="BR19" s="197"/>
      <c r="BS19" s="197"/>
      <c r="BT19" s="197"/>
    </row>
    <row r="20" spans="1:72" s="450" customFormat="1" ht="10.5" customHeight="1" x14ac:dyDescent="0.2">
      <c r="A20" s="354"/>
      <c r="B20" s="365"/>
      <c r="C20" s="356"/>
      <c r="D20" s="356"/>
      <c r="E20" s="356"/>
      <c r="F20" s="366"/>
      <c r="G20" s="451"/>
      <c r="H20" s="197"/>
      <c r="I20" s="197"/>
      <c r="J20" s="197"/>
      <c r="K20" s="197"/>
      <c r="L20" s="197"/>
      <c r="M20" s="197"/>
      <c r="N20" s="197"/>
      <c r="O20" s="197"/>
      <c r="P20" s="197"/>
      <c r="Q20" s="197"/>
      <c r="R20" s="197"/>
      <c r="S20" s="197"/>
      <c r="T20" s="197"/>
      <c r="U20" s="197"/>
      <c r="V20" s="197"/>
      <c r="W20" s="197"/>
      <c r="X20" s="197"/>
      <c r="Y20" s="197"/>
      <c r="Z20" s="197"/>
      <c r="AA20" s="197"/>
      <c r="AB20" s="197"/>
      <c r="AC20" s="197"/>
      <c r="AD20" s="197"/>
      <c r="AE20" s="197"/>
      <c r="AF20" s="197"/>
      <c r="AG20" s="197"/>
      <c r="AH20" s="197"/>
      <c r="AI20" s="197"/>
      <c r="AJ20" s="197"/>
      <c r="AK20" s="197"/>
      <c r="AL20" s="197"/>
      <c r="AM20" s="197"/>
      <c r="AN20" s="197"/>
      <c r="AO20" s="197"/>
      <c r="AP20" s="197"/>
      <c r="AQ20" s="197"/>
      <c r="AR20" s="197"/>
      <c r="AS20" s="197"/>
      <c r="AT20" s="197"/>
      <c r="AU20" s="197"/>
      <c r="AV20" s="197"/>
      <c r="AW20" s="197"/>
      <c r="AX20" s="197"/>
      <c r="AY20" s="197"/>
      <c r="AZ20" s="197"/>
      <c r="BA20" s="197"/>
      <c r="BB20" s="197"/>
      <c r="BC20" s="197"/>
      <c r="BD20" s="197"/>
      <c r="BE20" s="197"/>
      <c r="BF20" s="197"/>
      <c r="BG20" s="197"/>
      <c r="BH20" s="197"/>
      <c r="BI20" s="197"/>
      <c r="BJ20" s="197"/>
      <c r="BK20" s="197"/>
      <c r="BL20" s="197"/>
      <c r="BM20" s="197"/>
      <c r="BN20" s="197"/>
      <c r="BO20" s="197"/>
      <c r="BP20" s="197"/>
      <c r="BQ20" s="197"/>
      <c r="BR20" s="197"/>
      <c r="BS20" s="197"/>
      <c r="BT20" s="197"/>
    </row>
    <row r="21" spans="1:72" s="450" customFormat="1" ht="15.75" customHeight="1" x14ac:dyDescent="0.2">
      <c r="A21" s="354"/>
      <c r="B21" s="452" t="s">
        <v>384</v>
      </c>
      <c r="C21" s="356"/>
      <c r="D21" s="356"/>
      <c r="E21" s="356"/>
      <c r="F21" s="366"/>
      <c r="G21" s="451">
        <f>SUM(G22:G24)</f>
        <v>18221</v>
      </c>
      <c r="H21" s="197"/>
      <c r="I21" s="197"/>
      <c r="J21" s="197"/>
      <c r="K21" s="197"/>
      <c r="L21" s="197"/>
      <c r="M21" s="197"/>
      <c r="N21" s="197"/>
      <c r="O21" s="197"/>
      <c r="P21" s="197"/>
      <c r="Q21" s="197"/>
      <c r="R21" s="197"/>
      <c r="S21" s="197"/>
      <c r="T21" s="197"/>
      <c r="U21" s="197"/>
      <c r="V21" s="197"/>
      <c r="W21" s="197"/>
      <c r="X21" s="197"/>
      <c r="Y21" s="197"/>
      <c r="Z21" s="197"/>
      <c r="AA21" s="197"/>
      <c r="AB21" s="197"/>
      <c r="AC21" s="197"/>
      <c r="AD21" s="197"/>
      <c r="AE21" s="197"/>
      <c r="AF21" s="197"/>
      <c r="AG21" s="197"/>
      <c r="AH21" s="197"/>
      <c r="AI21" s="197"/>
      <c r="AJ21" s="197"/>
      <c r="AK21" s="197"/>
      <c r="AL21" s="197"/>
      <c r="AM21" s="197"/>
      <c r="AN21" s="197"/>
      <c r="AO21" s="197"/>
      <c r="AP21" s="197"/>
      <c r="AQ21" s="197"/>
      <c r="AR21" s="197"/>
      <c r="AS21" s="197"/>
      <c r="AT21" s="197"/>
      <c r="AU21" s="197"/>
      <c r="AV21" s="197"/>
      <c r="AW21" s="197"/>
      <c r="AX21" s="197"/>
      <c r="AY21" s="197"/>
      <c r="AZ21" s="197"/>
      <c r="BA21" s="197"/>
      <c r="BB21" s="197"/>
      <c r="BC21" s="197"/>
      <c r="BD21" s="197"/>
      <c r="BE21" s="197"/>
      <c r="BF21" s="197"/>
      <c r="BG21" s="197"/>
      <c r="BH21" s="197"/>
      <c r="BI21" s="197"/>
      <c r="BJ21" s="197"/>
      <c r="BK21" s="197"/>
      <c r="BL21" s="197"/>
      <c r="BM21" s="197"/>
      <c r="BN21" s="197"/>
      <c r="BO21" s="197"/>
      <c r="BP21" s="197"/>
      <c r="BQ21" s="197"/>
      <c r="BR21" s="197"/>
      <c r="BS21" s="197"/>
      <c r="BT21" s="197"/>
    </row>
    <row r="22" spans="1:72" s="450" customFormat="1" ht="15.75" customHeight="1" x14ac:dyDescent="0.2">
      <c r="A22" s="354"/>
      <c r="B22" s="355"/>
      <c r="C22" s="356"/>
      <c r="D22" s="356"/>
      <c r="E22" s="356" t="s">
        <v>389</v>
      </c>
      <c r="F22" s="366" t="s">
        <v>150</v>
      </c>
      <c r="G22" s="367">
        <f>8830+8891</f>
        <v>17721</v>
      </c>
      <c r="H22" s="197"/>
      <c r="I22" s="197"/>
      <c r="J22" s="197"/>
      <c r="K22" s="197"/>
      <c r="L22" s="197"/>
      <c r="M22" s="197"/>
      <c r="N22" s="197"/>
      <c r="O22" s="197"/>
      <c r="P22" s="197"/>
      <c r="Q22" s="197"/>
      <c r="R22" s="197"/>
      <c r="S22" s="197"/>
      <c r="T22" s="197"/>
      <c r="U22" s="197"/>
      <c r="V22" s="197"/>
      <c r="W22" s="197"/>
      <c r="X22" s="197"/>
      <c r="Y22" s="197"/>
      <c r="Z22" s="197"/>
      <c r="AA22" s="197"/>
      <c r="AB22" s="197"/>
      <c r="AC22" s="197"/>
      <c r="AD22" s="197"/>
      <c r="AE22" s="197"/>
      <c r="AF22" s="197"/>
      <c r="AG22" s="197"/>
      <c r="AH22" s="197"/>
      <c r="AI22" s="197"/>
      <c r="AJ22" s="197"/>
      <c r="AK22" s="197"/>
      <c r="AL22" s="197"/>
      <c r="AM22" s="197"/>
      <c r="AN22" s="197"/>
      <c r="AO22" s="197"/>
      <c r="AP22" s="197"/>
      <c r="AQ22" s="197"/>
      <c r="AR22" s="197"/>
      <c r="AS22" s="197"/>
      <c r="AT22" s="197"/>
      <c r="AU22" s="197"/>
      <c r="AV22" s="197"/>
      <c r="AW22" s="197"/>
      <c r="AX22" s="197"/>
      <c r="AY22" s="197"/>
      <c r="AZ22" s="197"/>
      <c r="BA22" s="197"/>
      <c r="BB22" s="197"/>
      <c r="BC22" s="197"/>
      <c r="BD22" s="197"/>
      <c r="BE22" s="197"/>
      <c r="BF22" s="197"/>
      <c r="BG22" s="197"/>
      <c r="BH22" s="197"/>
      <c r="BI22" s="197"/>
      <c r="BJ22" s="197"/>
      <c r="BK22" s="197"/>
      <c r="BL22" s="197"/>
      <c r="BM22" s="197"/>
      <c r="BN22" s="197"/>
      <c r="BO22" s="197"/>
      <c r="BP22" s="197"/>
      <c r="BQ22" s="197"/>
      <c r="BR22" s="197"/>
      <c r="BS22" s="197"/>
      <c r="BT22" s="197"/>
    </row>
    <row r="23" spans="1:72" s="450" customFormat="1" ht="15.75" customHeight="1" x14ac:dyDescent="0.2">
      <c r="A23" s="354"/>
      <c r="B23" s="355"/>
      <c r="C23" s="356"/>
      <c r="D23" s="356"/>
      <c r="E23" s="356" t="s">
        <v>390</v>
      </c>
      <c r="F23" s="366" t="s">
        <v>150</v>
      </c>
      <c r="G23" s="367">
        <f>265+205</f>
        <v>470</v>
      </c>
      <c r="H23" s="197"/>
      <c r="I23" s="197"/>
      <c r="J23" s="197"/>
      <c r="K23" s="197"/>
      <c r="L23" s="197"/>
      <c r="M23" s="197"/>
      <c r="N23" s="197"/>
      <c r="O23" s="197"/>
      <c r="P23" s="197"/>
      <c r="Q23" s="197"/>
      <c r="R23" s="197"/>
      <c r="S23" s="197"/>
      <c r="T23" s="197"/>
      <c r="U23" s="197"/>
      <c r="V23" s="197"/>
      <c r="W23" s="197"/>
      <c r="X23" s="197"/>
      <c r="Y23" s="197"/>
      <c r="Z23" s="197"/>
      <c r="AA23" s="197"/>
      <c r="AB23" s="197"/>
      <c r="AC23" s="197"/>
      <c r="AD23" s="197"/>
      <c r="AE23" s="197"/>
      <c r="AF23" s="197"/>
      <c r="AG23" s="197"/>
      <c r="AH23" s="197"/>
      <c r="AI23" s="197"/>
      <c r="AJ23" s="197"/>
      <c r="AK23" s="197"/>
      <c r="AL23" s="197"/>
      <c r="AM23" s="197"/>
      <c r="AN23" s="197"/>
      <c r="AO23" s="197"/>
      <c r="AP23" s="197"/>
      <c r="AQ23" s="197"/>
      <c r="AR23" s="197"/>
      <c r="AS23" s="197"/>
      <c r="AT23" s="197"/>
      <c r="AU23" s="197"/>
      <c r="AV23" s="197"/>
      <c r="AW23" s="197"/>
      <c r="AX23" s="197"/>
      <c r="AY23" s="197"/>
      <c r="AZ23" s="197"/>
      <c r="BA23" s="197"/>
      <c r="BB23" s="197"/>
      <c r="BC23" s="197"/>
      <c r="BD23" s="197"/>
      <c r="BE23" s="197"/>
      <c r="BF23" s="197"/>
      <c r="BG23" s="197"/>
      <c r="BH23" s="197"/>
      <c r="BI23" s="197"/>
      <c r="BJ23" s="197"/>
      <c r="BK23" s="197"/>
      <c r="BL23" s="197"/>
      <c r="BM23" s="197"/>
      <c r="BN23" s="197"/>
      <c r="BO23" s="197"/>
      <c r="BP23" s="197"/>
      <c r="BQ23" s="197"/>
      <c r="BR23" s="197"/>
      <c r="BS23" s="197"/>
      <c r="BT23" s="197"/>
    </row>
    <row r="24" spans="1:72" s="450" customFormat="1" ht="15.75" customHeight="1" x14ac:dyDescent="0.2">
      <c r="A24" s="354"/>
      <c r="B24" s="355"/>
      <c r="C24" s="373"/>
      <c r="D24" s="356"/>
      <c r="E24" s="356" t="s">
        <v>385</v>
      </c>
      <c r="F24" s="366" t="s">
        <v>150</v>
      </c>
      <c r="G24" s="367">
        <v>30</v>
      </c>
      <c r="H24" s="197"/>
      <c r="I24" s="197"/>
      <c r="J24" s="197"/>
      <c r="K24" s="197"/>
      <c r="L24" s="197"/>
      <c r="M24" s="197"/>
      <c r="N24" s="197"/>
      <c r="O24" s="197"/>
      <c r="P24" s="197"/>
      <c r="Q24" s="197"/>
      <c r="R24" s="197"/>
      <c r="S24" s="197"/>
      <c r="T24" s="197"/>
      <c r="U24" s="197"/>
      <c r="V24" s="197"/>
      <c r="W24" s="197"/>
      <c r="X24" s="197"/>
      <c r="Y24" s="197"/>
      <c r="Z24" s="197"/>
      <c r="AA24" s="197"/>
      <c r="AB24" s="197"/>
      <c r="AC24" s="197"/>
      <c r="AD24" s="197"/>
      <c r="AE24" s="197"/>
      <c r="AF24" s="197"/>
      <c r="AG24" s="197"/>
      <c r="AH24" s="197"/>
      <c r="AI24" s="197"/>
      <c r="AJ24" s="197"/>
      <c r="AK24" s="197"/>
      <c r="AL24" s="197"/>
      <c r="AM24" s="197"/>
      <c r="AN24" s="197"/>
      <c r="AO24" s="197"/>
      <c r="AP24" s="197"/>
      <c r="AQ24" s="197"/>
      <c r="AR24" s="197"/>
      <c r="AS24" s="197"/>
      <c r="AT24" s="197"/>
      <c r="AU24" s="197"/>
      <c r="AV24" s="197"/>
      <c r="AW24" s="197"/>
      <c r="AX24" s="197"/>
      <c r="AY24" s="197"/>
      <c r="AZ24" s="197"/>
      <c r="BA24" s="197"/>
      <c r="BB24" s="197"/>
      <c r="BC24" s="197"/>
      <c r="BD24" s="197"/>
      <c r="BE24" s="197"/>
      <c r="BF24" s="197"/>
      <c r="BG24" s="197"/>
      <c r="BH24" s="197"/>
      <c r="BI24" s="197"/>
      <c r="BJ24" s="197"/>
      <c r="BK24" s="197"/>
      <c r="BL24" s="197"/>
      <c r="BM24" s="197"/>
      <c r="BN24" s="197"/>
      <c r="BO24" s="197"/>
      <c r="BP24" s="197"/>
      <c r="BQ24" s="197"/>
      <c r="BR24" s="197"/>
      <c r="BS24" s="197"/>
      <c r="BT24" s="197"/>
    </row>
    <row r="25" spans="1:72" s="450" customFormat="1" ht="15.75" customHeight="1" x14ac:dyDescent="0.2">
      <c r="A25" s="368"/>
      <c r="B25" s="369"/>
      <c r="C25" s="370"/>
      <c r="D25" s="357"/>
      <c r="E25" s="357"/>
      <c r="F25" s="359"/>
      <c r="G25" s="371"/>
      <c r="H25" s="197"/>
      <c r="I25" s="197"/>
      <c r="J25" s="197"/>
      <c r="K25" s="197"/>
      <c r="L25" s="197"/>
      <c r="M25" s="197"/>
      <c r="N25" s="197"/>
      <c r="O25" s="197"/>
      <c r="P25" s="197"/>
      <c r="Q25" s="197"/>
      <c r="R25" s="197"/>
      <c r="S25" s="197"/>
      <c r="T25" s="197"/>
      <c r="U25" s="197"/>
      <c r="V25" s="197"/>
      <c r="W25" s="197"/>
      <c r="X25" s="197"/>
      <c r="Y25" s="197"/>
      <c r="Z25" s="197"/>
      <c r="AA25" s="197"/>
      <c r="AB25" s="197"/>
      <c r="AC25" s="197"/>
      <c r="AD25" s="197"/>
      <c r="AE25" s="197"/>
      <c r="AF25" s="197"/>
      <c r="AG25" s="197"/>
      <c r="AH25" s="197"/>
      <c r="AI25" s="197"/>
      <c r="AJ25" s="197"/>
      <c r="AK25" s="197"/>
      <c r="AL25" s="197"/>
      <c r="AM25" s="197"/>
      <c r="AN25" s="197"/>
      <c r="AO25" s="197"/>
      <c r="AP25" s="197"/>
      <c r="AQ25" s="197"/>
      <c r="AR25" s="197"/>
      <c r="AS25" s="197"/>
      <c r="AT25" s="197"/>
      <c r="AU25" s="197"/>
      <c r="AV25" s="197"/>
      <c r="AW25" s="197"/>
      <c r="AX25" s="197"/>
      <c r="AY25" s="197"/>
      <c r="AZ25" s="197"/>
      <c r="BA25" s="197"/>
      <c r="BB25" s="197"/>
      <c r="BC25" s="197"/>
      <c r="BD25" s="197"/>
      <c r="BE25" s="197"/>
      <c r="BF25" s="197"/>
      <c r="BG25" s="197"/>
      <c r="BH25" s="197"/>
      <c r="BI25" s="197"/>
      <c r="BJ25" s="197"/>
      <c r="BK25" s="197"/>
      <c r="BL25" s="197"/>
      <c r="BM25" s="197"/>
      <c r="BN25" s="197"/>
      <c r="BO25" s="197"/>
      <c r="BP25" s="197"/>
      <c r="BQ25" s="197"/>
      <c r="BR25" s="197"/>
      <c r="BS25" s="197"/>
      <c r="BT25" s="197"/>
    </row>
    <row r="26" spans="1:72" s="450" customFormat="1" ht="15.75" customHeight="1" x14ac:dyDescent="0.2">
      <c r="A26" s="354"/>
      <c r="B26" s="355"/>
      <c r="C26" s="356"/>
      <c r="D26" s="356"/>
      <c r="E26" s="357" t="s">
        <v>205</v>
      </c>
      <c r="F26" s="358">
        <f>119646+106488+19584+20502+11322</f>
        <v>277542</v>
      </c>
      <c r="G26" s="359" t="s">
        <v>150</v>
      </c>
      <c r="H26" s="197"/>
      <c r="I26" s="197"/>
      <c r="J26" s="197"/>
      <c r="K26" s="197"/>
      <c r="L26" s="197"/>
      <c r="M26" s="197"/>
      <c r="N26" s="197"/>
      <c r="O26" s="197"/>
      <c r="P26" s="197"/>
      <c r="Q26" s="197"/>
      <c r="R26" s="197"/>
      <c r="S26" s="197"/>
      <c r="T26" s="197"/>
      <c r="U26" s="197"/>
      <c r="V26" s="197"/>
      <c r="W26" s="197"/>
      <c r="X26" s="197"/>
      <c r="Y26" s="197"/>
      <c r="Z26" s="197"/>
      <c r="AA26" s="197"/>
      <c r="AB26" s="197"/>
      <c r="AC26" s="197"/>
      <c r="AD26" s="197"/>
      <c r="AE26" s="197"/>
      <c r="AF26" s="197"/>
      <c r="AG26" s="197"/>
      <c r="AH26" s="197"/>
      <c r="AI26" s="197"/>
      <c r="AJ26" s="197"/>
      <c r="AK26" s="197"/>
      <c r="AL26" s="197"/>
      <c r="AM26" s="197"/>
      <c r="AN26" s="197"/>
      <c r="AO26" s="197"/>
      <c r="AP26" s="197"/>
      <c r="AQ26" s="197"/>
      <c r="AR26" s="197"/>
      <c r="AS26" s="197"/>
      <c r="AT26" s="197"/>
      <c r="AU26" s="197"/>
      <c r="AV26" s="197"/>
      <c r="AW26" s="197"/>
      <c r="AX26" s="197"/>
      <c r="AY26" s="197"/>
      <c r="AZ26" s="197"/>
      <c r="BA26" s="197"/>
      <c r="BB26" s="197"/>
      <c r="BC26" s="197"/>
      <c r="BD26" s="197"/>
      <c r="BE26" s="197"/>
      <c r="BF26" s="197"/>
      <c r="BG26" s="197"/>
      <c r="BH26" s="197"/>
      <c r="BI26" s="197"/>
      <c r="BJ26" s="197"/>
      <c r="BK26" s="197"/>
      <c r="BL26" s="197"/>
      <c r="BM26" s="197"/>
      <c r="BN26" s="197"/>
      <c r="BO26" s="197"/>
      <c r="BP26" s="197"/>
      <c r="BQ26" s="197"/>
      <c r="BR26" s="197"/>
      <c r="BS26" s="197"/>
      <c r="BT26" s="197"/>
    </row>
    <row r="27" spans="1:72" s="450" customFormat="1" ht="24" x14ac:dyDescent="0.2">
      <c r="A27" s="360" t="s">
        <v>182</v>
      </c>
      <c r="B27" s="361" t="s">
        <v>391</v>
      </c>
      <c r="C27" s="356" t="s">
        <v>392</v>
      </c>
      <c r="D27" s="356" t="s">
        <v>393</v>
      </c>
      <c r="E27" s="362" t="s">
        <v>150</v>
      </c>
      <c r="F27" s="363" t="s">
        <v>150</v>
      </c>
      <c r="G27" s="364">
        <f>SUM(G29)</f>
        <v>277542</v>
      </c>
      <c r="H27" s="197"/>
      <c r="I27" s="197"/>
      <c r="J27" s="197"/>
      <c r="K27" s="197"/>
      <c r="L27" s="197"/>
      <c r="M27" s="197"/>
      <c r="N27" s="197"/>
      <c r="O27" s="197"/>
      <c r="P27" s="197"/>
      <c r="Q27" s="197"/>
      <c r="R27" s="197"/>
      <c r="S27" s="197"/>
      <c r="T27" s="197"/>
      <c r="U27" s="197"/>
      <c r="V27" s="197"/>
      <c r="W27" s="197"/>
      <c r="X27" s="197"/>
      <c r="Y27" s="197"/>
      <c r="Z27" s="197"/>
      <c r="AA27" s="197"/>
      <c r="AB27" s="197"/>
      <c r="AC27" s="197"/>
      <c r="AD27" s="197"/>
      <c r="AE27" s="197"/>
      <c r="AF27" s="197"/>
      <c r="AG27" s="197"/>
      <c r="AH27" s="197"/>
      <c r="AI27" s="197"/>
      <c r="AJ27" s="197"/>
      <c r="AK27" s="197"/>
      <c r="AL27" s="197"/>
      <c r="AM27" s="197"/>
      <c r="AN27" s="197"/>
      <c r="AO27" s="197"/>
      <c r="AP27" s="197"/>
      <c r="AQ27" s="197"/>
      <c r="AR27" s="197"/>
      <c r="AS27" s="197"/>
      <c r="AT27" s="197"/>
      <c r="AU27" s="197"/>
      <c r="AV27" s="197"/>
      <c r="AW27" s="197"/>
      <c r="AX27" s="197"/>
      <c r="AY27" s="197"/>
      <c r="AZ27" s="197"/>
      <c r="BA27" s="197"/>
      <c r="BB27" s="197"/>
      <c r="BC27" s="197"/>
      <c r="BD27" s="197"/>
      <c r="BE27" s="197"/>
      <c r="BF27" s="197"/>
      <c r="BG27" s="197"/>
      <c r="BH27" s="197"/>
      <c r="BI27" s="197"/>
      <c r="BJ27" s="197"/>
      <c r="BK27" s="197"/>
      <c r="BL27" s="197"/>
      <c r="BM27" s="197"/>
      <c r="BN27" s="197"/>
      <c r="BO27" s="197"/>
      <c r="BP27" s="197"/>
      <c r="BQ27" s="197"/>
      <c r="BR27" s="197"/>
      <c r="BS27" s="197"/>
      <c r="BT27" s="197"/>
    </row>
    <row r="28" spans="1:72" s="450" customFormat="1" ht="10.5" customHeight="1" x14ac:dyDescent="0.2">
      <c r="A28" s="354"/>
      <c r="B28" s="365"/>
      <c r="C28" s="356"/>
      <c r="D28" s="356"/>
      <c r="E28" s="356"/>
      <c r="F28" s="366"/>
      <c r="G28" s="451"/>
      <c r="H28" s="197"/>
      <c r="I28" s="197"/>
      <c r="J28" s="197"/>
      <c r="K28" s="197"/>
      <c r="L28" s="197"/>
      <c r="M28" s="197"/>
      <c r="N28" s="197"/>
      <c r="O28" s="197"/>
      <c r="P28" s="197"/>
      <c r="Q28" s="197"/>
      <c r="R28" s="197"/>
      <c r="S28" s="197"/>
      <c r="T28" s="197"/>
      <c r="U28" s="197"/>
      <c r="V28" s="197"/>
      <c r="W28" s="197"/>
      <c r="X28" s="197"/>
      <c r="Y28" s="197"/>
      <c r="Z28" s="197"/>
      <c r="AA28" s="197"/>
      <c r="AB28" s="197"/>
      <c r="AC28" s="197"/>
      <c r="AD28" s="197"/>
      <c r="AE28" s="197"/>
      <c r="AF28" s="197"/>
      <c r="AG28" s="197"/>
      <c r="AH28" s="197"/>
      <c r="AI28" s="197"/>
      <c r="AJ28" s="197"/>
      <c r="AK28" s="197"/>
      <c r="AL28" s="197"/>
      <c r="AM28" s="197"/>
      <c r="AN28" s="197"/>
      <c r="AO28" s="197"/>
      <c r="AP28" s="197"/>
      <c r="AQ28" s="197"/>
      <c r="AR28" s="197"/>
      <c r="AS28" s="197"/>
      <c r="AT28" s="197"/>
      <c r="AU28" s="197"/>
      <c r="AV28" s="197"/>
      <c r="AW28" s="197"/>
      <c r="AX28" s="197"/>
      <c r="AY28" s="197"/>
      <c r="AZ28" s="197"/>
      <c r="BA28" s="197"/>
      <c r="BB28" s="197"/>
      <c r="BC28" s="197"/>
      <c r="BD28" s="197"/>
      <c r="BE28" s="197"/>
      <c r="BF28" s="197"/>
      <c r="BG28" s="197"/>
      <c r="BH28" s="197"/>
      <c r="BI28" s="197"/>
      <c r="BJ28" s="197"/>
      <c r="BK28" s="197"/>
      <c r="BL28" s="197"/>
      <c r="BM28" s="197"/>
      <c r="BN28" s="197"/>
      <c r="BO28" s="197"/>
      <c r="BP28" s="197"/>
      <c r="BQ28" s="197"/>
      <c r="BR28" s="197"/>
      <c r="BS28" s="197"/>
      <c r="BT28" s="197"/>
    </row>
    <row r="29" spans="1:72" s="450" customFormat="1" ht="15.75" customHeight="1" x14ac:dyDescent="0.2">
      <c r="A29" s="354"/>
      <c r="B29" s="452" t="s">
        <v>384</v>
      </c>
      <c r="C29" s="356"/>
      <c r="D29" s="356"/>
      <c r="E29" s="356"/>
      <c r="F29" s="366"/>
      <c r="G29" s="451">
        <f>SUM(G30:G34)</f>
        <v>277542</v>
      </c>
      <c r="H29" s="197"/>
      <c r="I29" s="197"/>
      <c r="J29" s="197"/>
      <c r="K29" s="197"/>
      <c r="L29" s="197"/>
      <c r="M29" s="197"/>
      <c r="N29" s="197"/>
      <c r="O29" s="197"/>
      <c r="P29" s="197"/>
      <c r="Q29" s="197"/>
      <c r="R29" s="197"/>
      <c r="S29" s="197"/>
      <c r="T29" s="197"/>
      <c r="U29" s="197"/>
      <c r="V29" s="197"/>
      <c r="W29" s="197"/>
      <c r="X29" s="197"/>
      <c r="Y29" s="197"/>
      <c r="Z29" s="197"/>
      <c r="AA29" s="197"/>
      <c r="AB29" s="197"/>
      <c r="AC29" s="197"/>
      <c r="AD29" s="197"/>
      <c r="AE29" s="197"/>
      <c r="AF29" s="197"/>
      <c r="AG29" s="197"/>
      <c r="AH29" s="197"/>
      <c r="AI29" s="197"/>
      <c r="AJ29" s="197"/>
      <c r="AK29" s="197"/>
      <c r="AL29" s="197"/>
      <c r="AM29" s="197"/>
      <c r="AN29" s="197"/>
      <c r="AO29" s="197"/>
      <c r="AP29" s="197"/>
      <c r="AQ29" s="197"/>
      <c r="AR29" s="197"/>
      <c r="AS29" s="197"/>
      <c r="AT29" s="197"/>
      <c r="AU29" s="197"/>
      <c r="AV29" s="197"/>
      <c r="AW29" s="197"/>
      <c r="AX29" s="197"/>
      <c r="AY29" s="197"/>
      <c r="AZ29" s="197"/>
      <c r="BA29" s="197"/>
      <c r="BB29" s="197"/>
      <c r="BC29" s="197"/>
      <c r="BD29" s="197"/>
      <c r="BE29" s="197"/>
      <c r="BF29" s="197"/>
      <c r="BG29" s="197"/>
      <c r="BH29" s="197"/>
      <c r="BI29" s="197"/>
      <c r="BJ29" s="197"/>
      <c r="BK29" s="197"/>
      <c r="BL29" s="197"/>
      <c r="BM29" s="197"/>
      <c r="BN29" s="197"/>
      <c r="BO29" s="197"/>
      <c r="BP29" s="197"/>
      <c r="BQ29" s="197"/>
      <c r="BR29" s="197"/>
      <c r="BS29" s="197"/>
      <c r="BT29" s="197"/>
    </row>
    <row r="30" spans="1:72" s="450" customFormat="1" ht="15.75" customHeight="1" x14ac:dyDescent="0.2">
      <c r="A30" s="354"/>
      <c r="B30" s="355"/>
      <c r="C30" s="356"/>
      <c r="D30" s="356"/>
      <c r="E30" s="356" t="s">
        <v>389</v>
      </c>
      <c r="F30" s="366" t="s">
        <v>150</v>
      </c>
      <c r="G30" s="367">
        <f>117300+104400+19200+20100+11100</f>
        <v>272100</v>
      </c>
      <c r="H30" s="197"/>
      <c r="I30" s="197"/>
      <c r="J30" s="197"/>
      <c r="K30" s="197"/>
      <c r="L30" s="197"/>
      <c r="M30" s="197"/>
      <c r="N30" s="197"/>
      <c r="O30" s="197"/>
      <c r="P30" s="197"/>
      <c r="Q30" s="197"/>
      <c r="R30" s="197"/>
      <c r="S30" s="197"/>
      <c r="T30" s="197"/>
      <c r="U30" s="197"/>
      <c r="V30" s="197"/>
      <c r="W30" s="197"/>
      <c r="X30" s="197"/>
      <c r="Y30" s="197"/>
      <c r="Z30" s="197"/>
      <c r="AA30" s="197"/>
      <c r="AB30" s="197"/>
      <c r="AC30" s="197"/>
      <c r="AD30" s="197"/>
      <c r="AE30" s="197"/>
      <c r="AF30" s="197"/>
      <c r="AG30" s="197"/>
      <c r="AH30" s="197"/>
      <c r="AI30" s="197"/>
      <c r="AJ30" s="197"/>
      <c r="AK30" s="197"/>
      <c r="AL30" s="197"/>
      <c r="AM30" s="197"/>
      <c r="AN30" s="197"/>
      <c r="AO30" s="197"/>
      <c r="AP30" s="197"/>
      <c r="AQ30" s="197"/>
      <c r="AR30" s="197"/>
      <c r="AS30" s="197"/>
      <c r="AT30" s="197"/>
      <c r="AU30" s="197"/>
      <c r="AV30" s="197"/>
      <c r="AW30" s="197"/>
      <c r="AX30" s="197"/>
      <c r="AY30" s="197"/>
      <c r="AZ30" s="197"/>
      <c r="BA30" s="197"/>
      <c r="BB30" s="197"/>
      <c r="BC30" s="197"/>
      <c r="BD30" s="197"/>
      <c r="BE30" s="197"/>
      <c r="BF30" s="197"/>
      <c r="BG30" s="197"/>
      <c r="BH30" s="197"/>
      <c r="BI30" s="197"/>
      <c r="BJ30" s="197"/>
      <c r="BK30" s="197"/>
      <c r="BL30" s="197"/>
      <c r="BM30" s="197"/>
      <c r="BN30" s="197"/>
      <c r="BO30" s="197"/>
      <c r="BP30" s="197"/>
      <c r="BQ30" s="197"/>
      <c r="BR30" s="197"/>
      <c r="BS30" s="197"/>
      <c r="BT30" s="197"/>
    </row>
    <row r="31" spans="1:72" s="450" customFormat="1" ht="15.75" customHeight="1" x14ac:dyDescent="0.2">
      <c r="A31" s="354"/>
      <c r="B31" s="355"/>
      <c r="C31" s="356"/>
      <c r="D31" s="356"/>
      <c r="E31" s="356" t="s">
        <v>390</v>
      </c>
      <c r="F31" s="366" t="s">
        <v>150</v>
      </c>
      <c r="G31" s="367">
        <f>1955+1733+320+330+185</f>
        <v>4523</v>
      </c>
      <c r="H31" s="197"/>
      <c r="I31" s="197"/>
      <c r="J31" s="197"/>
      <c r="K31" s="197"/>
      <c r="L31" s="197"/>
      <c r="M31" s="197"/>
      <c r="N31" s="197"/>
      <c r="O31" s="197"/>
      <c r="P31" s="197"/>
      <c r="Q31" s="197"/>
      <c r="R31" s="197"/>
      <c r="S31" s="197"/>
      <c r="T31" s="197"/>
      <c r="U31" s="197"/>
      <c r="V31" s="197"/>
      <c r="W31" s="197"/>
      <c r="X31" s="197"/>
      <c r="Y31" s="197"/>
      <c r="Z31" s="197"/>
      <c r="AA31" s="197"/>
      <c r="AB31" s="197"/>
      <c r="AC31" s="197"/>
      <c r="AD31" s="197"/>
      <c r="AE31" s="197"/>
      <c r="AF31" s="197"/>
      <c r="AG31" s="197"/>
      <c r="AH31" s="197"/>
      <c r="AI31" s="197"/>
      <c r="AJ31" s="197"/>
      <c r="AK31" s="197"/>
      <c r="AL31" s="197"/>
      <c r="AM31" s="197"/>
      <c r="AN31" s="197"/>
      <c r="AO31" s="197"/>
      <c r="AP31" s="197"/>
      <c r="AQ31" s="197"/>
      <c r="AR31" s="197"/>
      <c r="AS31" s="197"/>
      <c r="AT31" s="197"/>
      <c r="AU31" s="197"/>
      <c r="AV31" s="197"/>
      <c r="AW31" s="197"/>
      <c r="AX31" s="197"/>
      <c r="AY31" s="197"/>
      <c r="AZ31" s="197"/>
      <c r="BA31" s="197"/>
      <c r="BB31" s="197"/>
      <c r="BC31" s="197"/>
      <c r="BD31" s="197"/>
      <c r="BE31" s="197"/>
      <c r="BF31" s="197"/>
      <c r="BG31" s="197"/>
      <c r="BH31" s="197"/>
      <c r="BI31" s="197"/>
      <c r="BJ31" s="197"/>
      <c r="BK31" s="197"/>
      <c r="BL31" s="197"/>
      <c r="BM31" s="197"/>
      <c r="BN31" s="197"/>
      <c r="BO31" s="197"/>
      <c r="BP31" s="197"/>
      <c r="BQ31" s="197"/>
      <c r="BR31" s="197"/>
      <c r="BS31" s="197"/>
      <c r="BT31" s="197"/>
    </row>
    <row r="32" spans="1:72" s="450" customFormat="1" ht="15.75" customHeight="1" x14ac:dyDescent="0.2">
      <c r="A32" s="354"/>
      <c r="B32" s="355"/>
      <c r="C32" s="356"/>
      <c r="D32" s="356"/>
      <c r="E32" s="356" t="s">
        <v>394</v>
      </c>
      <c r="F32" s="366" t="s">
        <v>150</v>
      </c>
      <c r="G32" s="367">
        <f>342+304+56+59+33</f>
        <v>794</v>
      </c>
      <c r="H32" s="197"/>
      <c r="I32" s="197"/>
      <c r="J32" s="197"/>
      <c r="K32" s="197"/>
      <c r="L32" s="197"/>
      <c r="M32" s="197"/>
      <c r="N32" s="197"/>
      <c r="O32" s="197"/>
      <c r="P32" s="197"/>
      <c r="Q32" s="197"/>
      <c r="R32" s="197"/>
      <c r="S32" s="197"/>
      <c r="T32" s="197"/>
      <c r="U32" s="197"/>
      <c r="V32" s="197"/>
      <c r="W32" s="197"/>
      <c r="X32" s="197"/>
      <c r="Y32" s="197"/>
      <c r="Z32" s="197"/>
      <c r="AA32" s="197"/>
      <c r="AB32" s="197"/>
      <c r="AC32" s="197"/>
      <c r="AD32" s="197"/>
      <c r="AE32" s="197"/>
      <c r="AF32" s="197"/>
      <c r="AG32" s="197"/>
      <c r="AH32" s="197"/>
      <c r="AI32" s="197"/>
      <c r="AJ32" s="197"/>
      <c r="AK32" s="197"/>
      <c r="AL32" s="197"/>
      <c r="AM32" s="197"/>
      <c r="AN32" s="197"/>
      <c r="AO32" s="197"/>
      <c r="AP32" s="197"/>
      <c r="AQ32" s="197"/>
      <c r="AR32" s="197"/>
      <c r="AS32" s="197"/>
      <c r="AT32" s="197"/>
      <c r="AU32" s="197"/>
      <c r="AV32" s="197"/>
      <c r="AW32" s="197"/>
      <c r="AX32" s="197"/>
      <c r="AY32" s="197"/>
      <c r="AZ32" s="197"/>
      <c r="BA32" s="197"/>
      <c r="BB32" s="197"/>
      <c r="BC32" s="197"/>
      <c r="BD32" s="197"/>
      <c r="BE32" s="197"/>
      <c r="BF32" s="197"/>
      <c r="BG32" s="197"/>
      <c r="BH32" s="197"/>
      <c r="BI32" s="197"/>
      <c r="BJ32" s="197"/>
      <c r="BK32" s="197"/>
      <c r="BL32" s="197"/>
      <c r="BM32" s="197"/>
      <c r="BN32" s="197"/>
      <c r="BO32" s="197"/>
      <c r="BP32" s="197"/>
      <c r="BQ32" s="197"/>
      <c r="BR32" s="197"/>
      <c r="BS32" s="197"/>
      <c r="BT32" s="197"/>
    </row>
    <row r="33" spans="1:72" s="450" customFormat="1" ht="15.75" customHeight="1" x14ac:dyDescent="0.2">
      <c r="A33" s="354"/>
      <c r="B33" s="355"/>
      <c r="C33" s="356"/>
      <c r="D33" s="356"/>
      <c r="E33" s="356" t="s">
        <v>395</v>
      </c>
      <c r="F33" s="366" t="s">
        <v>150</v>
      </c>
      <c r="G33" s="367">
        <f>49+44+8+8+4</f>
        <v>113</v>
      </c>
      <c r="H33" s="197"/>
      <c r="I33" s="197"/>
      <c r="J33" s="197"/>
      <c r="K33" s="197"/>
      <c r="L33" s="197"/>
      <c r="M33" s="197"/>
      <c r="N33" s="197"/>
      <c r="O33" s="197"/>
      <c r="P33" s="197"/>
      <c r="Q33" s="197"/>
      <c r="R33" s="197"/>
      <c r="S33" s="197"/>
      <c r="T33" s="197"/>
      <c r="U33" s="197"/>
      <c r="V33" s="197"/>
      <c r="W33" s="197"/>
      <c r="X33" s="197"/>
      <c r="Y33" s="197"/>
      <c r="Z33" s="197"/>
      <c r="AA33" s="197"/>
      <c r="AB33" s="197"/>
      <c r="AC33" s="197"/>
      <c r="AD33" s="197"/>
      <c r="AE33" s="197"/>
      <c r="AF33" s="197"/>
      <c r="AG33" s="197"/>
      <c r="AH33" s="197"/>
      <c r="AI33" s="197"/>
      <c r="AJ33" s="197"/>
      <c r="AK33" s="197"/>
      <c r="AL33" s="197"/>
      <c r="AM33" s="197"/>
      <c r="AN33" s="197"/>
      <c r="AO33" s="197"/>
      <c r="AP33" s="197"/>
      <c r="AQ33" s="197"/>
      <c r="AR33" s="197"/>
      <c r="AS33" s="197"/>
      <c r="AT33" s="197"/>
      <c r="AU33" s="197"/>
      <c r="AV33" s="197"/>
      <c r="AW33" s="197"/>
      <c r="AX33" s="197"/>
      <c r="AY33" s="197"/>
      <c r="AZ33" s="197"/>
      <c r="BA33" s="197"/>
      <c r="BB33" s="197"/>
      <c r="BC33" s="197"/>
      <c r="BD33" s="197"/>
      <c r="BE33" s="197"/>
      <c r="BF33" s="197"/>
      <c r="BG33" s="197"/>
      <c r="BH33" s="197"/>
      <c r="BI33" s="197"/>
      <c r="BJ33" s="197"/>
      <c r="BK33" s="197"/>
      <c r="BL33" s="197"/>
      <c r="BM33" s="197"/>
      <c r="BN33" s="197"/>
      <c r="BO33" s="197"/>
      <c r="BP33" s="197"/>
      <c r="BQ33" s="197"/>
      <c r="BR33" s="197"/>
      <c r="BS33" s="197"/>
      <c r="BT33" s="197"/>
    </row>
    <row r="34" spans="1:72" s="450" customFormat="1" ht="15.75" customHeight="1" x14ac:dyDescent="0.2">
      <c r="A34" s="354"/>
      <c r="B34" s="355"/>
      <c r="C34" s="373"/>
      <c r="D34" s="356"/>
      <c r="E34" s="356" t="s">
        <v>396</v>
      </c>
      <c r="F34" s="366" t="s">
        <v>150</v>
      </c>
      <c r="G34" s="367">
        <f>7+5</f>
        <v>12</v>
      </c>
      <c r="H34" s="197"/>
      <c r="I34" s="197"/>
      <c r="J34" s="197"/>
      <c r="K34" s="197"/>
      <c r="L34" s="197"/>
      <c r="M34" s="197"/>
      <c r="N34" s="197"/>
      <c r="O34" s="197"/>
      <c r="P34" s="197"/>
      <c r="Q34" s="197"/>
      <c r="R34" s="197"/>
      <c r="S34" s="197"/>
      <c r="T34" s="197"/>
      <c r="U34" s="197"/>
      <c r="V34" s="197"/>
      <c r="W34" s="197"/>
      <c r="X34" s="197"/>
      <c r="Y34" s="197"/>
      <c r="Z34" s="197"/>
      <c r="AA34" s="197"/>
      <c r="AB34" s="197"/>
      <c r="AC34" s="197"/>
      <c r="AD34" s="197"/>
      <c r="AE34" s="197"/>
      <c r="AF34" s="197"/>
      <c r="AG34" s="197"/>
      <c r="AH34" s="197"/>
      <c r="AI34" s="197"/>
      <c r="AJ34" s="197"/>
      <c r="AK34" s="197"/>
      <c r="AL34" s="197"/>
      <c r="AM34" s="197"/>
      <c r="AN34" s="197"/>
      <c r="AO34" s="197"/>
      <c r="AP34" s="197"/>
      <c r="AQ34" s="197"/>
      <c r="AR34" s="197"/>
      <c r="AS34" s="197"/>
      <c r="AT34" s="197"/>
      <c r="AU34" s="197"/>
      <c r="AV34" s="197"/>
      <c r="AW34" s="197"/>
      <c r="AX34" s="197"/>
      <c r="AY34" s="197"/>
      <c r="AZ34" s="197"/>
      <c r="BA34" s="197"/>
      <c r="BB34" s="197"/>
      <c r="BC34" s="197"/>
      <c r="BD34" s="197"/>
      <c r="BE34" s="197"/>
      <c r="BF34" s="197"/>
      <c r="BG34" s="197"/>
      <c r="BH34" s="197"/>
      <c r="BI34" s="197"/>
      <c r="BJ34" s="197"/>
      <c r="BK34" s="197"/>
      <c r="BL34" s="197"/>
      <c r="BM34" s="197"/>
      <c r="BN34" s="197"/>
      <c r="BO34" s="197"/>
      <c r="BP34" s="197"/>
      <c r="BQ34" s="197"/>
      <c r="BR34" s="197"/>
      <c r="BS34" s="197"/>
      <c r="BT34" s="197"/>
    </row>
    <row r="35" spans="1:72" s="450" customFormat="1" ht="15.75" customHeight="1" x14ac:dyDescent="0.2">
      <c r="A35" s="368"/>
      <c r="B35" s="369"/>
      <c r="C35" s="370"/>
      <c r="D35" s="357"/>
      <c r="E35" s="357"/>
      <c r="F35" s="359"/>
      <c r="G35" s="371"/>
      <c r="H35" s="197"/>
      <c r="I35" s="197"/>
      <c r="J35" s="197"/>
      <c r="K35" s="197"/>
      <c r="L35" s="197"/>
      <c r="M35" s="197"/>
      <c r="N35" s="197"/>
      <c r="O35" s="197"/>
      <c r="P35" s="197"/>
      <c r="Q35" s="197"/>
      <c r="R35" s="197"/>
      <c r="S35" s="197"/>
      <c r="T35" s="197"/>
      <c r="U35" s="197"/>
      <c r="V35" s="197"/>
      <c r="W35" s="197"/>
      <c r="X35" s="197"/>
      <c r="Y35" s="197"/>
      <c r="Z35" s="197"/>
      <c r="AA35" s="197"/>
      <c r="AB35" s="197"/>
      <c r="AC35" s="197"/>
      <c r="AD35" s="197"/>
      <c r="AE35" s="197"/>
      <c r="AF35" s="197"/>
      <c r="AG35" s="197"/>
      <c r="AH35" s="197"/>
      <c r="AI35" s="197"/>
      <c r="AJ35" s="197"/>
      <c r="AK35" s="197"/>
      <c r="AL35" s="197"/>
      <c r="AM35" s="197"/>
      <c r="AN35" s="197"/>
      <c r="AO35" s="197"/>
      <c r="AP35" s="197"/>
      <c r="AQ35" s="197"/>
      <c r="AR35" s="197"/>
      <c r="AS35" s="197"/>
      <c r="AT35" s="197"/>
      <c r="AU35" s="197"/>
      <c r="AV35" s="197"/>
      <c r="AW35" s="197"/>
      <c r="AX35" s="197"/>
      <c r="AY35" s="197"/>
      <c r="AZ35" s="197"/>
      <c r="BA35" s="197"/>
      <c r="BB35" s="197"/>
      <c r="BC35" s="197"/>
      <c r="BD35" s="197"/>
      <c r="BE35" s="197"/>
      <c r="BF35" s="197"/>
      <c r="BG35" s="197"/>
      <c r="BH35" s="197"/>
      <c r="BI35" s="197"/>
      <c r="BJ35" s="197"/>
      <c r="BK35" s="197"/>
      <c r="BL35" s="197"/>
      <c r="BM35" s="197"/>
      <c r="BN35" s="197"/>
      <c r="BO35" s="197"/>
      <c r="BP35" s="197"/>
      <c r="BQ35" s="197"/>
      <c r="BR35" s="197"/>
      <c r="BS35" s="197"/>
      <c r="BT35" s="197"/>
    </row>
    <row r="36" spans="1:72" s="450" customFormat="1" ht="21.75" customHeight="1" x14ac:dyDescent="0.2">
      <c r="A36" s="354"/>
      <c r="B36" s="355"/>
      <c r="C36" s="356" t="s">
        <v>397</v>
      </c>
      <c r="D36" s="356" t="s">
        <v>202</v>
      </c>
      <c r="E36" s="357" t="s">
        <v>205</v>
      </c>
      <c r="F36" s="358">
        <f>55248+183549+25396</f>
        <v>264193</v>
      </c>
      <c r="G36" s="359" t="s">
        <v>150</v>
      </c>
      <c r="H36" s="197"/>
      <c r="I36" s="197"/>
      <c r="J36" s="197"/>
      <c r="K36" s="197"/>
      <c r="L36" s="197"/>
      <c r="M36" s="197"/>
      <c r="N36" s="197"/>
      <c r="O36" s="197"/>
      <c r="P36" s="197"/>
      <c r="Q36" s="197"/>
      <c r="R36" s="197"/>
      <c r="S36" s="197"/>
      <c r="T36" s="197"/>
      <c r="U36" s="197"/>
      <c r="V36" s="197"/>
      <c r="W36" s="197"/>
      <c r="X36" s="197"/>
      <c r="Y36" s="197"/>
      <c r="Z36" s="197"/>
      <c r="AA36" s="197"/>
      <c r="AB36" s="197"/>
      <c r="AC36" s="197"/>
      <c r="AD36" s="197"/>
      <c r="AE36" s="197"/>
      <c r="AF36" s="197"/>
      <c r="AG36" s="197"/>
      <c r="AH36" s="197"/>
      <c r="AI36" s="197"/>
      <c r="AJ36" s="197"/>
      <c r="AK36" s="197"/>
      <c r="AL36" s="197"/>
      <c r="AM36" s="197"/>
      <c r="AN36" s="197"/>
      <c r="AO36" s="197"/>
      <c r="AP36" s="197"/>
      <c r="AQ36" s="197"/>
      <c r="AR36" s="197"/>
      <c r="AS36" s="197"/>
      <c r="AT36" s="197"/>
      <c r="AU36" s="197"/>
      <c r="AV36" s="197"/>
      <c r="AW36" s="197"/>
      <c r="AX36" s="197"/>
      <c r="AY36" s="197"/>
      <c r="AZ36" s="197"/>
      <c r="BA36" s="197"/>
      <c r="BB36" s="197"/>
      <c r="BC36" s="197"/>
      <c r="BD36" s="197"/>
      <c r="BE36" s="197"/>
      <c r="BF36" s="197"/>
      <c r="BG36" s="197"/>
      <c r="BH36" s="197"/>
      <c r="BI36" s="197"/>
      <c r="BJ36" s="197"/>
      <c r="BK36" s="197"/>
      <c r="BL36" s="197"/>
      <c r="BM36" s="197"/>
      <c r="BN36" s="197"/>
      <c r="BO36" s="197"/>
      <c r="BP36" s="197"/>
      <c r="BQ36" s="197"/>
      <c r="BR36" s="197"/>
      <c r="BS36" s="197"/>
      <c r="BT36" s="197"/>
    </row>
    <row r="37" spans="1:72" s="450" customFormat="1" ht="25.5" customHeight="1" x14ac:dyDescent="0.2">
      <c r="A37" s="360" t="s">
        <v>183</v>
      </c>
      <c r="B37" s="361" t="s">
        <v>398</v>
      </c>
      <c r="C37" s="356" t="s">
        <v>399</v>
      </c>
      <c r="D37" s="356" t="s">
        <v>400</v>
      </c>
      <c r="E37" s="362" t="s">
        <v>150</v>
      </c>
      <c r="F37" s="363" t="s">
        <v>150</v>
      </c>
      <c r="G37" s="364">
        <f>SUM(G39,G42)</f>
        <v>264193</v>
      </c>
      <c r="H37" s="197"/>
      <c r="I37" s="197"/>
      <c r="J37" s="197"/>
      <c r="K37" s="197"/>
      <c r="L37" s="197"/>
      <c r="M37" s="197"/>
      <c r="N37" s="197"/>
      <c r="O37" s="197"/>
      <c r="P37" s="197"/>
      <c r="Q37" s="197"/>
      <c r="R37" s="197"/>
      <c r="S37" s="197"/>
      <c r="T37" s="197"/>
      <c r="U37" s="197"/>
      <c r="V37" s="197"/>
      <c r="W37" s="197"/>
      <c r="X37" s="197"/>
      <c r="Y37" s="197"/>
      <c r="Z37" s="197"/>
      <c r="AA37" s="197"/>
      <c r="AB37" s="197"/>
      <c r="AC37" s="197"/>
      <c r="AD37" s="197"/>
      <c r="AE37" s="197"/>
      <c r="AF37" s="197"/>
      <c r="AG37" s="197"/>
      <c r="AH37" s="197"/>
      <c r="AI37" s="197"/>
      <c r="AJ37" s="197"/>
      <c r="AK37" s="197"/>
      <c r="AL37" s="197"/>
      <c r="AM37" s="197"/>
      <c r="AN37" s="197"/>
      <c r="AO37" s="197"/>
      <c r="AP37" s="197"/>
      <c r="AQ37" s="197"/>
      <c r="AR37" s="197"/>
      <c r="AS37" s="197"/>
      <c r="AT37" s="197"/>
      <c r="AU37" s="197"/>
      <c r="AV37" s="197"/>
      <c r="AW37" s="197"/>
      <c r="AX37" s="197"/>
      <c r="AY37" s="197"/>
      <c r="AZ37" s="197"/>
      <c r="BA37" s="197"/>
      <c r="BB37" s="197"/>
      <c r="BC37" s="197"/>
      <c r="BD37" s="197"/>
      <c r="BE37" s="197"/>
      <c r="BF37" s="197"/>
      <c r="BG37" s="197"/>
      <c r="BH37" s="197"/>
      <c r="BI37" s="197"/>
      <c r="BJ37" s="197"/>
      <c r="BK37" s="197"/>
      <c r="BL37" s="197"/>
      <c r="BM37" s="197"/>
      <c r="BN37" s="197"/>
      <c r="BO37" s="197"/>
      <c r="BP37" s="197"/>
      <c r="BQ37" s="197"/>
      <c r="BR37" s="197"/>
      <c r="BS37" s="197"/>
      <c r="BT37" s="197"/>
    </row>
    <row r="38" spans="1:72" s="450" customFormat="1" ht="12" customHeight="1" x14ac:dyDescent="0.2">
      <c r="A38" s="354"/>
      <c r="B38" s="355"/>
      <c r="C38" s="373"/>
      <c r="D38" s="356"/>
      <c r="E38" s="356"/>
      <c r="F38" s="366"/>
      <c r="G38" s="367"/>
      <c r="H38" s="197"/>
      <c r="I38" s="197"/>
      <c r="J38" s="197"/>
      <c r="K38" s="197"/>
      <c r="L38" s="197"/>
      <c r="M38" s="197"/>
      <c r="N38" s="197"/>
      <c r="O38" s="197"/>
      <c r="P38" s="197"/>
      <c r="Q38" s="197"/>
      <c r="R38" s="197"/>
      <c r="S38" s="197"/>
      <c r="T38" s="197"/>
      <c r="U38" s="197"/>
      <c r="V38" s="197"/>
      <c r="W38" s="197"/>
      <c r="X38" s="197"/>
      <c r="Y38" s="197"/>
      <c r="Z38" s="197"/>
      <c r="AA38" s="197"/>
      <c r="AB38" s="197"/>
      <c r="AC38" s="197"/>
      <c r="AD38" s="197"/>
      <c r="AE38" s="197"/>
      <c r="AF38" s="197"/>
      <c r="AG38" s="197"/>
      <c r="AH38" s="197"/>
      <c r="AI38" s="197"/>
      <c r="AJ38" s="197"/>
      <c r="AK38" s="197"/>
      <c r="AL38" s="197"/>
      <c r="AM38" s="197"/>
      <c r="AN38" s="197"/>
      <c r="AO38" s="197"/>
      <c r="AP38" s="197"/>
      <c r="AQ38" s="197"/>
      <c r="AR38" s="197"/>
      <c r="AS38" s="197"/>
      <c r="AT38" s="197"/>
      <c r="AU38" s="197"/>
      <c r="AV38" s="197"/>
      <c r="AW38" s="197"/>
      <c r="AX38" s="197"/>
      <c r="AY38" s="197"/>
      <c r="AZ38" s="197"/>
      <c r="BA38" s="197"/>
      <c r="BB38" s="197"/>
      <c r="BC38" s="197"/>
      <c r="BD38" s="197"/>
      <c r="BE38" s="197"/>
      <c r="BF38" s="197"/>
      <c r="BG38" s="197"/>
      <c r="BH38" s="197"/>
      <c r="BI38" s="197"/>
      <c r="BJ38" s="197"/>
      <c r="BK38" s="197"/>
      <c r="BL38" s="197"/>
      <c r="BM38" s="197"/>
      <c r="BN38" s="197"/>
      <c r="BO38" s="197"/>
      <c r="BP38" s="197"/>
      <c r="BQ38" s="197"/>
      <c r="BR38" s="197"/>
      <c r="BS38" s="197"/>
      <c r="BT38" s="197"/>
    </row>
    <row r="39" spans="1:72" s="450" customFormat="1" ht="15.75" customHeight="1" x14ac:dyDescent="0.2">
      <c r="A39" s="354"/>
      <c r="B39" s="452" t="s">
        <v>78</v>
      </c>
      <c r="C39" s="373"/>
      <c r="D39" s="356"/>
      <c r="E39" s="356"/>
      <c r="F39" s="366"/>
      <c r="G39" s="451">
        <f>SUM(G40:G40)</f>
        <v>4988.16</v>
      </c>
      <c r="H39" s="197"/>
      <c r="I39" s="197"/>
      <c r="J39" s="197"/>
      <c r="K39" s="197"/>
      <c r="L39" s="197"/>
      <c r="M39" s="197"/>
      <c r="N39" s="197"/>
      <c r="O39" s="197"/>
      <c r="P39" s="197"/>
      <c r="Q39" s="197"/>
      <c r="R39" s="197"/>
      <c r="S39" s="197"/>
      <c r="T39" s="197"/>
      <c r="U39" s="197"/>
      <c r="V39" s="197"/>
      <c r="W39" s="197"/>
      <c r="X39" s="197"/>
      <c r="Y39" s="197"/>
      <c r="Z39" s="197"/>
      <c r="AA39" s="197"/>
      <c r="AB39" s="197"/>
      <c r="AC39" s="197"/>
      <c r="AD39" s="197"/>
      <c r="AE39" s="197"/>
      <c r="AF39" s="197"/>
      <c r="AG39" s="197"/>
      <c r="AH39" s="197"/>
      <c r="AI39" s="197"/>
      <c r="AJ39" s="197"/>
      <c r="AK39" s="197"/>
      <c r="AL39" s="197"/>
      <c r="AM39" s="197"/>
      <c r="AN39" s="197"/>
      <c r="AO39" s="197"/>
      <c r="AP39" s="197"/>
      <c r="AQ39" s="197"/>
      <c r="AR39" s="197"/>
      <c r="AS39" s="197"/>
      <c r="AT39" s="197"/>
      <c r="AU39" s="197"/>
      <c r="AV39" s="197"/>
      <c r="AW39" s="197"/>
      <c r="AX39" s="197"/>
      <c r="AY39" s="197"/>
      <c r="AZ39" s="197"/>
      <c r="BA39" s="197"/>
      <c r="BB39" s="197"/>
      <c r="BC39" s="197"/>
      <c r="BD39" s="197"/>
      <c r="BE39" s="197"/>
      <c r="BF39" s="197"/>
      <c r="BG39" s="197"/>
      <c r="BH39" s="197"/>
      <c r="BI39" s="197"/>
      <c r="BJ39" s="197"/>
      <c r="BK39" s="197"/>
      <c r="BL39" s="197"/>
      <c r="BM39" s="197"/>
      <c r="BN39" s="197"/>
      <c r="BO39" s="197"/>
      <c r="BP39" s="197"/>
      <c r="BQ39" s="197"/>
      <c r="BR39" s="197"/>
      <c r="BS39" s="197"/>
      <c r="BT39" s="197"/>
    </row>
    <row r="40" spans="1:72" s="450" customFormat="1" ht="15.75" customHeight="1" x14ac:dyDescent="0.2">
      <c r="A40" s="354"/>
      <c r="B40" s="355"/>
      <c r="C40" s="373"/>
      <c r="D40" s="356"/>
      <c r="E40" s="356" t="s">
        <v>401</v>
      </c>
      <c r="F40" s="366" t="s">
        <v>150</v>
      </c>
      <c r="G40" s="367">
        <f>1134.15+3854.01</f>
        <v>4988.16</v>
      </c>
      <c r="H40" s="197"/>
      <c r="I40" s="197"/>
      <c r="J40" s="197"/>
      <c r="K40" s="197"/>
      <c r="L40" s="197"/>
      <c r="M40" s="197"/>
      <c r="N40" s="197"/>
      <c r="O40" s="197"/>
      <c r="P40" s="197"/>
      <c r="Q40" s="197"/>
      <c r="R40" s="197"/>
      <c r="S40" s="197"/>
      <c r="T40" s="197"/>
      <c r="U40" s="197"/>
      <c r="V40" s="197"/>
      <c r="W40" s="197"/>
      <c r="X40" s="197"/>
      <c r="Y40" s="197"/>
      <c r="Z40" s="197"/>
      <c r="AA40" s="197"/>
      <c r="AB40" s="197"/>
      <c r="AC40" s="197"/>
      <c r="AD40" s="197"/>
      <c r="AE40" s="197"/>
      <c r="AF40" s="197"/>
      <c r="AG40" s="197"/>
      <c r="AH40" s="197"/>
      <c r="AI40" s="197"/>
      <c r="AJ40" s="197"/>
      <c r="AK40" s="197"/>
      <c r="AL40" s="197"/>
      <c r="AM40" s="197"/>
      <c r="AN40" s="197"/>
      <c r="AO40" s="197"/>
      <c r="AP40" s="197"/>
      <c r="AQ40" s="197"/>
      <c r="AR40" s="197"/>
      <c r="AS40" s="197"/>
      <c r="AT40" s="197"/>
      <c r="AU40" s="197"/>
      <c r="AV40" s="197"/>
      <c r="AW40" s="197"/>
      <c r="AX40" s="197"/>
      <c r="AY40" s="197"/>
      <c r="AZ40" s="197"/>
      <c r="BA40" s="197"/>
      <c r="BB40" s="197"/>
      <c r="BC40" s="197"/>
      <c r="BD40" s="197"/>
      <c r="BE40" s="197"/>
      <c r="BF40" s="197"/>
      <c r="BG40" s="197"/>
      <c r="BH40" s="197"/>
      <c r="BI40" s="197"/>
      <c r="BJ40" s="197"/>
      <c r="BK40" s="197"/>
      <c r="BL40" s="197"/>
      <c r="BM40" s="197"/>
      <c r="BN40" s="197"/>
      <c r="BO40" s="197"/>
      <c r="BP40" s="197"/>
      <c r="BQ40" s="197"/>
      <c r="BR40" s="197"/>
      <c r="BS40" s="197"/>
      <c r="BT40" s="197"/>
    </row>
    <row r="41" spans="1:72" s="450" customFormat="1" ht="15.75" customHeight="1" x14ac:dyDescent="0.2">
      <c r="A41" s="354"/>
      <c r="B41" s="355"/>
      <c r="C41" s="373"/>
      <c r="D41" s="356"/>
      <c r="E41" s="356"/>
      <c r="F41" s="366"/>
      <c r="G41" s="367"/>
      <c r="H41" s="197"/>
      <c r="I41" s="197"/>
      <c r="J41" s="197"/>
      <c r="K41" s="197"/>
      <c r="L41" s="197"/>
      <c r="M41" s="197"/>
      <c r="N41" s="197"/>
      <c r="O41" s="197"/>
      <c r="P41" s="197"/>
      <c r="Q41" s="197"/>
      <c r="R41" s="197"/>
      <c r="S41" s="197"/>
      <c r="T41" s="197"/>
      <c r="U41" s="197"/>
      <c r="V41" s="197"/>
      <c r="W41" s="197"/>
      <c r="X41" s="197"/>
      <c r="Y41" s="197"/>
      <c r="Z41" s="197"/>
      <c r="AA41" s="197"/>
      <c r="AB41" s="197"/>
      <c r="AC41" s="197"/>
      <c r="AD41" s="197"/>
      <c r="AE41" s="197"/>
      <c r="AF41" s="197"/>
      <c r="AG41" s="197"/>
      <c r="AH41" s="197"/>
      <c r="AI41" s="197"/>
      <c r="AJ41" s="197"/>
      <c r="AK41" s="197"/>
      <c r="AL41" s="197"/>
      <c r="AM41" s="197"/>
      <c r="AN41" s="197"/>
      <c r="AO41" s="197"/>
      <c r="AP41" s="197"/>
      <c r="AQ41" s="197"/>
      <c r="AR41" s="197"/>
      <c r="AS41" s="197"/>
      <c r="AT41" s="197"/>
      <c r="AU41" s="197"/>
      <c r="AV41" s="197"/>
      <c r="AW41" s="197"/>
      <c r="AX41" s="197"/>
      <c r="AY41" s="197"/>
      <c r="AZ41" s="197"/>
      <c r="BA41" s="197"/>
      <c r="BB41" s="197"/>
      <c r="BC41" s="197"/>
      <c r="BD41" s="197"/>
      <c r="BE41" s="197"/>
      <c r="BF41" s="197"/>
      <c r="BG41" s="197"/>
      <c r="BH41" s="197"/>
      <c r="BI41" s="197"/>
      <c r="BJ41" s="197"/>
      <c r="BK41" s="197"/>
      <c r="BL41" s="197"/>
      <c r="BM41" s="197"/>
      <c r="BN41" s="197"/>
      <c r="BO41" s="197"/>
      <c r="BP41" s="197"/>
      <c r="BQ41" s="197"/>
      <c r="BR41" s="197"/>
      <c r="BS41" s="197"/>
      <c r="BT41" s="197"/>
    </row>
    <row r="42" spans="1:72" s="450" customFormat="1" ht="15.75" customHeight="1" x14ac:dyDescent="0.2">
      <c r="A42" s="354"/>
      <c r="B42" s="452" t="s">
        <v>60</v>
      </c>
      <c r="C42" s="373"/>
      <c r="D42" s="356"/>
      <c r="E42" s="356"/>
      <c r="F42" s="366"/>
      <c r="G42" s="451">
        <f>SUM(G43:G47)</f>
        <v>259204.84000000003</v>
      </c>
      <c r="H42" s="197"/>
      <c r="I42" s="197"/>
      <c r="J42" s="197"/>
      <c r="K42" s="197"/>
      <c r="L42" s="197"/>
      <c r="M42" s="197"/>
      <c r="N42" s="197"/>
      <c r="O42" s="197"/>
      <c r="P42" s="197"/>
      <c r="Q42" s="197"/>
      <c r="R42" s="197"/>
      <c r="S42" s="197"/>
      <c r="T42" s="197"/>
      <c r="U42" s="197"/>
      <c r="V42" s="197"/>
      <c r="W42" s="197"/>
      <c r="X42" s="197"/>
      <c r="Y42" s="197"/>
      <c r="Z42" s="197"/>
      <c r="AA42" s="197"/>
      <c r="AB42" s="197"/>
      <c r="AC42" s="197"/>
      <c r="AD42" s="197"/>
      <c r="AE42" s="197"/>
      <c r="AF42" s="197"/>
      <c r="AG42" s="197"/>
      <c r="AH42" s="197"/>
      <c r="AI42" s="197"/>
      <c r="AJ42" s="197"/>
      <c r="AK42" s="197"/>
      <c r="AL42" s="197"/>
      <c r="AM42" s="197"/>
      <c r="AN42" s="197"/>
      <c r="AO42" s="197"/>
      <c r="AP42" s="197"/>
      <c r="AQ42" s="197"/>
      <c r="AR42" s="197"/>
      <c r="AS42" s="197"/>
      <c r="AT42" s="197"/>
      <c r="AU42" s="197"/>
      <c r="AV42" s="197"/>
      <c r="AW42" s="197"/>
      <c r="AX42" s="197"/>
      <c r="AY42" s="197"/>
      <c r="AZ42" s="197"/>
      <c r="BA42" s="197"/>
      <c r="BB42" s="197"/>
      <c r="BC42" s="197"/>
      <c r="BD42" s="197"/>
      <c r="BE42" s="197"/>
      <c r="BF42" s="197"/>
      <c r="BG42" s="197"/>
      <c r="BH42" s="197"/>
      <c r="BI42" s="197"/>
      <c r="BJ42" s="197"/>
      <c r="BK42" s="197"/>
      <c r="BL42" s="197"/>
      <c r="BM42" s="197"/>
      <c r="BN42" s="197"/>
      <c r="BO42" s="197"/>
      <c r="BP42" s="197"/>
      <c r="BQ42" s="197"/>
      <c r="BR42" s="197"/>
      <c r="BS42" s="197"/>
      <c r="BT42" s="197"/>
    </row>
    <row r="43" spans="1:72" s="450" customFormat="1" ht="15.75" customHeight="1" x14ac:dyDescent="0.2">
      <c r="A43" s="354"/>
      <c r="B43" s="452"/>
      <c r="C43" s="373"/>
      <c r="D43" s="356"/>
      <c r="E43" s="356" t="s">
        <v>394</v>
      </c>
      <c r="F43" s="366" t="s">
        <v>150</v>
      </c>
      <c r="G43" s="367">
        <f>32323.13+4574.16+7613.82</f>
        <v>44511.11</v>
      </c>
      <c r="H43" s="197"/>
      <c r="I43" s="197"/>
      <c r="J43" s="197"/>
      <c r="K43" s="197"/>
      <c r="L43" s="197"/>
      <c r="M43" s="197"/>
      <c r="N43" s="197"/>
      <c r="O43" s="197"/>
      <c r="P43" s="197"/>
      <c r="Q43" s="197"/>
      <c r="R43" s="197"/>
      <c r="S43" s="197"/>
      <c r="T43" s="197"/>
      <c r="U43" s="197"/>
      <c r="V43" s="197"/>
      <c r="W43" s="197"/>
      <c r="X43" s="197"/>
      <c r="Y43" s="197"/>
      <c r="Z43" s="197"/>
      <c r="AA43" s="197"/>
      <c r="AB43" s="197"/>
      <c r="AC43" s="197"/>
      <c r="AD43" s="197"/>
      <c r="AE43" s="197"/>
      <c r="AF43" s="197"/>
      <c r="AG43" s="197"/>
      <c r="AH43" s="197"/>
      <c r="AI43" s="197"/>
      <c r="AJ43" s="197"/>
      <c r="AK43" s="197"/>
      <c r="AL43" s="197"/>
      <c r="AM43" s="197"/>
      <c r="AN43" s="197"/>
      <c r="AO43" s="197"/>
      <c r="AP43" s="197"/>
      <c r="AQ43" s="197"/>
      <c r="AR43" s="197"/>
      <c r="AS43" s="197"/>
      <c r="AT43" s="197"/>
      <c r="AU43" s="197"/>
      <c r="AV43" s="197"/>
      <c r="AW43" s="197"/>
      <c r="AX43" s="197"/>
      <c r="AY43" s="197"/>
      <c r="AZ43" s="197"/>
      <c r="BA43" s="197"/>
      <c r="BB43" s="197"/>
      <c r="BC43" s="197"/>
      <c r="BD43" s="197"/>
      <c r="BE43" s="197"/>
      <c r="BF43" s="197"/>
      <c r="BG43" s="197"/>
      <c r="BH43" s="197"/>
      <c r="BI43" s="197"/>
      <c r="BJ43" s="197"/>
      <c r="BK43" s="197"/>
      <c r="BL43" s="197"/>
      <c r="BM43" s="197"/>
      <c r="BN43" s="197"/>
      <c r="BO43" s="197"/>
      <c r="BP43" s="197"/>
      <c r="BQ43" s="197"/>
      <c r="BR43" s="197"/>
      <c r="BS43" s="197"/>
      <c r="BT43" s="197"/>
    </row>
    <row r="44" spans="1:72" s="450" customFormat="1" ht="15.75" customHeight="1" x14ac:dyDescent="0.2">
      <c r="A44" s="354"/>
      <c r="B44" s="452"/>
      <c r="C44" s="373"/>
      <c r="D44" s="356"/>
      <c r="E44" s="356" t="s">
        <v>395</v>
      </c>
      <c r="F44" s="366" t="s">
        <v>150</v>
      </c>
      <c r="G44" s="367">
        <f>4353.47+616.06+1046.73</f>
        <v>6016.26</v>
      </c>
      <c r="H44" s="197"/>
      <c r="I44" s="197"/>
      <c r="J44" s="197"/>
      <c r="K44" s="197"/>
      <c r="L44" s="197"/>
      <c r="M44" s="197"/>
      <c r="N44" s="197"/>
      <c r="O44" s="197"/>
      <c r="P44" s="197"/>
      <c r="Q44" s="197"/>
      <c r="R44" s="197"/>
      <c r="S44" s="197"/>
      <c r="T44" s="197"/>
      <c r="U44" s="197"/>
      <c r="V44" s="197"/>
      <c r="W44" s="197"/>
      <c r="X44" s="197"/>
      <c r="Y44" s="197"/>
      <c r="Z44" s="197"/>
      <c r="AA44" s="197"/>
      <c r="AB44" s="197"/>
      <c r="AC44" s="197"/>
      <c r="AD44" s="197"/>
      <c r="AE44" s="197"/>
      <c r="AF44" s="197"/>
      <c r="AG44" s="197"/>
      <c r="AH44" s="197"/>
      <c r="AI44" s="197"/>
      <c r="AJ44" s="197"/>
      <c r="AK44" s="197"/>
      <c r="AL44" s="197"/>
      <c r="AM44" s="197"/>
      <c r="AN44" s="197"/>
      <c r="AO44" s="197"/>
      <c r="AP44" s="197"/>
      <c r="AQ44" s="197"/>
      <c r="AR44" s="197"/>
      <c r="AS44" s="197"/>
      <c r="AT44" s="197"/>
      <c r="AU44" s="197"/>
      <c r="AV44" s="197"/>
      <c r="AW44" s="197"/>
      <c r="AX44" s="197"/>
      <c r="AY44" s="197"/>
      <c r="AZ44" s="197"/>
      <c r="BA44" s="197"/>
      <c r="BB44" s="197"/>
      <c r="BC44" s="197"/>
      <c r="BD44" s="197"/>
      <c r="BE44" s="197"/>
      <c r="BF44" s="197"/>
      <c r="BG44" s="197"/>
      <c r="BH44" s="197"/>
      <c r="BI44" s="197"/>
      <c r="BJ44" s="197"/>
      <c r="BK44" s="197"/>
      <c r="BL44" s="197"/>
      <c r="BM44" s="197"/>
      <c r="BN44" s="197"/>
      <c r="BO44" s="197"/>
      <c r="BP44" s="197"/>
      <c r="BQ44" s="197"/>
      <c r="BR44" s="197"/>
      <c r="BS44" s="197"/>
      <c r="BT44" s="197"/>
    </row>
    <row r="45" spans="1:72" s="450" customFormat="1" ht="15.75" customHeight="1" x14ac:dyDescent="0.2">
      <c r="A45" s="354"/>
      <c r="B45" s="355"/>
      <c r="C45" s="373"/>
      <c r="D45" s="356"/>
      <c r="E45" s="356" t="s">
        <v>385</v>
      </c>
      <c r="F45" s="366" t="s">
        <v>150</v>
      </c>
      <c r="G45" s="367">
        <f>827.5+2000+250</f>
        <v>3077.5</v>
      </c>
      <c r="H45" s="197"/>
      <c r="I45" s="197"/>
      <c r="J45" s="197"/>
      <c r="K45" s="197"/>
      <c r="L45" s="197"/>
      <c r="M45" s="197"/>
      <c r="N45" s="197"/>
      <c r="O45" s="197"/>
      <c r="P45" s="197"/>
      <c r="Q45" s="197"/>
      <c r="R45" s="197"/>
      <c r="S45" s="197"/>
      <c r="T45" s="197"/>
      <c r="U45" s="197"/>
      <c r="V45" s="197"/>
      <c r="W45" s="197"/>
      <c r="X45" s="197"/>
      <c r="Y45" s="197"/>
      <c r="Z45" s="197"/>
      <c r="AA45" s="197"/>
      <c r="AB45" s="197"/>
      <c r="AC45" s="197"/>
      <c r="AD45" s="197"/>
      <c r="AE45" s="197"/>
      <c r="AF45" s="197"/>
      <c r="AG45" s="197"/>
      <c r="AH45" s="197"/>
      <c r="AI45" s="197"/>
      <c r="AJ45" s="197"/>
      <c r="AK45" s="197"/>
      <c r="AL45" s="197"/>
      <c r="AM45" s="197"/>
      <c r="AN45" s="197"/>
      <c r="AO45" s="197"/>
      <c r="AP45" s="197"/>
      <c r="AQ45" s="197"/>
      <c r="AR45" s="197"/>
      <c r="AS45" s="197"/>
      <c r="AT45" s="197"/>
      <c r="AU45" s="197"/>
      <c r="AV45" s="197"/>
      <c r="AW45" s="197"/>
      <c r="AX45" s="197"/>
      <c r="AY45" s="197"/>
      <c r="AZ45" s="197"/>
      <c r="BA45" s="197"/>
      <c r="BB45" s="197"/>
      <c r="BC45" s="197"/>
      <c r="BD45" s="197"/>
      <c r="BE45" s="197"/>
      <c r="BF45" s="197"/>
      <c r="BG45" s="197"/>
      <c r="BH45" s="197"/>
      <c r="BI45" s="197"/>
      <c r="BJ45" s="197"/>
      <c r="BK45" s="197"/>
      <c r="BL45" s="197"/>
      <c r="BM45" s="197"/>
      <c r="BN45" s="197"/>
      <c r="BO45" s="197"/>
      <c r="BP45" s="197"/>
      <c r="BQ45" s="197"/>
      <c r="BR45" s="197"/>
      <c r="BS45" s="197"/>
      <c r="BT45" s="197"/>
    </row>
    <row r="46" spans="1:72" s="450" customFormat="1" ht="15.75" customHeight="1" x14ac:dyDescent="0.2">
      <c r="A46" s="354"/>
      <c r="B46" s="355"/>
      <c r="C46" s="373"/>
      <c r="D46" s="356"/>
      <c r="E46" s="356" t="s">
        <v>396</v>
      </c>
      <c r="F46" s="366" t="s">
        <v>150</v>
      </c>
      <c r="G46" s="367">
        <f>502.76</f>
        <v>502.76</v>
      </c>
      <c r="H46" s="197"/>
      <c r="I46" s="197"/>
      <c r="J46" s="197"/>
      <c r="K46" s="197"/>
      <c r="L46" s="197"/>
      <c r="M46" s="197"/>
      <c r="N46" s="197"/>
      <c r="O46" s="197"/>
      <c r="P46" s="197"/>
      <c r="Q46" s="197"/>
      <c r="R46" s="197"/>
      <c r="S46" s="197"/>
      <c r="T46" s="197"/>
      <c r="U46" s="197"/>
      <c r="V46" s="197"/>
      <c r="W46" s="197"/>
      <c r="X46" s="197"/>
      <c r="Y46" s="197"/>
      <c r="Z46" s="197"/>
      <c r="AA46" s="197"/>
      <c r="AB46" s="197"/>
      <c r="AC46" s="197"/>
      <c r="AD46" s="197"/>
      <c r="AE46" s="197"/>
      <c r="AF46" s="197"/>
      <c r="AG46" s="197"/>
      <c r="AH46" s="197"/>
      <c r="AI46" s="197"/>
      <c r="AJ46" s="197"/>
      <c r="AK46" s="197"/>
      <c r="AL46" s="197"/>
      <c r="AM46" s="197"/>
      <c r="AN46" s="197"/>
      <c r="AO46" s="197"/>
      <c r="AP46" s="197"/>
      <c r="AQ46" s="197"/>
      <c r="AR46" s="197"/>
      <c r="AS46" s="197"/>
      <c r="AT46" s="197"/>
      <c r="AU46" s="197"/>
      <c r="AV46" s="197"/>
      <c r="AW46" s="197"/>
      <c r="AX46" s="197"/>
      <c r="AY46" s="197"/>
      <c r="AZ46" s="197"/>
      <c r="BA46" s="197"/>
      <c r="BB46" s="197"/>
      <c r="BC46" s="197"/>
      <c r="BD46" s="197"/>
      <c r="BE46" s="197"/>
      <c r="BF46" s="197"/>
      <c r="BG46" s="197"/>
      <c r="BH46" s="197"/>
      <c r="BI46" s="197"/>
      <c r="BJ46" s="197"/>
      <c r="BK46" s="197"/>
      <c r="BL46" s="197"/>
      <c r="BM46" s="197"/>
      <c r="BN46" s="197"/>
      <c r="BO46" s="197"/>
      <c r="BP46" s="197"/>
      <c r="BQ46" s="197"/>
      <c r="BR46" s="197"/>
      <c r="BS46" s="197"/>
      <c r="BT46" s="197"/>
    </row>
    <row r="47" spans="1:72" s="450" customFormat="1" ht="15.75" customHeight="1" x14ac:dyDescent="0.2">
      <c r="A47" s="354"/>
      <c r="B47" s="355"/>
      <c r="C47" s="373"/>
      <c r="D47" s="356"/>
      <c r="E47" s="356" t="s">
        <v>402</v>
      </c>
      <c r="F47" s="366" t="s">
        <v>150</v>
      </c>
      <c r="G47" s="367">
        <f>53286.35+141018.39+19955.78-9163.31</f>
        <v>205097.21000000002</v>
      </c>
      <c r="H47" s="197"/>
      <c r="I47" s="197"/>
      <c r="J47" s="197"/>
      <c r="K47" s="197"/>
      <c r="L47" s="197"/>
      <c r="M47" s="197"/>
      <c r="N47" s="197"/>
      <c r="O47" s="197"/>
      <c r="P47" s="197"/>
      <c r="Q47" s="197"/>
      <c r="R47" s="197"/>
      <c r="S47" s="197"/>
      <c r="T47" s="197"/>
      <c r="U47" s="197"/>
      <c r="V47" s="197"/>
      <c r="W47" s="197"/>
      <c r="X47" s="197"/>
      <c r="Y47" s="197"/>
      <c r="Z47" s="197"/>
      <c r="AA47" s="197"/>
      <c r="AB47" s="197"/>
      <c r="AC47" s="197"/>
      <c r="AD47" s="197"/>
      <c r="AE47" s="197"/>
      <c r="AF47" s="197"/>
      <c r="AG47" s="197"/>
      <c r="AH47" s="197"/>
      <c r="AI47" s="197"/>
      <c r="AJ47" s="197"/>
      <c r="AK47" s="197"/>
      <c r="AL47" s="197"/>
      <c r="AM47" s="197"/>
      <c r="AN47" s="197"/>
      <c r="AO47" s="197"/>
      <c r="AP47" s="197"/>
      <c r="AQ47" s="197"/>
      <c r="AR47" s="197"/>
      <c r="AS47" s="197"/>
      <c r="AT47" s="197"/>
      <c r="AU47" s="197"/>
      <c r="AV47" s="197"/>
      <c r="AW47" s="197"/>
      <c r="AX47" s="197"/>
      <c r="AY47" s="197"/>
      <c r="AZ47" s="197"/>
      <c r="BA47" s="197"/>
      <c r="BB47" s="197"/>
      <c r="BC47" s="197"/>
      <c r="BD47" s="197"/>
      <c r="BE47" s="197"/>
      <c r="BF47" s="197"/>
      <c r="BG47" s="197"/>
      <c r="BH47" s="197"/>
      <c r="BI47" s="197"/>
      <c r="BJ47" s="197"/>
      <c r="BK47" s="197"/>
      <c r="BL47" s="197"/>
      <c r="BM47" s="197"/>
      <c r="BN47" s="197"/>
      <c r="BO47" s="197"/>
      <c r="BP47" s="197"/>
      <c r="BQ47" s="197"/>
      <c r="BR47" s="197"/>
      <c r="BS47" s="197"/>
      <c r="BT47" s="197"/>
    </row>
    <row r="48" spans="1:72" s="450" customFormat="1" ht="15.75" customHeight="1" x14ac:dyDescent="0.2">
      <c r="A48" s="368"/>
      <c r="B48" s="369"/>
      <c r="C48" s="370"/>
      <c r="D48" s="357"/>
      <c r="E48" s="357"/>
      <c r="F48" s="359"/>
      <c r="G48" s="371"/>
      <c r="H48" s="197"/>
      <c r="I48" s="197"/>
      <c r="J48" s="197"/>
      <c r="K48" s="197"/>
      <c r="L48" s="197"/>
      <c r="M48" s="197"/>
      <c r="N48" s="197"/>
      <c r="O48" s="197"/>
      <c r="P48" s="197"/>
      <c r="Q48" s="197"/>
      <c r="R48" s="197"/>
      <c r="S48" s="197"/>
      <c r="T48" s="197"/>
      <c r="U48" s="197"/>
      <c r="V48" s="197"/>
      <c r="W48" s="197"/>
      <c r="X48" s="197"/>
      <c r="Y48" s="197"/>
      <c r="Z48" s="197"/>
      <c r="AA48" s="197"/>
      <c r="AB48" s="197"/>
      <c r="AC48" s="197"/>
      <c r="AD48" s="197"/>
      <c r="AE48" s="197"/>
      <c r="AF48" s="197"/>
      <c r="AG48" s="197"/>
      <c r="AH48" s="197"/>
      <c r="AI48" s="197"/>
      <c r="AJ48" s="197"/>
      <c r="AK48" s="197"/>
      <c r="AL48" s="197"/>
      <c r="AM48" s="197"/>
      <c r="AN48" s="197"/>
      <c r="AO48" s="197"/>
      <c r="AP48" s="197"/>
      <c r="AQ48" s="197"/>
      <c r="AR48" s="197"/>
      <c r="AS48" s="197"/>
      <c r="AT48" s="197"/>
      <c r="AU48" s="197"/>
      <c r="AV48" s="197"/>
      <c r="AW48" s="197"/>
      <c r="AX48" s="197"/>
      <c r="AY48" s="197"/>
      <c r="AZ48" s="197"/>
      <c r="BA48" s="197"/>
      <c r="BB48" s="197"/>
      <c r="BC48" s="197"/>
      <c r="BD48" s="197"/>
      <c r="BE48" s="197"/>
      <c r="BF48" s="197"/>
      <c r="BG48" s="197"/>
      <c r="BH48" s="197"/>
      <c r="BI48" s="197"/>
      <c r="BJ48" s="197"/>
      <c r="BK48" s="197"/>
      <c r="BL48" s="197"/>
      <c r="BM48" s="197"/>
      <c r="BN48" s="197"/>
      <c r="BO48" s="197"/>
      <c r="BP48" s="197"/>
      <c r="BQ48" s="197"/>
      <c r="BR48" s="197"/>
      <c r="BS48" s="197"/>
      <c r="BT48" s="197"/>
    </row>
    <row r="49" spans="1:72" s="450" customFormat="1" ht="15.75" customHeight="1" x14ac:dyDescent="0.2">
      <c r="A49" s="354"/>
      <c r="B49" s="355"/>
      <c r="C49" s="356"/>
      <c r="D49" s="356"/>
      <c r="E49" s="357" t="s">
        <v>205</v>
      </c>
      <c r="F49" s="358">
        <f>6242.96+5773.4</f>
        <v>12016.36</v>
      </c>
      <c r="G49" s="359" t="s">
        <v>150</v>
      </c>
      <c r="H49" s="197"/>
      <c r="I49" s="197"/>
      <c r="J49" s="197"/>
      <c r="K49" s="197"/>
      <c r="L49" s="197"/>
      <c r="M49" s="197"/>
      <c r="N49" s="197"/>
      <c r="O49" s="197"/>
      <c r="P49" s="197"/>
      <c r="Q49" s="197"/>
      <c r="R49" s="197"/>
      <c r="S49" s="197"/>
      <c r="T49" s="197"/>
      <c r="U49" s="197"/>
      <c r="V49" s="197"/>
      <c r="W49" s="197"/>
      <c r="X49" s="197"/>
      <c r="Y49" s="197"/>
      <c r="Z49" s="197"/>
      <c r="AA49" s="197"/>
      <c r="AB49" s="197"/>
      <c r="AC49" s="197"/>
      <c r="AD49" s="197"/>
      <c r="AE49" s="197"/>
      <c r="AF49" s="197"/>
      <c r="AG49" s="197"/>
      <c r="AH49" s="197"/>
      <c r="AI49" s="197"/>
      <c r="AJ49" s="197"/>
      <c r="AK49" s="197"/>
      <c r="AL49" s="197"/>
      <c r="AM49" s="197"/>
      <c r="AN49" s="197"/>
      <c r="AO49" s="197"/>
      <c r="AP49" s="197"/>
      <c r="AQ49" s="197"/>
      <c r="AR49" s="197"/>
      <c r="AS49" s="197"/>
      <c r="AT49" s="197"/>
      <c r="AU49" s="197"/>
      <c r="AV49" s="197"/>
      <c r="AW49" s="197"/>
      <c r="AX49" s="197"/>
      <c r="AY49" s="197"/>
      <c r="AZ49" s="197"/>
      <c r="BA49" s="197"/>
      <c r="BB49" s="197"/>
      <c r="BC49" s="197"/>
      <c r="BD49" s="197"/>
      <c r="BE49" s="197"/>
      <c r="BF49" s="197"/>
      <c r="BG49" s="197"/>
      <c r="BH49" s="197"/>
      <c r="BI49" s="197"/>
      <c r="BJ49" s="197"/>
      <c r="BK49" s="197"/>
      <c r="BL49" s="197"/>
      <c r="BM49" s="197"/>
      <c r="BN49" s="197"/>
      <c r="BO49" s="197"/>
      <c r="BP49" s="197"/>
      <c r="BQ49" s="197"/>
      <c r="BR49" s="197"/>
      <c r="BS49" s="197"/>
      <c r="BT49" s="197"/>
    </row>
    <row r="50" spans="1:72" s="450" customFormat="1" ht="24" customHeight="1" x14ac:dyDescent="0.2">
      <c r="A50" s="360" t="s">
        <v>184</v>
      </c>
      <c r="B50" s="372" t="s">
        <v>403</v>
      </c>
      <c r="C50" s="356" t="s">
        <v>404</v>
      </c>
      <c r="D50" s="356" t="s">
        <v>405</v>
      </c>
      <c r="E50" s="362" t="s">
        <v>150</v>
      </c>
      <c r="F50" s="363" t="s">
        <v>150</v>
      </c>
      <c r="G50" s="364">
        <f>SUM(G52)</f>
        <v>12016.36</v>
      </c>
      <c r="H50" s="197"/>
      <c r="I50" s="197"/>
      <c r="J50" s="197"/>
      <c r="K50" s="197"/>
      <c r="L50" s="197"/>
      <c r="M50" s="197"/>
      <c r="N50" s="197"/>
      <c r="O50" s="197"/>
      <c r="P50" s="197"/>
      <c r="Q50" s="197"/>
      <c r="R50" s="197"/>
      <c r="S50" s="197"/>
      <c r="T50" s="197"/>
      <c r="U50" s="197"/>
      <c r="V50" s="197"/>
      <c r="W50" s="197"/>
      <c r="X50" s="197"/>
      <c r="Y50" s="197"/>
      <c r="Z50" s="197"/>
      <c r="AA50" s="197"/>
      <c r="AB50" s="197"/>
      <c r="AC50" s="197"/>
      <c r="AD50" s="197"/>
      <c r="AE50" s="197"/>
      <c r="AF50" s="197"/>
      <c r="AG50" s="197"/>
      <c r="AH50" s="197"/>
      <c r="AI50" s="197"/>
      <c r="AJ50" s="197"/>
      <c r="AK50" s="197"/>
      <c r="AL50" s="197"/>
      <c r="AM50" s="197"/>
      <c r="AN50" s="197"/>
      <c r="AO50" s="197"/>
      <c r="AP50" s="197"/>
      <c r="AQ50" s="197"/>
      <c r="AR50" s="197"/>
      <c r="AS50" s="197"/>
      <c r="AT50" s="197"/>
      <c r="AU50" s="197"/>
      <c r="AV50" s="197"/>
      <c r="AW50" s="197"/>
      <c r="AX50" s="197"/>
      <c r="AY50" s="197"/>
      <c r="AZ50" s="197"/>
      <c r="BA50" s="197"/>
      <c r="BB50" s="197"/>
      <c r="BC50" s="197"/>
      <c r="BD50" s="197"/>
      <c r="BE50" s="197"/>
      <c r="BF50" s="197"/>
      <c r="BG50" s="197"/>
      <c r="BH50" s="197"/>
      <c r="BI50" s="197"/>
      <c r="BJ50" s="197"/>
      <c r="BK50" s="197"/>
      <c r="BL50" s="197"/>
      <c r="BM50" s="197"/>
      <c r="BN50" s="197"/>
      <c r="BO50" s="197"/>
      <c r="BP50" s="197"/>
      <c r="BQ50" s="197"/>
      <c r="BR50" s="197"/>
      <c r="BS50" s="197"/>
      <c r="BT50" s="197"/>
    </row>
    <row r="51" spans="1:72" s="450" customFormat="1" ht="10.5" customHeight="1" x14ac:dyDescent="0.2">
      <c r="A51" s="354"/>
      <c r="B51" s="365"/>
      <c r="C51" s="356"/>
      <c r="D51" s="356"/>
      <c r="E51" s="356"/>
      <c r="F51" s="366"/>
      <c r="G51" s="451"/>
      <c r="H51" s="197"/>
      <c r="I51" s="197"/>
      <c r="J51" s="197"/>
      <c r="K51" s="197"/>
      <c r="L51" s="197"/>
      <c r="M51" s="197"/>
      <c r="N51" s="197"/>
      <c r="O51" s="197"/>
      <c r="P51" s="197"/>
      <c r="Q51" s="197"/>
      <c r="R51" s="197"/>
      <c r="S51" s="197"/>
      <c r="T51" s="197"/>
      <c r="U51" s="197"/>
      <c r="V51" s="197"/>
      <c r="W51" s="197"/>
      <c r="X51" s="197"/>
      <c r="Y51" s="197"/>
      <c r="Z51" s="197"/>
      <c r="AA51" s="197"/>
      <c r="AB51" s="197"/>
      <c r="AC51" s="197"/>
      <c r="AD51" s="197"/>
      <c r="AE51" s="197"/>
      <c r="AF51" s="197"/>
      <c r="AG51" s="197"/>
      <c r="AH51" s="197"/>
      <c r="AI51" s="197"/>
      <c r="AJ51" s="197"/>
      <c r="AK51" s="197"/>
      <c r="AL51" s="197"/>
      <c r="AM51" s="197"/>
      <c r="AN51" s="197"/>
      <c r="AO51" s="197"/>
      <c r="AP51" s="197"/>
      <c r="AQ51" s="197"/>
      <c r="AR51" s="197"/>
      <c r="AS51" s="197"/>
      <c r="AT51" s="197"/>
      <c r="AU51" s="197"/>
      <c r="AV51" s="197"/>
      <c r="AW51" s="197"/>
      <c r="AX51" s="197"/>
      <c r="AY51" s="197"/>
      <c r="AZ51" s="197"/>
      <c r="BA51" s="197"/>
      <c r="BB51" s="197"/>
      <c r="BC51" s="197"/>
      <c r="BD51" s="197"/>
      <c r="BE51" s="197"/>
      <c r="BF51" s="197"/>
      <c r="BG51" s="197"/>
      <c r="BH51" s="197"/>
      <c r="BI51" s="197"/>
      <c r="BJ51" s="197"/>
      <c r="BK51" s="197"/>
      <c r="BL51" s="197"/>
      <c r="BM51" s="197"/>
      <c r="BN51" s="197"/>
      <c r="BO51" s="197"/>
      <c r="BP51" s="197"/>
      <c r="BQ51" s="197"/>
      <c r="BR51" s="197"/>
      <c r="BS51" s="197"/>
      <c r="BT51" s="197"/>
    </row>
    <row r="52" spans="1:72" s="450" customFormat="1" ht="15.75" customHeight="1" x14ac:dyDescent="0.2">
      <c r="A52" s="354"/>
      <c r="B52" s="452" t="s">
        <v>103</v>
      </c>
      <c r="C52" s="356"/>
      <c r="D52" s="356"/>
      <c r="E52" s="356"/>
      <c r="F52" s="366"/>
      <c r="G52" s="451">
        <f>SUM(G53:G55)</f>
        <v>12016.36</v>
      </c>
      <c r="H52" s="197"/>
      <c r="I52" s="197"/>
      <c r="J52" s="197"/>
      <c r="K52" s="197"/>
      <c r="L52" s="197"/>
      <c r="M52" s="197"/>
      <c r="N52" s="197"/>
      <c r="O52" s="197"/>
      <c r="P52" s="197"/>
      <c r="Q52" s="197"/>
      <c r="R52" s="197"/>
      <c r="S52" s="197"/>
      <c r="T52" s="197"/>
      <c r="U52" s="197"/>
      <c r="V52" s="197"/>
      <c r="W52" s="197"/>
      <c r="X52" s="197"/>
      <c r="Y52" s="197"/>
      <c r="Z52" s="197"/>
      <c r="AA52" s="197"/>
      <c r="AB52" s="197"/>
      <c r="AC52" s="197"/>
      <c r="AD52" s="197"/>
      <c r="AE52" s="197"/>
      <c r="AF52" s="197"/>
      <c r="AG52" s="197"/>
      <c r="AH52" s="197"/>
      <c r="AI52" s="197"/>
      <c r="AJ52" s="197"/>
      <c r="AK52" s="197"/>
      <c r="AL52" s="197"/>
      <c r="AM52" s="197"/>
      <c r="AN52" s="197"/>
      <c r="AO52" s="197"/>
      <c r="AP52" s="197"/>
      <c r="AQ52" s="197"/>
      <c r="AR52" s="197"/>
      <c r="AS52" s="197"/>
      <c r="AT52" s="197"/>
      <c r="AU52" s="197"/>
      <c r="AV52" s="197"/>
      <c r="AW52" s="197"/>
      <c r="AX52" s="197"/>
      <c r="AY52" s="197"/>
      <c r="AZ52" s="197"/>
      <c r="BA52" s="197"/>
      <c r="BB52" s="197"/>
      <c r="BC52" s="197"/>
      <c r="BD52" s="197"/>
      <c r="BE52" s="197"/>
      <c r="BF52" s="197"/>
      <c r="BG52" s="197"/>
      <c r="BH52" s="197"/>
      <c r="BI52" s="197"/>
      <c r="BJ52" s="197"/>
      <c r="BK52" s="197"/>
      <c r="BL52" s="197"/>
      <c r="BM52" s="197"/>
      <c r="BN52" s="197"/>
      <c r="BO52" s="197"/>
      <c r="BP52" s="197"/>
      <c r="BQ52" s="197"/>
      <c r="BR52" s="197"/>
      <c r="BS52" s="197"/>
      <c r="BT52" s="197"/>
    </row>
    <row r="53" spans="1:72" s="450" customFormat="1" ht="15.75" customHeight="1" x14ac:dyDescent="0.2">
      <c r="A53" s="354"/>
      <c r="B53" s="355"/>
      <c r="C53" s="356"/>
      <c r="D53" s="356"/>
      <c r="E53" s="356" t="s">
        <v>390</v>
      </c>
      <c r="F53" s="366" t="s">
        <v>150</v>
      </c>
      <c r="G53" s="367">
        <f>5218.13+4825.64</f>
        <v>10043.77</v>
      </c>
      <c r="H53" s="197"/>
      <c r="I53" s="197"/>
      <c r="J53" s="197"/>
      <c r="K53" s="197"/>
      <c r="L53" s="197"/>
      <c r="M53" s="197"/>
      <c r="N53" s="197"/>
      <c r="O53" s="197"/>
      <c r="P53" s="197"/>
      <c r="Q53" s="197"/>
      <c r="R53" s="197"/>
      <c r="S53" s="197"/>
      <c r="T53" s="197"/>
      <c r="U53" s="197"/>
      <c r="V53" s="197"/>
      <c r="W53" s="197"/>
      <c r="X53" s="197"/>
      <c r="Y53" s="197"/>
      <c r="Z53" s="197"/>
      <c r="AA53" s="197"/>
      <c r="AB53" s="197"/>
      <c r="AC53" s="197"/>
      <c r="AD53" s="197"/>
      <c r="AE53" s="197"/>
      <c r="AF53" s="197"/>
      <c r="AG53" s="197"/>
      <c r="AH53" s="197"/>
      <c r="AI53" s="197"/>
      <c r="AJ53" s="197"/>
      <c r="AK53" s="197"/>
      <c r="AL53" s="197"/>
      <c r="AM53" s="197"/>
      <c r="AN53" s="197"/>
      <c r="AO53" s="197"/>
      <c r="AP53" s="197"/>
      <c r="AQ53" s="197"/>
      <c r="AR53" s="197"/>
      <c r="AS53" s="197"/>
      <c r="AT53" s="197"/>
      <c r="AU53" s="197"/>
      <c r="AV53" s="197"/>
      <c r="AW53" s="197"/>
      <c r="AX53" s="197"/>
      <c r="AY53" s="197"/>
      <c r="AZ53" s="197"/>
      <c r="BA53" s="197"/>
      <c r="BB53" s="197"/>
      <c r="BC53" s="197"/>
      <c r="BD53" s="197"/>
      <c r="BE53" s="197"/>
      <c r="BF53" s="197"/>
      <c r="BG53" s="197"/>
      <c r="BH53" s="197"/>
      <c r="BI53" s="197"/>
      <c r="BJ53" s="197"/>
      <c r="BK53" s="197"/>
      <c r="BL53" s="197"/>
      <c r="BM53" s="197"/>
      <c r="BN53" s="197"/>
      <c r="BO53" s="197"/>
      <c r="BP53" s="197"/>
      <c r="BQ53" s="197"/>
      <c r="BR53" s="197"/>
      <c r="BS53" s="197"/>
      <c r="BT53" s="197"/>
    </row>
    <row r="54" spans="1:72" s="450" customFormat="1" ht="15.75" customHeight="1" x14ac:dyDescent="0.2">
      <c r="A54" s="354"/>
      <c r="B54" s="355"/>
      <c r="C54" s="356"/>
      <c r="D54" s="356"/>
      <c r="E54" s="356" t="s">
        <v>394</v>
      </c>
      <c r="F54" s="366" t="s">
        <v>150</v>
      </c>
      <c r="G54" s="367">
        <f>897+829.53</f>
        <v>1726.53</v>
      </c>
      <c r="H54" s="197"/>
      <c r="I54" s="197"/>
      <c r="J54" s="197"/>
      <c r="K54" s="197"/>
      <c r="L54" s="197"/>
      <c r="M54" s="197"/>
      <c r="N54" s="197"/>
      <c r="O54" s="197"/>
      <c r="P54" s="197"/>
      <c r="Q54" s="197"/>
      <c r="R54" s="197"/>
      <c r="S54" s="197"/>
      <c r="T54" s="197"/>
      <c r="U54" s="197"/>
      <c r="V54" s="197"/>
      <c r="W54" s="197"/>
      <c r="X54" s="197"/>
      <c r="Y54" s="197"/>
      <c r="Z54" s="197"/>
      <c r="AA54" s="197"/>
      <c r="AB54" s="197"/>
      <c r="AC54" s="197"/>
      <c r="AD54" s="197"/>
      <c r="AE54" s="197"/>
      <c r="AF54" s="197"/>
      <c r="AG54" s="197"/>
      <c r="AH54" s="197"/>
      <c r="AI54" s="197"/>
      <c r="AJ54" s="197"/>
      <c r="AK54" s="197"/>
      <c r="AL54" s="197"/>
      <c r="AM54" s="197"/>
      <c r="AN54" s="197"/>
      <c r="AO54" s="197"/>
      <c r="AP54" s="197"/>
      <c r="AQ54" s="197"/>
      <c r="AR54" s="197"/>
      <c r="AS54" s="197"/>
      <c r="AT54" s="197"/>
      <c r="AU54" s="197"/>
      <c r="AV54" s="197"/>
      <c r="AW54" s="197"/>
      <c r="AX54" s="197"/>
      <c r="AY54" s="197"/>
      <c r="AZ54" s="197"/>
      <c r="BA54" s="197"/>
      <c r="BB54" s="197"/>
      <c r="BC54" s="197"/>
      <c r="BD54" s="197"/>
      <c r="BE54" s="197"/>
      <c r="BF54" s="197"/>
      <c r="BG54" s="197"/>
      <c r="BH54" s="197"/>
      <c r="BI54" s="197"/>
      <c r="BJ54" s="197"/>
      <c r="BK54" s="197"/>
      <c r="BL54" s="197"/>
      <c r="BM54" s="197"/>
      <c r="BN54" s="197"/>
      <c r="BO54" s="197"/>
      <c r="BP54" s="197"/>
      <c r="BQ54" s="197"/>
      <c r="BR54" s="197"/>
      <c r="BS54" s="197"/>
      <c r="BT54" s="197"/>
    </row>
    <row r="55" spans="1:72" s="450" customFormat="1" ht="15.75" customHeight="1" x14ac:dyDescent="0.2">
      <c r="A55" s="354"/>
      <c r="B55" s="355"/>
      <c r="C55" s="356"/>
      <c r="D55" s="356"/>
      <c r="E55" s="356" t="s">
        <v>395</v>
      </c>
      <c r="F55" s="366" t="s">
        <v>150</v>
      </c>
      <c r="G55" s="367">
        <f>127.83+118.23</f>
        <v>246.06</v>
      </c>
      <c r="H55" s="197"/>
      <c r="I55" s="197"/>
      <c r="J55" s="197"/>
      <c r="K55" s="197"/>
      <c r="L55" s="197"/>
      <c r="M55" s="197"/>
      <c r="N55" s="197"/>
      <c r="O55" s="197"/>
      <c r="P55" s="197"/>
      <c r="Q55" s="197"/>
      <c r="R55" s="197"/>
      <c r="S55" s="197"/>
      <c r="T55" s="197"/>
      <c r="U55" s="197"/>
      <c r="V55" s="197"/>
      <c r="W55" s="197"/>
      <c r="X55" s="197"/>
      <c r="Y55" s="197"/>
      <c r="Z55" s="197"/>
      <c r="AA55" s="197"/>
      <c r="AB55" s="197"/>
      <c r="AC55" s="197"/>
      <c r="AD55" s="197"/>
      <c r="AE55" s="197"/>
      <c r="AF55" s="197"/>
      <c r="AG55" s="197"/>
      <c r="AH55" s="197"/>
      <c r="AI55" s="197"/>
      <c r="AJ55" s="197"/>
      <c r="AK55" s="197"/>
      <c r="AL55" s="197"/>
      <c r="AM55" s="197"/>
      <c r="AN55" s="197"/>
      <c r="AO55" s="197"/>
      <c r="AP55" s="197"/>
      <c r="AQ55" s="197"/>
      <c r="AR55" s="197"/>
      <c r="AS55" s="197"/>
      <c r="AT55" s="197"/>
      <c r="AU55" s="197"/>
      <c r="AV55" s="197"/>
      <c r="AW55" s="197"/>
      <c r="AX55" s="197"/>
      <c r="AY55" s="197"/>
      <c r="AZ55" s="197"/>
      <c r="BA55" s="197"/>
      <c r="BB55" s="197"/>
      <c r="BC55" s="197"/>
      <c r="BD55" s="197"/>
      <c r="BE55" s="197"/>
      <c r="BF55" s="197"/>
      <c r="BG55" s="197"/>
      <c r="BH55" s="197"/>
      <c r="BI55" s="197"/>
      <c r="BJ55" s="197"/>
      <c r="BK55" s="197"/>
      <c r="BL55" s="197"/>
      <c r="BM55" s="197"/>
      <c r="BN55" s="197"/>
      <c r="BO55" s="197"/>
      <c r="BP55" s="197"/>
      <c r="BQ55" s="197"/>
      <c r="BR55" s="197"/>
      <c r="BS55" s="197"/>
      <c r="BT55" s="197"/>
    </row>
    <row r="56" spans="1:72" s="450" customFormat="1" ht="15.75" customHeight="1" x14ac:dyDescent="0.2">
      <c r="A56" s="368"/>
      <c r="B56" s="369"/>
      <c r="C56" s="370"/>
      <c r="D56" s="357"/>
      <c r="E56" s="357"/>
      <c r="F56" s="359"/>
      <c r="G56" s="371"/>
      <c r="H56" s="197"/>
      <c r="I56" s="197"/>
      <c r="J56" s="197"/>
      <c r="K56" s="197"/>
      <c r="L56" s="197"/>
      <c r="M56" s="197"/>
      <c r="N56" s="197"/>
      <c r="O56" s="197"/>
      <c r="P56" s="197"/>
      <c r="Q56" s="197"/>
      <c r="R56" s="197"/>
      <c r="S56" s="197"/>
      <c r="T56" s="197"/>
      <c r="U56" s="197"/>
      <c r="V56" s="197"/>
      <c r="W56" s="197"/>
      <c r="X56" s="197"/>
      <c r="Y56" s="197"/>
      <c r="Z56" s="197"/>
      <c r="AA56" s="197"/>
      <c r="AB56" s="197"/>
      <c r="AC56" s="197"/>
      <c r="AD56" s="197"/>
      <c r="AE56" s="197"/>
      <c r="AF56" s="197"/>
      <c r="AG56" s="197"/>
      <c r="AH56" s="197"/>
      <c r="AI56" s="197"/>
      <c r="AJ56" s="197"/>
      <c r="AK56" s="197"/>
      <c r="AL56" s="197"/>
      <c r="AM56" s="197"/>
      <c r="AN56" s="197"/>
      <c r="AO56" s="197"/>
      <c r="AP56" s="197"/>
      <c r="AQ56" s="197"/>
      <c r="AR56" s="197"/>
      <c r="AS56" s="197"/>
      <c r="AT56" s="197"/>
      <c r="AU56" s="197"/>
      <c r="AV56" s="197"/>
      <c r="AW56" s="197"/>
      <c r="AX56" s="197"/>
      <c r="AY56" s="197"/>
      <c r="AZ56" s="197"/>
      <c r="BA56" s="197"/>
      <c r="BB56" s="197"/>
      <c r="BC56" s="197"/>
      <c r="BD56" s="197"/>
      <c r="BE56" s="197"/>
      <c r="BF56" s="197"/>
      <c r="BG56" s="197"/>
      <c r="BH56" s="197"/>
      <c r="BI56" s="197"/>
      <c r="BJ56" s="197"/>
      <c r="BK56" s="197"/>
      <c r="BL56" s="197"/>
      <c r="BM56" s="197"/>
      <c r="BN56" s="197"/>
      <c r="BO56" s="197"/>
      <c r="BP56" s="197"/>
      <c r="BQ56" s="197"/>
      <c r="BR56" s="197"/>
      <c r="BS56" s="197"/>
      <c r="BT56" s="197"/>
    </row>
    <row r="57" spans="1:72" s="450" customFormat="1" ht="15.75" customHeight="1" x14ac:dyDescent="0.2">
      <c r="A57" s="354"/>
      <c r="B57" s="355"/>
      <c r="C57" s="356"/>
      <c r="D57" s="356"/>
      <c r="E57" s="357" t="s">
        <v>211</v>
      </c>
      <c r="F57" s="358">
        <f>193360+150000+300000+1504</f>
        <v>644864</v>
      </c>
      <c r="G57" s="359" t="s">
        <v>150</v>
      </c>
      <c r="H57" s="197"/>
      <c r="I57" s="197"/>
      <c r="J57" s="197"/>
      <c r="K57" s="197"/>
      <c r="L57" s="197"/>
      <c r="M57" s="197"/>
      <c r="N57" s="197"/>
      <c r="O57" s="197"/>
      <c r="P57" s="197"/>
      <c r="Q57" s="197"/>
      <c r="R57" s="197"/>
      <c r="S57" s="197"/>
      <c r="T57" s="197"/>
      <c r="U57" s="197"/>
      <c r="V57" s="197"/>
      <c r="W57" s="197"/>
      <c r="X57" s="197"/>
      <c r="Y57" s="197"/>
      <c r="Z57" s="197"/>
      <c r="AA57" s="197"/>
      <c r="AB57" s="197"/>
      <c r="AC57" s="197"/>
      <c r="AD57" s="197"/>
      <c r="AE57" s="197"/>
      <c r="AF57" s="197"/>
      <c r="AG57" s="197"/>
      <c r="AH57" s="197"/>
      <c r="AI57" s="197"/>
      <c r="AJ57" s="197"/>
      <c r="AK57" s="197"/>
      <c r="AL57" s="197"/>
      <c r="AM57" s="197"/>
      <c r="AN57" s="197"/>
      <c r="AO57" s="197"/>
      <c r="AP57" s="197"/>
      <c r="AQ57" s="197"/>
      <c r="AR57" s="197"/>
      <c r="AS57" s="197"/>
      <c r="AT57" s="197"/>
      <c r="AU57" s="197"/>
      <c r="AV57" s="197"/>
      <c r="AW57" s="197"/>
      <c r="AX57" s="197"/>
      <c r="AY57" s="197"/>
      <c r="AZ57" s="197"/>
      <c r="BA57" s="197"/>
      <c r="BB57" s="197"/>
      <c r="BC57" s="197"/>
      <c r="BD57" s="197"/>
      <c r="BE57" s="197"/>
      <c r="BF57" s="197"/>
      <c r="BG57" s="197"/>
      <c r="BH57" s="197"/>
      <c r="BI57" s="197"/>
      <c r="BJ57" s="197"/>
      <c r="BK57" s="197"/>
      <c r="BL57" s="197"/>
      <c r="BM57" s="197"/>
      <c r="BN57" s="197"/>
      <c r="BO57" s="197"/>
      <c r="BP57" s="197"/>
      <c r="BQ57" s="197"/>
      <c r="BR57" s="197"/>
      <c r="BS57" s="197"/>
      <c r="BT57" s="197"/>
    </row>
    <row r="58" spans="1:72" s="450" customFormat="1" ht="25.5" customHeight="1" x14ac:dyDescent="0.2">
      <c r="A58" s="360" t="s">
        <v>185</v>
      </c>
      <c r="B58" s="361" t="s">
        <v>406</v>
      </c>
      <c r="C58" s="356" t="s">
        <v>407</v>
      </c>
      <c r="D58" s="356" t="s">
        <v>408</v>
      </c>
      <c r="E58" s="362" t="s">
        <v>150</v>
      </c>
      <c r="F58" s="363" t="s">
        <v>150</v>
      </c>
      <c r="G58" s="364">
        <f>SUM(G60)</f>
        <v>644864</v>
      </c>
      <c r="H58" s="197"/>
      <c r="I58" s="197"/>
      <c r="J58" s="197"/>
      <c r="K58" s="197"/>
      <c r="L58" s="197"/>
      <c r="M58" s="197"/>
      <c r="N58" s="197"/>
      <c r="O58" s="197"/>
      <c r="P58" s="197"/>
      <c r="Q58" s="197"/>
      <c r="R58" s="197"/>
      <c r="S58" s="197"/>
      <c r="T58" s="197"/>
      <c r="U58" s="197"/>
      <c r="V58" s="197"/>
      <c r="W58" s="197"/>
      <c r="X58" s="197"/>
      <c r="Y58" s="197"/>
      <c r="Z58" s="197"/>
      <c r="AA58" s="197"/>
      <c r="AB58" s="197"/>
      <c r="AC58" s="197"/>
      <c r="AD58" s="197"/>
      <c r="AE58" s="197"/>
      <c r="AF58" s="197"/>
      <c r="AG58" s="197"/>
      <c r="AH58" s="197"/>
      <c r="AI58" s="197"/>
      <c r="AJ58" s="197"/>
      <c r="AK58" s="197"/>
      <c r="AL58" s="197"/>
      <c r="AM58" s="197"/>
      <c r="AN58" s="197"/>
      <c r="AO58" s="197"/>
      <c r="AP58" s="197"/>
      <c r="AQ58" s="197"/>
      <c r="AR58" s="197"/>
      <c r="AS58" s="197"/>
      <c r="AT58" s="197"/>
      <c r="AU58" s="197"/>
      <c r="AV58" s="197"/>
      <c r="AW58" s="197"/>
      <c r="AX58" s="197"/>
      <c r="AY58" s="197"/>
      <c r="AZ58" s="197"/>
      <c r="BA58" s="197"/>
      <c r="BB58" s="197"/>
      <c r="BC58" s="197"/>
      <c r="BD58" s="197"/>
      <c r="BE58" s="197"/>
      <c r="BF58" s="197"/>
      <c r="BG58" s="197"/>
      <c r="BH58" s="197"/>
      <c r="BI58" s="197"/>
      <c r="BJ58" s="197"/>
      <c r="BK58" s="197"/>
      <c r="BL58" s="197"/>
      <c r="BM58" s="197"/>
      <c r="BN58" s="197"/>
      <c r="BO58" s="197"/>
      <c r="BP58" s="197"/>
      <c r="BQ58" s="197"/>
      <c r="BR58" s="197"/>
      <c r="BS58" s="197"/>
      <c r="BT58" s="197"/>
    </row>
    <row r="59" spans="1:72" s="450" customFormat="1" ht="10.5" customHeight="1" x14ac:dyDescent="0.2">
      <c r="A59" s="354"/>
      <c r="B59" s="365"/>
      <c r="C59" s="356"/>
      <c r="D59" s="356"/>
      <c r="E59" s="356"/>
      <c r="F59" s="366"/>
      <c r="G59" s="451"/>
      <c r="H59" s="197"/>
      <c r="I59" s="197"/>
      <c r="J59" s="197"/>
      <c r="K59" s="197"/>
      <c r="L59" s="197"/>
      <c r="M59" s="197"/>
      <c r="N59" s="197"/>
      <c r="O59" s="197"/>
      <c r="P59" s="197"/>
      <c r="Q59" s="197"/>
      <c r="R59" s="197"/>
      <c r="S59" s="197"/>
      <c r="T59" s="197"/>
      <c r="U59" s="197"/>
      <c r="V59" s="197"/>
      <c r="W59" s="197"/>
      <c r="X59" s="197"/>
      <c r="Y59" s="197"/>
      <c r="Z59" s="197"/>
      <c r="AA59" s="197"/>
      <c r="AB59" s="197"/>
      <c r="AC59" s="197"/>
      <c r="AD59" s="197"/>
      <c r="AE59" s="197"/>
      <c r="AF59" s="197"/>
      <c r="AG59" s="197"/>
      <c r="AH59" s="197"/>
      <c r="AI59" s="197"/>
      <c r="AJ59" s="197"/>
      <c r="AK59" s="197"/>
      <c r="AL59" s="197"/>
      <c r="AM59" s="197"/>
      <c r="AN59" s="197"/>
      <c r="AO59" s="197"/>
      <c r="AP59" s="197"/>
      <c r="AQ59" s="197"/>
      <c r="AR59" s="197"/>
      <c r="AS59" s="197"/>
      <c r="AT59" s="197"/>
      <c r="AU59" s="197"/>
      <c r="AV59" s="197"/>
      <c r="AW59" s="197"/>
      <c r="AX59" s="197"/>
      <c r="AY59" s="197"/>
      <c r="AZ59" s="197"/>
      <c r="BA59" s="197"/>
      <c r="BB59" s="197"/>
      <c r="BC59" s="197"/>
      <c r="BD59" s="197"/>
      <c r="BE59" s="197"/>
      <c r="BF59" s="197"/>
      <c r="BG59" s="197"/>
      <c r="BH59" s="197"/>
      <c r="BI59" s="197"/>
      <c r="BJ59" s="197"/>
      <c r="BK59" s="197"/>
      <c r="BL59" s="197"/>
      <c r="BM59" s="197"/>
      <c r="BN59" s="197"/>
      <c r="BO59" s="197"/>
      <c r="BP59" s="197"/>
      <c r="BQ59" s="197"/>
      <c r="BR59" s="197"/>
      <c r="BS59" s="197"/>
      <c r="BT59" s="197"/>
    </row>
    <row r="60" spans="1:72" s="450" customFormat="1" ht="15.75" customHeight="1" x14ac:dyDescent="0.2">
      <c r="A60" s="354"/>
      <c r="B60" s="452" t="s">
        <v>384</v>
      </c>
      <c r="C60" s="356"/>
      <c r="D60" s="356"/>
      <c r="E60" s="356"/>
      <c r="F60" s="366"/>
      <c r="G60" s="451">
        <f>SUM(G61:G64)</f>
        <v>644864</v>
      </c>
      <c r="H60" s="197"/>
      <c r="I60" s="197"/>
      <c r="J60" s="197"/>
      <c r="K60" s="197"/>
      <c r="L60" s="197"/>
      <c r="M60" s="197"/>
      <c r="N60" s="197"/>
      <c r="O60" s="197"/>
      <c r="P60" s="197"/>
      <c r="Q60" s="197"/>
      <c r="R60" s="197"/>
      <c r="S60" s="197"/>
      <c r="T60" s="197"/>
      <c r="U60" s="197"/>
      <c r="V60" s="197"/>
      <c r="W60" s="197"/>
      <c r="X60" s="197"/>
      <c r="Y60" s="197"/>
      <c r="Z60" s="197"/>
      <c r="AA60" s="197"/>
      <c r="AB60" s="197"/>
      <c r="AC60" s="197"/>
      <c r="AD60" s="197"/>
      <c r="AE60" s="197"/>
      <c r="AF60" s="197"/>
      <c r="AG60" s="197"/>
      <c r="AH60" s="197"/>
      <c r="AI60" s="197"/>
      <c r="AJ60" s="197"/>
      <c r="AK60" s="197"/>
      <c r="AL60" s="197"/>
      <c r="AM60" s="197"/>
      <c r="AN60" s="197"/>
      <c r="AO60" s="197"/>
      <c r="AP60" s="197"/>
      <c r="AQ60" s="197"/>
      <c r="AR60" s="197"/>
      <c r="AS60" s="197"/>
      <c r="AT60" s="197"/>
      <c r="AU60" s="197"/>
      <c r="AV60" s="197"/>
      <c r="AW60" s="197"/>
      <c r="AX60" s="197"/>
      <c r="AY60" s="197"/>
      <c r="AZ60" s="197"/>
      <c r="BA60" s="197"/>
      <c r="BB60" s="197"/>
      <c r="BC60" s="197"/>
      <c r="BD60" s="197"/>
      <c r="BE60" s="197"/>
      <c r="BF60" s="197"/>
      <c r="BG60" s="197"/>
      <c r="BH60" s="197"/>
      <c r="BI60" s="197"/>
      <c r="BJ60" s="197"/>
      <c r="BK60" s="197"/>
      <c r="BL60" s="197"/>
      <c r="BM60" s="197"/>
      <c r="BN60" s="197"/>
      <c r="BO60" s="197"/>
      <c r="BP60" s="197"/>
      <c r="BQ60" s="197"/>
      <c r="BR60" s="197"/>
      <c r="BS60" s="197"/>
      <c r="BT60" s="197"/>
    </row>
    <row r="61" spans="1:72" s="450" customFormat="1" ht="15.75" customHeight="1" x14ac:dyDescent="0.2">
      <c r="A61" s="354"/>
      <c r="B61" s="355"/>
      <c r="C61" s="356"/>
      <c r="D61" s="356"/>
      <c r="E61" s="356" t="s">
        <v>389</v>
      </c>
      <c r="F61" s="366" t="s">
        <v>150</v>
      </c>
      <c r="G61" s="367">
        <f>193360+150000+300000</f>
        <v>643360</v>
      </c>
      <c r="H61" s="197"/>
      <c r="I61" s="197"/>
      <c r="J61" s="197"/>
      <c r="K61" s="197"/>
      <c r="L61" s="197"/>
      <c r="M61" s="197"/>
      <c r="N61" s="197"/>
      <c r="O61" s="197"/>
      <c r="P61" s="197"/>
      <c r="Q61" s="197"/>
      <c r="R61" s="197"/>
      <c r="S61" s="197"/>
      <c r="T61" s="197"/>
      <c r="U61" s="197"/>
      <c r="V61" s="197"/>
      <c r="W61" s="197"/>
      <c r="X61" s="197"/>
      <c r="Y61" s="197"/>
      <c r="Z61" s="197"/>
      <c r="AA61" s="197"/>
      <c r="AB61" s="197"/>
      <c r="AC61" s="197"/>
      <c r="AD61" s="197"/>
      <c r="AE61" s="197"/>
      <c r="AF61" s="197"/>
      <c r="AG61" s="197"/>
      <c r="AH61" s="197"/>
      <c r="AI61" s="197"/>
      <c r="AJ61" s="197"/>
      <c r="AK61" s="197"/>
      <c r="AL61" s="197"/>
      <c r="AM61" s="197"/>
      <c r="AN61" s="197"/>
      <c r="AO61" s="197"/>
      <c r="AP61" s="197"/>
      <c r="AQ61" s="197"/>
      <c r="AR61" s="197"/>
      <c r="AS61" s="197"/>
      <c r="AT61" s="197"/>
      <c r="AU61" s="197"/>
      <c r="AV61" s="197"/>
      <c r="AW61" s="197"/>
      <c r="AX61" s="197"/>
      <c r="AY61" s="197"/>
      <c r="AZ61" s="197"/>
      <c r="BA61" s="197"/>
      <c r="BB61" s="197"/>
      <c r="BC61" s="197"/>
      <c r="BD61" s="197"/>
      <c r="BE61" s="197"/>
      <c r="BF61" s="197"/>
      <c r="BG61" s="197"/>
      <c r="BH61" s="197"/>
      <c r="BI61" s="197"/>
      <c r="BJ61" s="197"/>
      <c r="BK61" s="197"/>
      <c r="BL61" s="197"/>
      <c r="BM61" s="197"/>
      <c r="BN61" s="197"/>
      <c r="BO61" s="197"/>
      <c r="BP61" s="197"/>
      <c r="BQ61" s="197"/>
      <c r="BR61" s="197"/>
      <c r="BS61" s="197"/>
      <c r="BT61" s="197"/>
    </row>
    <row r="62" spans="1:72" s="450" customFormat="1" ht="15.75" customHeight="1" x14ac:dyDescent="0.2">
      <c r="A62" s="354"/>
      <c r="B62" s="355"/>
      <c r="C62" s="373"/>
      <c r="D62" s="356"/>
      <c r="E62" s="356" t="s">
        <v>390</v>
      </c>
      <c r="F62" s="366" t="s">
        <v>150</v>
      </c>
      <c r="G62" s="367">
        <f>1254</f>
        <v>1254</v>
      </c>
      <c r="H62" s="197"/>
      <c r="I62" s="197"/>
      <c r="J62" s="197"/>
      <c r="K62" s="197"/>
      <c r="L62" s="197"/>
      <c r="M62" s="197"/>
      <c r="N62" s="197"/>
      <c r="O62" s="197"/>
      <c r="P62" s="197"/>
      <c r="Q62" s="197"/>
      <c r="R62" s="197"/>
      <c r="S62" s="197"/>
      <c r="T62" s="197"/>
      <c r="U62" s="197"/>
      <c r="V62" s="197"/>
      <c r="W62" s="197"/>
      <c r="X62" s="197"/>
      <c r="Y62" s="197"/>
      <c r="Z62" s="197"/>
      <c r="AA62" s="197"/>
      <c r="AB62" s="197"/>
      <c r="AC62" s="197"/>
      <c r="AD62" s="197"/>
      <c r="AE62" s="197"/>
      <c r="AF62" s="197"/>
      <c r="AG62" s="197"/>
      <c r="AH62" s="197"/>
      <c r="AI62" s="197"/>
      <c r="AJ62" s="197"/>
      <c r="AK62" s="197"/>
      <c r="AL62" s="197"/>
      <c r="AM62" s="197"/>
      <c r="AN62" s="197"/>
      <c r="AO62" s="197"/>
      <c r="AP62" s="197"/>
      <c r="AQ62" s="197"/>
      <c r="AR62" s="197"/>
      <c r="AS62" s="197"/>
      <c r="AT62" s="197"/>
      <c r="AU62" s="197"/>
      <c r="AV62" s="197"/>
      <c r="AW62" s="197"/>
      <c r="AX62" s="197"/>
      <c r="AY62" s="197"/>
      <c r="AZ62" s="197"/>
      <c r="BA62" s="197"/>
      <c r="BB62" s="197"/>
      <c r="BC62" s="197"/>
      <c r="BD62" s="197"/>
      <c r="BE62" s="197"/>
      <c r="BF62" s="197"/>
      <c r="BG62" s="197"/>
      <c r="BH62" s="197"/>
      <c r="BI62" s="197"/>
      <c r="BJ62" s="197"/>
      <c r="BK62" s="197"/>
      <c r="BL62" s="197"/>
      <c r="BM62" s="197"/>
      <c r="BN62" s="197"/>
      <c r="BO62" s="197"/>
      <c r="BP62" s="197"/>
      <c r="BQ62" s="197"/>
      <c r="BR62" s="197"/>
      <c r="BS62" s="197"/>
      <c r="BT62" s="197"/>
    </row>
    <row r="63" spans="1:72" s="450" customFormat="1" ht="15.75" customHeight="1" x14ac:dyDescent="0.2">
      <c r="A63" s="354"/>
      <c r="B63" s="355"/>
      <c r="C63" s="373"/>
      <c r="D63" s="356"/>
      <c r="E63" s="356" t="s">
        <v>394</v>
      </c>
      <c r="F63" s="366" t="s">
        <v>150</v>
      </c>
      <c r="G63" s="367">
        <f>219</f>
        <v>219</v>
      </c>
      <c r="H63" s="197"/>
      <c r="I63" s="197"/>
      <c r="J63" s="197"/>
      <c r="K63" s="197"/>
      <c r="L63" s="197"/>
      <c r="M63" s="197"/>
      <c r="N63" s="197"/>
      <c r="O63" s="197"/>
      <c r="P63" s="197"/>
      <c r="Q63" s="197"/>
      <c r="R63" s="197"/>
      <c r="S63" s="197"/>
      <c r="T63" s="197"/>
      <c r="U63" s="197"/>
      <c r="V63" s="197"/>
      <c r="W63" s="197"/>
      <c r="X63" s="197"/>
      <c r="Y63" s="197"/>
      <c r="Z63" s="197"/>
      <c r="AA63" s="197"/>
      <c r="AB63" s="197"/>
      <c r="AC63" s="197"/>
      <c r="AD63" s="197"/>
      <c r="AE63" s="197"/>
      <c r="AF63" s="197"/>
      <c r="AG63" s="197"/>
      <c r="AH63" s="197"/>
      <c r="AI63" s="197"/>
      <c r="AJ63" s="197"/>
      <c r="AK63" s="197"/>
      <c r="AL63" s="197"/>
      <c r="AM63" s="197"/>
      <c r="AN63" s="197"/>
      <c r="AO63" s="197"/>
      <c r="AP63" s="197"/>
      <c r="AQ63" s="197"/>
      <c r="AR63" s="197"/>
      <c r="AS63" s="197"/>
      <c r="AT63" s="197"/>
      <c r="AU63" s="197"/>
      <c r="AV63" s="197"/>
      <c r="AW63" s="197"/>
      <c r="AX63" s="197"/>
      <c r="AY63" s="197"/>
      <c r="AZ63" s="197"/>
      <c r="BA63" s="197"/>
      <c r="BB63" s="197"/>
      <c r="BC63" s="197"/>
      <c r="BD63" s="197"/>
      <c r="BE63" s="197"/>
      <c r="BF63" s="197"/>
      <c r="BG63" s="197"/>
      <c r="BH63" s="197"/>
      <c r="BI63" s="197"/>
      <c r="BJ63" s="197"/>
      <c r="BK63" s="197"/>
      <c r="BL63" s="197"/>
      <c r="BM63" s="197"/>
      <c r="BN63" s="197"/>
      <c r="BO63" s="197"/>
      <c r="BP63" s="197"/>
      <c r="BQ63" s="197"/>
      <c r="BR63" s="197"/>
      <c r="BS63" s="197"/>
      <c r="BT63" s="197"/>
    </row>
    <row r="64" spans="1:72" s="450" customFormat="1" ht="15.75" customHeight="1" x14ac:dyDescent="0.2">
      <c r="A64" s="354"/>
      <c r="B64" s="355"/>
      <c r="C64" s="373"/>
      <c r="D64" s="356"/>
      <c r="E64" s="356" t="s">
        <v>395</v>
      </c>
      <c r="F64" s="366" t="s">
        <v>150</v>
      </c>
      <c r="G64" s="367">
        <f>31</f>
        <v>31</v>
      </c>
      <c r="H64" s="197"/>
      <c r="I64" s="197"/>
      <c r="J64" s="197"/>
      <c r="K64" s="197"/>
      <c r="L64" s="197"/>
      <c r="M64" s="197"/>
      <c r="N64" s="197"/>
      <c r="O64" s="197"/>
      <c r="P64" s="197"/>
      <c r="Q64" s="197"/>
      <c r="R64" s="197"/>
      <c r="S64" s="197"/>
      <c r="T64" s="197"/>
      <c r="U64" s="197"/>
      <c r="V64" s="197"/>
      <c r="W64" s="197"/>
      <c r="X64" s="197"/>
      <c r="Y64" s="197"/>
      <c r="Z64" s="197"/>
      <c r="AA64" s="197"/>
      <c r="AB64" s="197"/>
      <c r="AC64" s="197"/>
      <c r="AD64" s="197"/>
      <c r="AE64" s="197"/>
      <c r="AF64" s="197"/>
      <c r="AG64" s="197"/>
      <c r="AH64" s="197"/>
      <c r="AI64" s="197"/>
      <c r="AJ64" s="197"/>
      <c r="AK64" s="197"/>
      <c r="AL64" s="197"/>
      <c r="AM64" s="197"/>
      <c r="AN64" s="197"/>
      <c r="AO64" s="197"/>
      <c r="AP64" s="197"/>
      <c r="AQ64" s="197"/>
      <c r="AR64" s="197"/>
      <c r="AS64" s="197"/>
      <c r="AT64" s="197"/>
      <c r="AU64" s="197"/>
      <c r="AV64" s="197"/>
      <c r="AW64" s="197"/>
      <c r="AX64" s="197"/>
      <c r="AY64" s="197"/>
      <c r="AZ64" s="197"/>
      <c r="BA64" s="197"/>
      <c r="BB64" s="197"/>
      <c r="BC64" s="197"/>
      <c r="BD64" s="197"/>
      <c r="BE64" s="197"/>
      <c r="BF64" s="197"/>
      <c r="BG64" s="197"/>
      <c r="BH64" s="197"/>
      <c r="BI64" s="197"/>
      <c r="BJ64" s="197"/>
      <c r="BK64" s="197"/>
      <c r="BL64" s="197"/>
      <c r="BM64" s="197"/>
      <c r="BN64" s="197"/>
      <c r="BO64" s="197"/>
      <c r="BP64" s="197"/>
      <c r="BQ64" s="197"/>
      <c r="BR64" s="197"/>
      <c r="BS64" s="197"/>
      <c r="BT64" s="197"/>
    </row>
    <row r="65" spans="1:72" s="450" customFormat="1" ht="15.75" customHeight="1" x14ac:dyDescent="0.2">
      <c r="A65" s="368"/>
      <c r="B65" s="369"/>
      <c r="C65" s="370"/>
      <c r="D65" s="357"/>
      <c r="E65" s="357"/>
      <c r="F65" s="359"/>
      <c r="G65" s="371"/>
      <c r="H65" s="197"/>
      <c r="I65" s="197"/>
      <c r="J65" s="197"/>
      <c r="K65" s="197"/>
      <c r="L65" s="197"/>
      <c r="M65" s="197"/>
      <c r="N65" s="197"/>
      <c r="O65" s="197"/>
      <c r="P65" s="197"/>
      <c r="Q65" s="197"/>
      <c r="R65" s="197"/>
      <c r="S65" s="197"/>
      <c r="T65" s="197"/>
      <c r="U65" s="197"/>
      <c r="V65" s="197"/>
      <c r="W65" s="197"/>
      <c r="X65" s="197"/>
      <c r="Y65" s="197"/>
      <c r="Z65" s="197"/>
      <c r="AA65" s="197"/>
      <c r="AB65" s="197"/>
      <c r="AC65" s="197"/>
      <c r="AD65" s="197"/>
      <c r="AE65" s="197"/>
      <c r="AF65" s="197"/>
      <c r="AG65" s="197"/>
      <c r="AH65" s="197"/>
      <c r="AI65" s="197"/>
      <c r="AJ65" s="197"/>
      <c r="AK65" s="197"/>
      <c r="AL65" s="197"/>
      <c r="AM65" s="197"/>
      <c r="AN65" s="197"/>
      <c r="AO65" s="197"/>
      <c r="AP65" s="197"/>
      <c r="AQ65" s="197"/>
      <c r="AR65" s="197"/>
      <c r="AS65" s="197"/>
      <c r="AT65" s="197"/>
      <c r="AU65" s="197"/>
      <c r="AV65" s="197"/>
      <c r="AW65" s="197"/>
      <c r="AX65" s="197"/>
      <c r="AY65" s="197"/>
      <c r="AZ65" s="197"/>
      <c r="BA65" s="197"/>
      <c r="BB65" s="197"/>
      <c r="BC65" s="197"/>
      <c r="BD65" s="197"/>
      <c r="BE65" s="197"/>
      <c r="BF65" s="197"/>
      <c r="BG65" s="197"/>
      <c r="BH65" s="197"/>
      <c r="BI65" s="197"/>
      <c r="BJ65" s="197"/>
      <c r="BK65" s="197"/>
      <c r="BL65" s="197"/>
      <c r="BM65" s="197"/>
      <c r="BN65" s="197"/>
      <c r="BO65" s="197"/>
      <c r="BP65" s="197"/>
      <c r="BQ65" s="197"/>
      <c r="BR65" s="197"/>
      <c r="BS65" s="197"/>
      <c r="BT65" s="197"/>
    </row>
    <row r="66" spans="1:72" s="450" customFormat="1" ht="15.75" customHeight="1" x14ac:dyDescent="0.2">
      <c r="A66" s="354"/>
      <c r="B66" s="355"/>
      <c r="C66" s="356"/>
      <c r="D66" s="356"/>
      <c r="E66" s="357" t="s">
        <v>211</v>
      </c>
      <c r="F66" s="358">
        <v>195780</v>
      </c>
      <c r="G66" s="359" t="s">
        <v>150</v>
      </c>
      <c r="H66" s="197"/>
      <c r="I66" s="197"/>
      <c r="J66" s="197"/>
      <c r="K66" s="197"/>
      <c r="L66" s="197"/>
      <c r="M66" s="197"/>
      <c r="N66" s="197"/>
      <c r="O66" s="197"/>
      <c r="P66" s="197"/>
      <c r="Q66" s="197"/>
      <c r="R66" s="197"/>
      <c r="S66" s="197"/>
      <c r="T66" s="197"/>
      <c r="U66" s="197"/>
      <c r="V66" s="197"/>
      <c r="W66" s="197"/>
      <c r="X66" s="197"/>
      <c r="Y66" s="197"/>
      <c r="Z66" s="197"/>
      <c r="AA66" s="197"/>
      <c r="AB66" s="197"/>
      <c r="AC66" s="197"/>
      <c r="AD66" s="197"/>
      <c r="AE66" s="197"/>
      <c r="AF66" s="197"/>
      <c r="AG66" s="197"/>
      <c r="AH66" s="197"/>
      <c r="AI66" s="197"/>
      <c r="AJ66" s="197"/>
      <c r="AK66" s="197"/>
      <c r="AL66" s="197"/>
      <c r="AM66" s="197"/>
      <c r="AN66" s="197"/>
      <c r="AO66" s="197"/>
      <c r="AP66" s="197"/>
      <c r="AQ66" s="197"/>
      <c r="AR66" s="197"/>
      <c r="AS66" s="197"/>
      <c r="AT66" s="197"/>
      <c r="AU66" s="197"/>
      <c r="AV66" s="197"/>
      <c r="AW66" s="197"/>
      <c r="AX66" s="197"/>
      <c r="AY66" s="197"/>
      <c r="AZ66" s="197"/>
      <c r="BA66" s="197"/>
      <c r="BB66" s="197"/>
      <c r="BC66" s="197"/>
      <c r="BD66" s="197"/>
      <c r="BE66" s="197"/>
      <c r="BF66" s="197"/>
      <c r="BG66" s="197"/>
      <c r="BH66" s="197"/>
      <c r="BI66" s="197"/>
      <c r="BJ66" s="197"/>
      <c r="BK66" s="197"/>
      <c r="BL66" s="197"/>
      <c r="BM66" s="197"/>
      <c r="BN66" s="197"/>
      <c r="BO66" s="197"/>
      <c r="BP66" s="197"/>
      <c r="BQ66" s="197"/>
      <c r="BR66" s="197"/>
      <c r="BS66" s="197"/>
      <c r="BT66" s="197"/>
    </row>
    <row r="67" spans="1:72" s="450" customFormat="1" ht="23.25" customHeight="1" x14ac:dyDescent="0.2">
      <c r="A67" s="360" t="s">
        <v>187</v>
      </c>
      <c r="B67" s="361" t="s">
        <v>409</v>
      </c>
      <c r="C67" s="356" t="s">
        <v>407</v>
      </c>
      <c r="D67" s="356" t="s">
        <v>408</v>
      </c>
      <c r="E67" s="362" t="s">
        <v>150</v>
      </c>
      <c r="F67" s="363" t="s">
        <v>150</v>
      </c>
      <c r="G67" s="364">
        <f>SUM(G69)</f>
        <v>195780</v>
      </c>
      <c r="H67" s="197"/>
      <c r="I67" s="197"/>
      <c r="J67" s="197"/>
      <c r="K67" s="197"/>
      <c r="L67" s="197"/>
      <c r="M67" s="197"/>
      <c r="N67" s="197"/>
      <c r="O67" s="197"/>
      <c r="P67" s="197"/>
      <c r="Q67" s="197"/>
      <c r="R67" s="197"/>
      <c r="S67" s="197"/>
      <c r="T67" s="197"/>
      <c r="U67" s="197"/>
      <c r="V67" s="197"/>
      <c r="W67" s="197"/>
      <c r="X67" s="197"/>
      <c r="Y67" s="197"/>
      <c r="Z67" s="197"/>
      <c r="AA67" s="197"/>
      <c r="AB67" s="197"/>
      <c r="AC67" s="197"/>
      <c r="AD67" s="197"/>
      <c r="AE67" s="197"/>
      <c r="AF67" s="197"/>
      <c r="AG67" s="197"/>
      <c r="AH67" s="197"/>
      <c r="AI67" s="197"/>
      <c r="AJ67" s="197"/>
      <c r="AK67" s="197"/>
      <c r="AL67" s="197"/>
      <c r="AM67" s="197"/>
      <c r="AN67" s="197"/>
      <c r="AO67" s="197"/>
      <c r="AP67" s="197"/>
      <c r="AQ67" s="197"/>
      <c r="AR67" s="197"/>
      <c r="AS67" s="197"/>
      <c r="AT67" s="197"/>
      <c r="AU67" s="197"/>
      <c r="AV67" s="197"/>
      <c r="AW67" s="197"/>
      <c r="AX67" s="197"/>
      <c r="AY67" s="197"/>
      <c r="AZ67" s="197"/>
      <c r="BA67" s="197"/>
      <c r="BB67" s="197"/>
      <c r="BC67" s="197"/>
      <c r="BD67" s="197"/>
      <c r="BE67" s="197"/>
      <c r="BF67" s="197"/>
      <c r="BG67" s="197"/>
      <c r="BH67" s="197"/>
      <c r="BI67" s="197"/>
      <c r="BJ67" s="197"/>
      <c r="BK67" s="197"/>
      <c r="BL67" s="197"/>
      <c r="BM67" s="197"/>
      <c r="BN67" s="197"/>
      <c r="BO67" s="197"/>
      <c r="BP67" s="197"/>
      <c r="BQ67" s="197"/>
      <c r="BR67" s="197"/>
      <c r="BS67" s="197"/>
      <c r="BT67" s="197"/>
    </row>
    <row r="68" spans="1:72" s="450" customFormat="1" ht="9.75" customHeight="1" x14ac:dyDescent="0.2">
      <c r="A68" s="354"/>
      <c r="B68" s="365"/>
      <c r="C68" s="356"/>
      <c r="D68" s="356"/>
      <c r="E68" s="356"/>
      <c r="F68" s="366"/>
      <c r="G68" s="451"/>
      <c r="H68" s="197"/>
      <c r="I68" s="197"/>
      <c r="J68" s="197"/>
      <c r="K68" s="197"/>
      <c r="L68" s="197"/>
      <c r="M68" s="197"/>
      <c r="N68" s="197"/>
      <c r="O68" s="197"/>
      <c r="P68" s="197"/>
      <c r="Q68" s="197"/>
      <c r="R68" s="197"/>
      <c r="S68" s="197"/>
      <c r="T68" s="197"/>
      <c r="U68" s="197"/>
      <c r="V68" s="197"/>
      <c r="W68" s="197"/>
      <c r="X68" s="197"/>
      <c r="Y68" s="197"/>
      <c r="Z68" s="197"/>
      <c r="AA68" s="197"/>
      <c r="AB68" s="197"/>
      <c r="AC68" s="197"/>
      <c r="AD68" s="197"/>
      <c r="AE68" s="197"/>
      <c r="AF68" s="197"/>
      <c r="AG68" s="197"/>
      <c r="AH68" s="197"/>
      <c r="AI68" s="197"/>
      <c r="AJ68" s="197"/>
      <c r="AK68" s="197"/>
      <c r="AL68" s="197"/>
      <c r="AM68" s="197"/>
      <c r="AN68" s="197"/>
      <c r="AO68" s="197"/>
      <c r="AP68" s="197"/>
      <c r="AQ68" s="197"/>
      <c r="AR68" s="197"/>
      <c r="AS68" s="197"/>
      <c r="AT68" s="197"/>
      <c r="AU68" s="197"/>
      <c r="AV68" s="197"/>
      <c r="AW68" s="197"/>
      <c r="AX68" s="197"/>
      <c r="AY68" s="197"/>
      <c r="AZ68" s="197"/>
      <c r="BA68" s="197"/>
      <c r="BB68" s="197"/>
      <c r="BC68" s="197"/>
      <c r="BD68" s="197"/>
      <c r="BE68" s="197"/>
      <c r="BF68" s="197"/>
      <c r="BG68" s="197"/>
      <c r="BH68" s="197"/>
      <c r="BI68" s="197"/>
      <c r="BJ68" s="197"/>
      <c r="BK68" s="197"/>
      <c r="BL68" s="197"/>
      <c r="BM68" s="197"/>
      <c r="BN68" s="197"/>
      <c r="BO68" s="197"/>
      <c r="BP68" s="197"/>
      <c r="BQ68" s="197"/>
      <c r="BR68" s="197"/>
      <c r="BS68" s="197"/>
      <c r="BT68" s="197"/>
    </row>
    <row r="69" spans="1:72" s="450" customFormat="1" ht="25.5" customHeight="1" x14ac:dyDescent="0.2">
      <c r="A69" s="354"/>
      <c r="B69" s="453" t="s">
        <v>50</v>
      </c>
      <c r="C69" s="356"/>
      <c r="D69" s="356"/>
      <c r="E69" s="356"/>
      <c r="F69" s="366"/>
      <c r="G69" s="451">
        <f>SUM(G70:G70)</f>
        <v>195780</v>
      </c>
      <c r="H69" s="197"/>
      <c r="I69" s="197"/>
      <c r="J69" s="197"/>
      <c r="K69" s="197"/>
      <c r="L69" s="197"/>
      <c r="M69" s="197"/>
      <c r="N69" s="197"/>
      <c r="O69" s="197"/>
      <c r="P69" s="197"/>
      <c r="Q69" s="197"/>
      <c r="R69" s="197"/>
      <c r="S69" s="197"/>
      <c r="T69" s="197"/>
      <c r="U69" s="197"/>
      <c r="V69" s="197"/>
      <c r="W69" s="197"/>
      <c r="X69" s="197"/>
      <c r="Y69" s="197"/>
      <c r="Z69" s="197"/>
      <c r="AA69" s="197"/>
      <c r="AB69" s="197"/>
      <c r="AC69" s="197"/>
      <c r="AD69" s="197"/>
      <c r="AE69" s="197"/>
      <c r="AF69" s="197"/>
      <c r="AG69" s="197"/>
      <c r="AH69" s="197"/>
      <c r="AI69" s="197"/>
      <c r="AJ69" s="197"/>
      <c r="AK69" s="197"/>
      <c r="AL69" s="197"/>
      <c r="AM69" s="197"/>
      <c r="AN69" s="197"/>
      <c r="AO69" s="197"/>
      <c r="AP69" s="197"/>
      <c r="AQ69" s="197"/>
      <c r="AR69" s="197"/>
      <c r="AS69" s="197"/>
      <c r="AT69" s="197"/>
      <c r="AU69" s="197"/>
      <c r="AV69" s="197"/>
      <c r="AW69" s="197"/>
      <c r="AX69" s="197"/>
      <c r="AY69" s="197"/>
      <c r="AZ69" s="197"/>
      <c r="BA69" s="197"/>
      <c r="BB69" s="197"/>
      <c r="BC69" s="197"/>
      <c r="BD69" s="197"/>
      <c r="BE69" s="197"/>
      <c r="BF69" s="197"/>
      <c r="BG69" s="197"/>
      <c r="BH69" s="197"/>
      <c r="BI69" s="197"/>
      <c r="BJ69" s="197"/>
      <c r="BK69" s="197"/>
      <c r="BL69" s="197"/>
      <c r="BM69" s="197"/>
      <c r="BN69" s="197"/>
      <c r="BO69" s="197"/>
      <c r="BP69" s="197"/>
      <c r="BQ69" s="197"/>
      <c r="BR69" s="197"/>
      <c r="BS69" s="197"/>
      <c r="BT69" s="197"/>
    </row>
    <row r="70" spans="1:72" s="450" customFormat="1" ht="15.75" customHeight="1" x14ac:dyDescent="0.2">
      <c r="A70" s="354"/>
      <c r="B70" s="355"/>
      <c r="C70" s="356"/>
      <c r="D70" s="356"/>
      <c r="E70" s="356" t="s">
        <v>385</v>
      </c>
      <c r="F70" s="366" t="s">
        <v>150</v>
      </c>
      <c r="G70" s="367">
        <f>195780</f>
        <v>195780</v>
      </c>
      <c r="H70" s="197"/>
      <c r="I70" s="197"/>
      <c r="J70" s="197"/>
      <c r="K70" s="197"/>
      <c r="L70" s="197"/>
      <c r="M70" s="197"/>
      <c r="N70" s="197"/>
      <c r="O70" s="197"/>
      <c r="P70" s="197"/>
      <c r="Q70" s="197"/>
      <c r="R70" s="197"/>
      <c r="S70" s="197"/>
      <c r="T70" s="197"/>
      <c r="U70" s="197"/>
      <c r="V70" s="197"/>
      <c r="W70" s="197"/>
      <c r="X70" s="197"/>
      <c r="Y70" s="197"/>
      <c r="Z70" s="197"/>
      <c r="AA70" s="197"/>
      <c r="AB70" s="197"/>
      <c r="AC70" s="197"/>
      <c r="AD70" s="197"/>
      <c r="AE70" s="197"/>
      <c r="AF70" s="197"/>
      <c r="AG70" s="197"/>
      <c r="AH70" s="197"/>
      <c r="AI70" s="197"/>
      <c r="AJ70" s="197"/>
      <c r="AK70" s="197"/>
      <c r="AL70" s="197"/>
      <c r="AM70" s="197"/>
      <c r="AN70" s="197"/>
      <c r="AO70" s="197"/>
      <c r="AP70" s="197"/>
      <c r="AQ70" s="197"/>
      <c r="AR70" s="197"/>
      <c r="AS70" s="197"/>
      <c r="AT70" s="197"/>
      <c r="AU70" s="197"/>
      <c r="AV70" s="197"/>
      <c r="AW70" s="197"/>
      <c r="AX70" s="197"/>
      <c r="AY70" s="197"/>
      <c r="AZ70" s="197"/>
      <c r="BA70" s="197"/>
      <c r="BB70" s="197"/>
      <c r="BC70" s="197"/>
      <c r="BD70" s="197"/>
      <c r="BE70" s="197"/>
      <c r="BF70" s="197"/>
      <c r="BG70" s="197"/>
      <c r="BH70" s="197"/>
      <c r="BI70" s="197"/>
      <c r="BJ70" s="197"/>
      <c r="BK70" s="197"/>
      <c r="BL70" s="197"/>
      <c r="BM70" s="197"/>
      <c r="BN70" s="197"/>
      <c r="BO70" s="197"/>
      <c r="BP70" s="197"/>
      <c r="BQ70" s="197"/>
      <c r="BR70" s="197"/>
      <c r="BS70" s="197"/>
      <c r="BT70" s="197"/>
    </row>
    <row r="71" spans="1:72" s="350" customFormat="1" ht="15.75" customHeight="1" x14ac:dyDescent="0.2">
      <c r="A71" s="368"/>
      <c r="B71" s="369"/>
      <c r="C71" s="373"/>
      <c r="D71" s="356"/>
      <c r="E71" s="357"/>
      <c r="F71" s="371"/>
      <c r="G71" s="371"/>
      <c r="H71" s="349"/>
      <c r="I71" s="349"/>
      <c r="J71" s="349"/>
      <c r="K71" s="349"/>
      <c r="L71" s="349"/>
      <c r="M71" s="349"/>
      <c r="N71" s="349"/>
      <c r="O71" s="349"/>
      <c r="P71" s="349"/>
      <c r="Q71" s="349"/>
      <c r="R71" s="349"/>
      <c r="S71" s="349"/>
      <c r="T71" s="349"/>
      <c r="U71" s="349"/>
      <c r="V71" s="349"/>
      <c r="W71" s="349"/>
      <c r="X71" s="349"/>
      <c r="Y71" s="349"/>
      <c r="Z71" s="349"/>
      <c r="AA71" s="349"/>
      <c r="AB71" s="349"/>
      <c r="AC71" s="349"/>
      <c r="AD71" s="349"/>
      <c r="AE71" s="349"/>
      <c r="AF71" s="349"/>
      <c r="AG71" s="349"/>
      <c r="AH71" s="349"/>
      <c r="AI71" s="349"/>
      <c r="AJ71" s="349"/>
      <c r="AK71" s="349"/>
      <c r="AL71" s="349"/>
      <c r="AM71" s="349"/>
      <c r="AN71" s="349"/>
      <c r="AO71" s="349"/>
      <c r="AP71" s="349"/>
      <c r="AQ71" s="349"/>
      <c r="AR71" s="349"/>
      <c r="AS71" s="349"/>
      <c r="AT71" s="349"/>
      <c r="AU71" s="349"/>
      <c r="AV71" s="349"/>
      <c r="AW71" s="349"/>
      <c r="AX71" s="349"/>
      <c r="AY71" s="349"/>
      <c r="AZ71" s="349"/>
      <c r="BA71" s="349"/>
      <c r="BB71" s="349"/>
      <c r="BC71" s="349"/>
      <c r="BD71" s="349"/>
      <c r="BE71" s="349"/>
      <c r="BF71" s="349"/>
      <c r="BG71" s="349"/>
      <c r="BH71" s="349"/>
      <c r="BI71" s="349"/>
      <c r="BJ71" s="349"/>
      <c r="BK71" s="349"/>
      <c r="BL71" s="349"/>
      <c r="BM71" s="349"/>
      <c r="BN71" s="349"/>
      <c r="BO71" s="349"/>
      <c r="BP71" s="349"/>
      <c r="BQ71" s="349"/>
      <c r="BR71" s="349"/>
      <c r="BS71" s="349"/>
      <c r="BT71" s="349"/>
    </row>
    <row r="72" spans="1:72" s="350" customFormat="1" ht="27" customHeight="1" x14ac:dyDescent="0.2">
      <c r="A72" s="454"/>
      <c r="B72" s="455" t="s">
        <v>166</v>
      </c>
      <c r="C72" s="456"/>
      <c r="D72" s="457"/>
      <c r="E72" s="458"/>
      <c r="F72" s="458">
        <f>SUM(F12,F18,F26,F36,F49,F57,F66)</f>
        <v>1463741.3599999999</v>
      </c>
      <c r="G72" s="458">
        <f>SUM(G13,G19,G27,G37,G50,G58,G67)</f>
        <v>1463741.3599999999</v>
      </c>
      <c r="H72" s="349"/>
      <c r="I72" s="349"/>
      <c r="J72" s="349"/>
      <c r="K72" s="349"/>
      <c r="L72" s="349"/>
      <c r="M72" s="349"/>
      <c r="N72" s="349"/>
      <c r="O72" s="349"/>
      <c r="P72" s="349"/>
      <c r="Q72" s="349"/>
      <c r="R72" s="349"/>
      <c r="S72" s="349"/>
      <c r="T72" s="349"/>
      <c r="U72" s="349"/>
      <c r="V72" s="349"/>
      <c r="W72" s="349"/>
      <c r="X72" s="349"/>
      <c r="Y72" s="349"/>
      <c r="Z72" s="349"/>
      <c r="AA72" s="349"/>
      <c r="AB72" s="349"/>
      <c r="AC72" s="349"/>
      <c r="AD72" s="349"/>
      <c r="AE72" s="349"/>
      <c r="AF72" s="349"/>
      <c r="AG72" s="349"/>
      <c r="AH72" s="349"/>
      <c r="AI72" s="349"/>
      <c r="AJ72" s="349"/>
      <c r="AK72" s="349"/>
      <c r="AL72" s="349"/>
      <c r="AM72" s="349"/>
      <c r="AN72" s="349"/>
      <c r="AO72" s="349"/>
      <c r="AP72" s="349"/>
      <c r="AQ72" s="349"/>
      <c r="AR72" s="349"/>
      <c r="AS72" s="349"/>
      <c r="AT72" s="349"/>
      <c r="AU72" s="349"/>
      <c r="AV72" s="349"/>
      <c r="AW72" s="349"/>
      <c r="AX72" s="349"/>
      <c r="AY72" s="349"/>
      <c r="AZ72" s="349"/>
      <c r="BA72" s="349"/>
      <c r="BB72" s="349"/>
      <c r="BC72" s="349"/>
      <c r="BD72" s="349"/>
      <c r="BE72" s="349"/>
      <c r="BF72" s="349"/>
      <c r="BG72" s="349"/>
      <c r="BH72" s="349"/>
      <c r="BI72" s="349"/>
      <c r="BJ72" s="349"/>
      <c r="BK72" s="349"/>
      <c r="BL72" s="349"/>
      <c r="BM72" s="349"/>
      <c r="BN72" s="349"/>
      <c r="BO72" s="349"/>
      <c r="BP72" s="349"/>
      <c r="BQ72" s="349"/>
      <c r="BR72" s="349"/>
      <c r="BS72" s="349"/>
      <c r="BT72" s="349"/>
    </row>
    <row r="74" spans="1:72" x14ac:dyDescent="0.25">
      <c r="A74" s="459"/>
      <c r="I74" s="199"/>
    </row>
    <row r="75" spans="1:72" x14ac:dyDescent="0.25">
      <c r="G75" s="199"/>
    </row>
  </sheetData>
  <pageMargins left="0.31496062992125984" right="0.31496062992125984" top="0.74803149606299213" bottom="0.74803149606299213" header="0.31496062992125984" footer="0.31496062992125984"/>
  <pageSetup paperSize="9" orientation="portrait" r:id="rId1"/>
  <headerFooter>
    <oddFooter>&amp;C&amp;"Arial,Pogrubiony"&amp;8&amp;P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6</vt:i4>
      </vt:variant>
      <vt:variant>
        <vt:lpstr>Nazwane zakresy</vt:lpstr>
      </vt:variant>
      <vt:variant>
        <vt:i4>5</vt:i4>
      </vt:variant>
    </vt:vector>
  </HeadingPairs>
  <TitlesOfParts>
    <vt:vector size="11" baseType="lpstr">
      <vt:lpstr>Zał.Nr1</vt:lpstr>
      <vt:lpstr>Zał.Nr2</vt:lpstr>
      <vt:lpstr>Zał.Nr3</vt:lpstr>
      <vt:lpstr>Zał.Nr4</vt:lpstr>
      <vt:lpstr>Zał.Nr5 </vt:lpstr>
      <vt:lpstr>Zał.Nr6</vt:lpstr>
      <vt:lpstr>Zał.Nr2!Obszar_wydruku</vt:lpstr>
      <vt:lpstr>Zał.Nr1!Tytuły_wydruku</vt:lpstr>
      <vt:lpstr>Zał.Nr2!Tytuły_wydruku</vt:lpstr>
      <vt:lpstr>Zał.Nr4!Tytuły_wydruku</vt:lpstr>
      <vt:lpstr>Zał.Nr6!Tytuły_wydruku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Załącznik do Zarządzenia nr 215/2022 Prezydenta Miasta z dn. 31 mja 2022 r. </dc:title>
  <dc:creator>Beata Duszeńska</dc:creator>
  <cp:keywords>Załącznik do Zarządzenia Prezydenta Miasta </cp:keywords>
  <cp:lastModifiedBy>Karolina Budziszewska</cp:lastModifiedBy>
  <cp:lastPrinted>2022-06-07T05:55:32Z</cp:lastPrinted>
  <dcterms:created xsi:type="dcterms:W3CDTF">2014-03-20T12:20:20Z</dcterms:created>
  <dcterms:modified xsi:type="dcterms:W3CDTF">2022-06-07T10:38:54Z</dcterms:modified>
</cp:coreProperties>
</file>