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BF7715DB-14F7-43CB-AB76-7F2317AE6F35}" xr6:coauthVersionLast="45" xr6:coauthVersionMax="47" xr10:uidLastSave="{00000000-0000-0000-0000-000000000000}"/>
  <bookViews>
    <workbookView xWindow="-120" yWindow="-120" windowWidth="29040" windowHeight="15840" xr2:uid="{6C5A9CD7-46CA-486E-A526-1CFCFC07422B}"/>
  </bookViews>
  <sheets>
    <sheet name="Zał.Nr1" sheetId="2" r:id="rId1"/>
    <sheet name="Zał.Nr2" sheetId="3" r:id="rId2"/>
    <sheet name="Zał.Nr3" sheetId="4" r:id="rId3"/>
    <sheet name="Zał.Nr4" sheetId="5" r:id="rId4"/>
    <sheet name="Zał.Nr5" sheetId="6" r:id="rId5"/>
    <sheet name="Zał.Nr6" sheetId="7" r:id="rId6"/>
    <sheet name="Zał.Nr7" sheetId="8" r:id="rId7"/>
    <sheet name="Zał.Nr8" sheetId="9" r:id="rId8"/>
  </sheets>
  <definedNames>
    <definedName name="_xlnm._FilterDatabase" localSheetId="1" hidden="1">Zał.Nr2!$M$1:$M$25</definedName>
    <definedName name="_xlnm.Print_Area" localSheetId="1">Zał.Nr2!$A$1:$M$26</definedName>
    <definedName name="_xlnm.Print_Titles" localSheetId="0">Zał.Nr1!$7:$9</definedName>
    <definedName name="_xlnm.Print_Titles" localSheetId="1">Zał.Nr2!$11:$18</definedName>
    <definedName name="_xlnm.Print_Titles" localSheetId="5">Zał.Nr6!$10:$11</definedName>
    <definedName name="_xlnm.Print_Titles" localSheetId="7">Zał.Nr8!$10:$11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9" l="1"/>
  <c r="G72" i="9" s="1"/>
  <c r="G69" i="9"/>
  <c r="G68" i="9"/>
  <c r="G66" i="9"/>
  <c r="F65" i="9"/>
  <c r="G63" i="9"/>
  <c r="G62" i="9"/>
  <c r="G61" i="9"/>
  <c r="G60" i="9"/>
  <c r="G59" i="9" s="1"/>
  <c r="G57" i="9" s="1"/>
  <c r="F56" i="9"/>
  <c r="G54" i="9"/>
  <c r="G53" i="9"/>
  <c r="G52" i="9"/>
  <c r="G51" i="9"/>
  <c r="G49" i="9" s="1"/>
  <c r="F48" i="9"/>
  <c r="G46" i="9"/>
  <c r="G45" i="9"/>
  <c r="G44" i="9"/>
  <c r="G43" i="9"/>
  <c r="G42" i="9"/>
  <c r="G41" i="9"/>
  <c r="G40" i="9" s="1"/>
  <c r="G38" i="9" s="1"/>
  <c r="F37" i="9"/>
  <c r="G35" i="9"/>
  <c r="G34" i="9"/>
  <c r="G33" i="9"/>
  <c r="G32" i="9"/>
  <c r="G31" i="9"/>
  <c r="G30" i="9" s="1"/>
  <c r="G28" i="9" s="1"/>
  <c r="F27" i="9"/>
  <c r="G24" i="9"/>
  <c r="G22" i="9" s="1"/>
  <c r="G20" i="9" s="1"/>
  <c r="G23" i="9"/>
  <c r="F19" i="9"/>
  <c r="G17" i="9"/>
  <c r="G15" i="9"/>
  <c r="G13" i="9" s="1"/>
  <c r="G77" i="9" s="1"/>
  <c r="F12" i="9"/>
  <c r="F77" i="9" s="1"/>
  <c r="G33" i="8" l="1"/>
  <c r="F33" i="8"/>
  <c r="E33" i="8"/>
  <c r="D33" i="8"/>
  <c r="E26" i="7"/>
  <c r="E31" i="7"/>
  <c r="E34" i="7"/>
  <c r="E38" i="7"/>
  <c r="E39" i="7"/>
  <c r="E45" i="7"/>
  <c r="E81" i="7"/>
  <c r="E127" i="7"/>
  <c r="E134" i="7"/>
  <c r="E139" i="7"/>
  <c r="E141" i="7"/>
  <c r="E153" i="7"/>
  <c r="E158" i="7"/>
  <c r="E159" i="7"/>
  <c r="E29" i="6"/>
  <c r="E31" i="6"/>
  <c r="E35" i="6"/>
  <c r="E37" i="6"/>
  <c r="E43" i="6" s="1"/>
  <c r="E44" i="6" s="1"/>
  <c r="E39" i="6"/>
  <c r="E41" i="6"/>
  <c r="I21" i="5"/>
  <c r="G21" i="5"/>
  <c r="E20" i="5"/>
  <c r="E19" i="5"/>
  <c r="H18" i="5"/>
  <c r="H21" i="5" s="1"/>
  <c r="G18" i="5"/>
  <c r="F18" i="5"/>
  <c r="E18" i="5" s="1"/>
  <c r="E21" i="5" s="1"/>
  <c r="D18" i="5"/>
  <c r="E17" i="5"/>
  <c r="F16" i="5"/>
  <c r="E16" i="5"/>
  <c r="D16" i="5"/>
  <c r="G15" i="5"/>
  <c r="F15" i="5"/>
  <c r="F21" i="5" s="1"/>
  <c r="E15" i="5"/>
  <c r="D15" i="5"/>
  <c r="D21" i="5" s="1"/>
  <c r="E14" i="5"/>
  <c r="H368" i="2" l="1"/>
  <c r="H367" i="2"/>
  <c r="H366" i="2"/>
  <c r="H365" i="2"/>
  <c r="H364" i="2"/>
  <c r="G364" i="2"/>
  <c r="F364" i="2"/>
  <c r="F363" i="2" s="1"/>
  <c r="F361" i="2" s="1"/>
  <c r="H361" i="2" s="1"/>
  <c r="H363" i="2"/>
  <c r="G363" i="2"/>
  <c r="G361" i="2"/>
  <c r="H360" i="2"/>
  <c r="H359" i="2"/>
  <c r="H358" i="2"/>
  <c r="H357" i="2"/>
  <c r="G357" i="2"/>
  <c r="F357" i="2"/>
  <c r="F356" i="2" s="1"/>
  <c r="H356" i="2" s="1"/>
  <c r="G356" i="2"/>
  <c r="G355" i="2"/>
  <c r="G353" i="2" s="1"/>
  <c r="F355" i="2"/>
  <c r="H355" i="2" s="1"/>
  <c r="H352" i="2"/>
  <c r="H351" i="2"/>
  <c r="H350" i="2"/>
  <c r="H349" i="2"/>
  <c r="H348" i="2"/>
  <c r="G347" i="2"/>
  <c r="G346" i="2" s="1"/>
  <c r="F347" i="2"/>
  <c r="F346" i="2"/>
  <c r="H345" i="2"/>
  <c r="H344" i="2"/>
  <c r="G343" i="2"/>
  <c r="G342" i="2" s="1"/>
  <c r="F343" i="2"/>
  <c r="H343" i="2" s="1"/>
  <c r="H341" i="2"/>
  <c r="H340" i="2"/>
  <c r="H339" i="2"/>
  <c r="H338" i="2"/>
  <c r="H337" i="2"/>
  <c r="G337" i="2"/>
  <c r="F337" i="2"/>
  <c r="F336" i="2" s="1"/>
  <c r="H336" i="2" s="1"/>
  <c r="G336" i="2"/>
  <c r="G335" i="2" s="1"/>
  <c r="H334" i="2"/>
  <c r="H333" i="2"/>
  <c r="H332" i="2"/>
  <c r="H331" i="2"/>
  <c r="G330" i="2"/>
  <c r="G329" i="2" s="1"/>
  <c r="G328" i="2" s="1"/>
  <c r="F330" i="2"/>
  <c r="H330" i="2" s="1"/>
  <c r="H326" i="2"/>
  <c r="H325" i="2"/>
  <c r="H324" i="2"/>
  <c r="G323" i="2"/>
  <c r="G322" i="2" s="1"/>
  <c r="G321" i="2" s="1"/>
  <c r="F323" i="2"/>
  <c r="F322" i="2"/>
  <c r="H319" i="2"/>
  <c r="H318" i="2"/>
  <c r="G318" i="2"/>
  <c r="F318" i="2"/>
  <c r="F317" i="2" s="1"/>
  <c r="H317" i="2"/>
  <c r="G317" i="2"/>
  <c r="H316" i="2"/>
  <c r="G315" i="2"/>
  <c r="G314" i="2" s="1"/>
  <c r="G313" i="2" s="1"/>
  <c r="F315" i="2"/>
  <c r="F314" i="2"/>
  <c r="F313" i="2"/>
  <c r="H312" i="2"/>
  <c r="G311" i="2"/>
  <c r="F311" i="2"/>
  <c r="H311" i="2" s="1"/>
  <c r="H310" i="2"/>
  <c r="G309" i="2"/>
  <c r="F309" i="2"/>
  <c r="H309" i="2" s="1"/>
  <c r="H308" i="2"/>
  <c r="G307" i="2"/>
  <c r="G306" i="2" s="1"/>
  <c r="F307" i="2"/>
  <c r="G305" i="2"/>
  <c r="H304" i="2"/>
  <c r="H303" i="2"/>
  <c r="H302" i="2"/>
  <c r="G301" i="2"/>
  <c r="F301" i="2"/>
  <c r="H301" i="2" s="1"/>
  <c r="H300" i="2"/>
  <c r="H299" i="2"/>
  <c r="H298" i="2"/>
  <c r="H297" i="2"/>
  <c r="H296" i="2"/>
  <c r="H295" i="2"/>
  <c r="H294" i="2"/>
  <c r="H293" i="2"/>
  <c r="H292" i="2"/>
  <c r="G291" i="2"/>
  <c r="F291" i="2"/>
  <c r="H291" i="2" s="1"/>
  <c r="G290" i="2"/>
  <c r="H289" i="2"/>
  <c r="H288" i="2"/>
  <c r="G287" i="2"/>
  <c r="G286" i="2" s="1"/>
  <c r="G285" i="2" s="1"/>
  <c r="F287" i="2"/>
  <c r="F286" i="2"/>
  <c r="H284" i="2"/>
  <c r="H283" i="2"/>
  <c r="G282" i="2"/>
  <c r="G281" i="2" s="1"/>
  <c r="F282" i="2"/>
  <c r="H279" i="2"/>
  <c r="H278" i="2"/>
  <c r="G278" i="2"/>
  <c r="F278" i="2"/>
  <c r="F277" i="2" s="1"/>
  <c r="H277" i="2" s="1"/>
  <c r="G277" i="2"/>
  <c r="H275" i="2"/>
  <c r="H274" i="2"/>
  <c r="G274" i="2"/>
  <c r="G273" i="2" s="1"/>
  <c r="G272" i="2" s="1"/>
  <c r="F274" i="2"/>
  <c r="F273" i="2"/>
  <c r="H271" i="2"/>
  <c r="H270" i="2"/>
  <c r="G269" i="2"/>
  <c r="G268" i="2" s="1"/>
  <c r="G267" i="2" s="1"/>
  <c r="F269" i="2"/>
  <c r="F268" i="2"/>
  <c r="H266" i="2"/>
  <c r="H265" i="2"/>
  <c r="G264" i="2"/>
  <c r="G263" i="2" s="1"/>
  <c r="F264" i="2"/>
  <c r="H262" i="2"/>
  <c r="H261" i="2"/>
  <c r="G260" i="2"/>
  <c r="G258" i="2" s="1"/>
  <c r="F260" i="2"/>
  <c r="H256" i="2"/>
  <c r="H255" i="2"/>
  <c r="G255" i="2"/>
  <c r="F255" i="2"/>
  <c r="F254" i="2" s="1"/>
  <c r="H254" i="2"/>
  <c r="G254" i="2"/>
  <c r="H252" i="2"/>
  <c r="H251" i="2"/>
  <c r="H250" i="2"/>
  <c r="F249" i="2"/>
  <c r="H249" i="2" s="1"/>
  <c r="F248" i="2"/>
  <c r="H248" i="2" s="1"/>
  <c r="F247" i="2"/>
  <c r="H247" i="2" s="1"/>
  <c r="G246" i="2"/>
  <c r="G245" i="2"/>
  <c r="H244" i="2"/>
  <c r="H243" i="2"/>
  <c r="G242" i="2"/>
  <c r="G241" i="2" s="1"/>
  <c r="G240" i="2" s="1"/>
  <c r="F242" i="2"/>
  <c r="F241" i="2"/>
  <c r="H239" i="2"/>
  <c r="H238" i="2"/>
  <c r="H237" i="2"/>
  <c r="G237" i="2"/>
  <c r="F237" i="2"/>
  <c r="G236" i="2"/>
  <c r="G235" i="2" s="1"/>
  <c r="F236" i="2"/>
  <c r="H236" i="2" s="1"/>
  <c r="H234" i="2"/>
  <c r="G234" i="2"/>
  <c r="F234" i="2"/>
  <c r="F233" i="2"/>
  <c r="H233" i="2" s="1"/>
  <c r="F232" i="2"/>
  <c r="H232" i="2" s="1"/>
  <c r="H231" i="2"/>
  <c r="G231" i="2"/>
  <c r="F231" i="2"/>
  <c r="G230" i="2"/>
  <c r="G228" i="2" s="1"/>
  <c r="F230" i="2"/>
  <c r="F229" i="2"/>
  <c r="H229" i="2" s="1"/>
  <c r="H227" i="2"/>
  <c r="G226" i="2"/>
  <c r="F226" i="2"/>
  <c r="H225" i="2"/>
  <c r="H224" i="2"/>
  <c r="H223" i="2"/>
  <c r="H222" i="2"/>
  <c r="H221" i="2"/>
  <c r="H220" i="2"/>
  <c r="H219" i="2"/>
  <c r="H218" i="2"/>
  <c r="G218" i="2"/>
  <c r="F218" i="2"/>
  <c r="H216" i="2"/>
  <c r="H215" i="2"/>
  <c r="H214" i="2"/>
  <c r="G213" i="2"/>
  <c r="F213" i="2"/>
  <c r="H213" i="2" s="1"/>
  <c r="G212" i="2"/>
  <c r="F211" i="2"/>
  <c r="H211" i="2" s="1"/>
  <c r="F210" i="2"/>
  <c r="F209" i="2"/>
  <c r="H209" i="2" s="1"/>
  <c r="G208" i="2"/>
  <c r="H207" i="2"/>
  <c r="H206" i="2"/>
  <c r="G206" i="2"/>
  <c r="F206" i="2"/>
  <c r="G205" i="2"/>
  <c r="H197" i="2"/>
  <c r="H196" i="2"/>
  <c r="H195" i="2"/>
  <c r="H194" i="2"/>
  <c r="G194" i="2"/>
  <c r="F194" i="2"/>
  <c r="H193" i="2"/>
  <c r="H192" i="2"/>
  <c r="G192" i="2"/>
  <c r="F192" i="2"/>
  <c r="F191" i="2" s="1"/>
  <c r="G191" i="2"/>
  <c r="H191" i="2" s="1"/>
  <c r="H188" i="2"/>
  <c r="H187" i="2"/>
  <c r="H186" i="2"/>
  <c r="G185" i="2"/>
  <c r="G184" i="2" s="1"/>
  <c r="F185" i="2"/>
  <c r="H180" i="2"/>
  <c r="H179" i="2"/>
  <c r="H178" i="2"/>
  <c r="H177" i="2"/>
  <c r="H176" i="2"/>
  <c r="H175" i="2"/>
  <c r="G174" i="2"/>
  <c r="G173" i="2" s="1"/>
  <c r="F174" i="2"/>
  <c r="H172" i="2"/>
  <c r="H171" i="2"/>
  <c r="H170" i="2"/>
  <c r="G169" i="2"/>
  <c r="G168" i="2" s="1"/>
  <c r="F169" i="2"/>
  <c r="H169" i="2" s="1"/>
  <c r="H166" i="2"/>
  <c r="H165" i="2"/>
  <c r="H164" i="2"/>
  <c r="H163" i="2"/>
  <c r="H162" i="2"/>
  <c r="G162" i="2"/>
  <c r="F162" i="2"/>
  <c r="F161" i="2" s="1"/>
  <c r="H161" i="2" s="1"/>
  <c r="G161" i="2"/>
  <c r="H160" i="2"/>
  <c r="H159" i="2"/>
  <c r="H158" i="2"/>
  <c r="G157" i="2"/>
  <c r="G156" i="2" s="1"/>
  <c r="F157" i="2"/>
  <c r="H155" i="2"/>
  <c r="H154" i="2"/>
  <c r="H153" i="2"/>
  <c r="H152" i="2"/>
  <c r="G151" i="2"/>
  <c r="H151" i="2" s="1"/>
  <c r="F151" i="2"/>
  <c r="G150" i="2"/>
  <c r="F150" i="2"/>
  <c r="H149" i="2"/>
  <c r="H148" i="2"/>
  <c r="H147" i="2"/>
  <c r="H146" i="2"/>
  <c r="H145" i="2"/>
  <c r="G144" i="2"/>
  <c r="G143" i="2" s="1"/>
  <c r="F144" i="2"/>
  <c r="H144" i="2" s="1"/>
  <c r="H142" i="2"/>
  <c r="G141" i="2"/>
  <c r="F141" i="2"/>
  <c r="H141" i="2" s="1"/>
  <c r="H140" i="2"/>
  <c r="G139" i="2"/>
  <c r="G138" i="2" s="1"/>
  <c r="F139" i="2"/>
  <c r="H137" i="2"/>
  <c r="H136" i="2"/>
  <c r="H135" i="2"/>
  <c r="H134" i="2"/>
  <c r="H133" i="2"/>
  <c r="H132" i="2"/>
  <c r="G132" i="2"/>
  <c r="F132" i="2"/>
  <c r="F131" i="2" s="1"/>
  <c r="H131" i="2" s="1"/>
  <c r="G131" i="2"/>
  <c r="H130" i="2"/>
  <c r="H129" i="2"/>
  <c r="H128" i="2"/>
  <c r="G128" i="2"/>
  <c r="F128" i="2"/>
  <c r="F127" i="2" s="1"/>
  <c r="H127" i="2"/>
  <c r="G127" i="2"/>
  <c r="H126" i="2"/>
  <c r="H125" i="2"/>
  <c r="H124" i="2"/>
  <c r="G123" i="2"/>
  <c r="G122" i="2" s="1"/>
  <c r="F123" i="2"/>
  <c r="H121" i="2"/>
  <c r="H120" i="2"/>
  <c r="H119" i="2"/>
  <c r="H118" i="2"/>
  <c r="H117" i="2"/>
  <c r="H116" i="2"/>
  <c r="G115" i="2"/>
  <c r="G114" i="2" s="1"/>
  <c r="F115" i="2"/>
  <c r="H113" i="2"/>
  <c r="H112" i="2"/>
  <c r="H111" i="2"/>
  <c r="H110" i="2"/>
  <c r="H109" i="2"/>
  <c r="H108" i="2"/>
  <c r="G107" i="2"/>
  <c r="G106" i="2" s="1"/>
  <c r="F107" i="2"/>
  <c r="H105" i="2"/>
  <c r="H104" i="2"/>
  <c r="H103" i="2"/>
  <c r="H102" i="2"/>
  <c r="G101" i="2"/>
  <c r="G100" i="2" s="1"/>
  <c r="F101" i="2"/>
  <c r="F100" i="2"/>
  <c r="H99" i="2"/>
  <c r="H98" i="2"/>
  <c r="H97" i="2"/>
  <c r="H96" i="2"/>
  <c r="H95" i="2"/>
  <c r="G94" i="2"/>
  <c r="G93" i="2" s="1"/>
  <c r="F94" i="2"/>
  <c r="F93" i="2"/>
  <c r="H91" i="2"/>
  <c r="G90" i="2"/>
  <c r="H90" i="2" s="1"/>
  <c r="G89" i="2"/>
  <c r="G88" i="2" s="1"/>
  <c r="G87" i="2" s="1"/>
  <c r="F89" i="2"/>
  <c r="F88" i="2"/>
  <c r="F87" i="2"/>
  <c r="H86" i="2"/>
  <c r="H85" i="2"/>
  <c r="H84" i="2"/>
  <c r="H83" i="2"/>
  <c r="G83" i="2"/>
  <c r="F83" i="2"/>
  <c r="H82" i="2"/>
  <c r="H81" i="2"/>
  <c r="H80" i="2"/>
  <c r="G79" i="2"/>
  <c r="G78" i="2" s="1"/>
  <c r="F79" i="2"/>
  <c r="G77" i="2"/>
  <c r="H76" i="2"/>
  <c r="H75" i="2"/>
  <c r="G75" i="2"/>
  <c r="F75" i="2"/>
  <c r="G74" i="2"/>
  <c r="F74" i="2"/>
  <c r="H74" i="2" s="1"/>
  <c r="H73" i="2"/>
  <c r="G72" i="2"/>
  <c r="G71" i="2" s="1"/>
  <c r="F72" i="2"/>
  <c r="H72" i="2" s="1"/>
  <c r="F71" i="2"/>
  <c r="H69" i="2"/>
  <c r="H68" i="2"/>
  <c r="H67" i="2"/>
  <c r="H66" i="2"/>
  <c r="G65" i="2"/>
  <c r="G64" i="2" s="1"/>
  <c r="G46" i="2" s="1"/>
  <c r="F65" i="2"/>
  <c r="F64" i="2"/>
  <c r="H63" i="2"/>
  <c r="H62" i="2"/>
  <c r="H61" i="2"/>
  <c r="H60" i="2"/>
  <c r="G59" i="2"/>
  <c r="G58" i="2" s="1"/>
  <c r="F59" i="2"/>
  <c r="H57" i="2"/>
  <c r="H56" i="2"/>
  <c r="G56" i="2"/>
  <c r="F56" i="2"/>
  <c r="F55" i="2" s="1"/>
  <c r="G55" i="2"/>
  <c r="H55" i="2" s="1"/>
  <c r="H54" i="2"/>
  <c r="H53" i="2"/>
  <c r="H52" i="2"/>
  <c r="H51" i="2"/>
  <c r="H50" i="2"/>
  <c r="H49" i="2"/>
  <c r="G48" i="2"/>
  <c r="F48" i="2"/>
  <c r="H48" i="2" s="1"/>
  <c r="G47" i="2"/>
  <c r="F47" i="2"/>
  <c r="H47" i="2" s="1"/>
  <c r="H43" i="2"/>
  <c r="G42" i="2"/>
  <c r="G41" i="2" s="1"/>
  <c r="G40" i="2" s="1"/>
  <c r="F42" i="2"/>
  <c r="H42" i="2" s="1"/>
  <c r="F41" i="2"/>
  <c r="H39" i="2"/>
  <c r="F39" i="2"/>
  <c r="G38" i="2"/>
  <c r="G37" i="2" s="1"/>
  <c r="G36" i="2" s="1"/>
  <c r="F38" i="2"/>
  <c r="H38" i="2" s="1"/>
  <c r="H34" i="2"/>
  <c r="H33" i="2"/>
  <c r="G33" i="2"/>
  <c r="F33" i="2"/>
  <c r="G32" i="2"/>
  <c r="G31" i="2" s="1"/>
  <c r="F32" i="2"/>
  <c r="H32" i="2" s="1"/>
  <c r="F31" i="2"/>
  <c r="H29" i="2"/>
  <c r="G28" i="2"/>
  <c r="G27" i="2" s="1"/>
  <c r="F28" i="2"/>
  <c r="H28" i="2" s="1"/>
  <c r="H26" i="2"/>
  <c r="H25" i="2"/>
  <c r="G25" i="2"/>
  <c r="F25" i="2"/>
  <c r="F24" i="2" s="1"/>
  <c r="G24" i="2"/>
  <c r="H22" i="2"/>
  <c r="H21" i="2"/>
  <c r="G21" i="2"/>
  <c r="F21" i="2"/>
  <c r="G20" i="2"/>
  <c r="F20" i="2"/>
  <c r="H20" i="2" s="1"/>
  <c r="H19" i="2"/>
  <c r="G18" i="2"/>
  <c r="G17" i="2" s="1"/>
  <c r="F18" i="2"/>
  <c r="H18" i="2" s="1"/>
  <c r="F17" i="2"/>
  <c r="H17" i="2" s="1"/>
  <c r="H15" i="2"/>
  <c r="F15" i="2"/>
  <c r="G14" i="2"/>
  <c r="G13" i="2" s="1"/>
  <c r="G12" i="2" s="1"/>
  <c r="F14" i="2"/>
  <c r="H14" i="2" s="1"/>
  <c r="F13" i="2"/>
  <c r="H13" i="2" s="1"/>
  <c r="H24" i="2" l="1"/>
  <c r="G30" i="2"/>
  <c r="H41" i="2"/>
  <c r="G16" i="2"/>
  <c r="G11" i="2" s="1"/>
  <c r="G10" i="2" s="1"/>
  <c r="H31" i="2"/>
  <c r="H87" i="2"/>
  <c r="H107" i="2"/>
  <c r="F106" i="2"/>
  <c r="H286" i="2"/>
  <c r="H313" i="2"/>
  <c r="H322" i="2"/>
  <c r="F321" i="2"/>
  <c r="F27" i="2"/>
  <c r="H27" i="2" s="1"/>
  <c r="F37" i="2"/>
  <c r="F40" i="2"/>
  <c r="H40" i="2" s="1"/>
  <c r="H79" i="2"/>
  <c r="F78" i="2"/>
  <c r="H88" i="2"/>
  <c r="H89" i="2"/>
  <c r="H115" i="2"/>
  <c r="F114" i="2"/>
  <c r="H114" i="2" s="1"/>
  <c r="H139" i="2"/>
  <c r="F138" i="2"/>
  <c r="H138" i="2" s="1"/>
  <c r="H157" i="2"/>
  <c r="F156" i="2"/>
  <c r="H156" i="2" s="1"/>
  <c r="H226" i="2"/>
  <c r="H241" i="2"/>
  <c r="H242" i="2"/>
  <c r="H269" i="2"/>
  <c r="H287" i="2"/>
  <c r="F290" i="2"/>
  <c r="H314" i="2"/>
  <c r="H315" i="2"/>
  <c r="H323" i="2"/>
  <c r="F342" i="2"/>
  <c r="H342" i="2" s="1"/>
  <c r="G92" i="2"/>
  <c r="G45" i="2" s="1"/>
  <c r="G44" i="2" s="1"/>
  <c r="H268" i="2"/>
  <c r="F267" i="2"/>
  <c r="H267" i="2" s="1"/>
  <c r="F12" i="2"/>
  <c r="H64" i="2"/>
  <c r="H65" i="2"/>
  <c r="G70" i="2"/>
  <c r="H93" i="2"/>
  <c r="H100" i="2"/>
  <c r="H101" i="2"/>
  <c r="H123" i="2"/>
  <c r="F122" i="2"/>
  <c r="H122" i="2" s="1"/>
  <c r="H174" i="2"/>
  <c r="F173" i="2"/>
  <c r="H173" i="2" s="1"/>
  <c r="H210" i="2"/>
  <c r="H260" i="2"/>
  <c r="F258" i="2"/>
  <c r="H258" i="2" s="1"/>
  <c r="H273" i="2"/>
  <c r="G320" i="2"/>
  <c r="F335" i="2"/>
  <c r="H346" i="2"/>
  <c r="F353" i="2"/>
  <c r="H59" i="2"/>
  <c r="F58" i="2"/>
  <c r="H58" i="2" s="1"/>
  <c r="H71" i="2"/>
  <c r="F70" i="2"/>
  <c r="H70" i="2" s="1"/>
  <c r="H230" i="2"/>
  <c r="F228" i="2"/>
  <c r="H94" i="2"/>
  <c r="F143" i="2"/>
  <c r="H143" i="2" s="1"/>
  <c r="H150" i="2"/>
  <c r="F168" i="2"/>
  <c r="H168" i="2" s="1"/>
  <c r="H185" i="2"/>
  <c r="F184" i="2"/>
  <c r="H184" i="2" s="1"/>
  <c r="F235" i="2"/>
  <c r="H235" i="2" s="1"/>
  <c r="H264" i="2"/>
  <c r="F263" i="2"/>
  <c r="H263" i="2" s="1"/>
  <c r="H282" i="2"/>
  <c r="F281" i="2"/>
  <c r="H281" i="2" s="1"/>
  <c r="H307" i="2"/>
  <c r="F306" i="2"/>
  <c r="F329" i="2"/>
  <c r="H347" i="2"/>
  <c r="F208" i="2"/>
  <c r="F246" i="2"/>
  <c r="H208" i="2" l="1"/>
  <c r="F205" i="2"/>
  <c r="H205" i="2" s="1"/>
  <c r="F46" i="2"/>
  <c r="H37" i="2"/>
  <c r="F36" i="2"/>
  <c r="H106" i="2"/>
  <c r="F92" i="2"/>
  <c r="H228" i="2"/>
  <c r="F212" i="2"/>
  <c r="H335" i="2"/>
  <c r="H329" i="2"/>
  <c r="F328" i="2"/>
  <c r="H328" i="2" s="1"/>
  <c r="H12" i="2"/>
  <c r="H290" i="2"/>
  <c r="F77" i="2"/>
  <c r="H77" i="2" s="1"/>
  <c r="H78" i="2"/>
  <c r="F285" i="2"/>
  <c r="H285" i="2" s="1"/>
  <c r="F272" i="2"/>
  <c r="H272" i="2" s="1"/>
  <c r="F16" i="2"/>
  <c r="H246" i="2"/>
  <c r="F245" i="2"/>
  <c r="F305" i="2"/>
  <c r="H305" i="2" s="1"/>
  <c r="H306" i="2"/>
  <c r="H353" i="2"/>
  <c r="F320" i="2"/>
  <c r="H321" i="2"/>
  <c r="H16" i="2" l="1"/>
  <c r="H92" i="2"/>
  <c r="H212" i="2"/>
  <c r="H46" i="2"/>
  <c r="F45" i="2"/>
  <c r="H320" i="2"/>
  <c r="H245" i="2"/>
  <c r="F240" i="2"/>
  <c r="F30" i="2"/>
  <c r="H36" i="2"/>
  <c r="F11" i="2"/>
  <c r="H30" i="2" l="1"/>
  <c r="H240" i="2"/>
  <c r="H11" i="2"/>
  <c r="F10" i="2"/>
  <c r="H45" i="2"/>
  <c r="F44" i="2"/>
  <c r="H10" i="2" l="1"/>
  <c r="H44" i="2"/>
</calcChain>
</file>

<file path=xl/sharedStrings.xml><?xml version="1.0" encoding="utf-8"?>
<sst xmlns="http://schemas.openxmlformats.org/spreadsheetml/2006/main" count="910" uniqueCount="467">
  <si>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</si>
  <si>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</si>
  <si>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</si>
  <si>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</si>
  <si>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</si>
  <si>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</si>
  <si>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</si>
  <si>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</si>
  <si>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</si>
  <si>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</si>
  <si>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</si>
  <si>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</si>
  <si>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</si>
  <si>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</si>
  <si>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</si>
  <si>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Różne rozliczenia</t>
  </si>
  <si>
    <t>75814</t>
  </si>
  <si>
    <t>Różne rozliczenia finansowe</t>
  </si>
  <si>
    <t>Organ - Fundusz Pomocy (realizacja dodatkowych zadań oświatowych)</t>
  </si>
  <si>
    <t>2700</t>
  </si>
  <si>
    <t>środki na dofinansowanie własnych zadań bieżących gmin, powiatów (związków gmin, związków powiatowo - gminnych, związków powiatów), samorządów województw pozyskane z innych źródeł</t>
  </si>
  <si>
    <t>Pomoc społeczna</t>
  </si>
  <si>
    <t>Domy pomocy społecznej</t>
  </si>
  <si>
    <t>Organ</t>
  </si>
  <si>
    <t>2130</t>
  </si>
  <si>
    <t>dotacje celowe otrzymane z budżetu państwa na realizację bieżących zadań własnych powiatu</t>
  </si>
  <si>
    <t>Zadania w zakresie przeciwdziałania przemocy w rodzinie</t>
  </si>
  <si>
    <t>2020</t>
  </si>
  <si>
    <t>dotacje celowe otrzymane z budżetu państwa na zadania bieżące realizowane przez gminę na podstawie porozumień z organami administracji rządowej</t>
  </si>
  <si>
    <t xml:space="preserve">Zasiłki okresowe, celowe i pomoc w naturze oraz składki </t>
  </si>
  <si>
    <t>na ubezpieczenia emerytalne i rentowe</t>
  </si>
  <si>
    <t>2030</t>
  </si>
  <si>
    <t>dotacje celowe otrzymane z budżetu państwa na realizację własnych zadań bieżących gmin (związków gmin, związków powiatowo-gminnych)</t>
  </si>
  <si>
    <t>Pomoc w zakresie dożywiania</t>
  </si>
  <si>
    <t>Dochody na zadania zlecone:</t>
  </si>
  <si>
    <t>Administracja publiczna</t>
  </si>
  <si>
    <t>Urzędy wojewódzkie</t>
  </si>
  <si>
    <t>Organ - Fundusz Pomocy (nadanie numeru PESEL)</t>
  </si>
  <si>
    <t xml:space="preserve">Bezpieczeństwo publiczne i ochrona </t>
  </si>
  <si>
    <t>przeciwpożarowa</t>
  </si>
  <si>
    <t>Pozostała działalność</t>
  </si>
  <si>
    <t>Organ - Fundusz Pomocy (świadczenie pieniężne - 40 zł za osobę dziennie)</t>
  </si>
  <si>
    <t>0970</t>
  </si>
  <si>
    <t>wpływy z różnych dochodów</t>
  </si>
  <si>
    <t>Ośrodki pomocy społecznej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</si>
  <si>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</si>
  <si>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</si>
  <si>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OGÓŁEM:</t>
  </si>
  <si>
    <t>Wydatki na zadania własne:</t>
  </si>
  <si>
    <t>Transport i łączność</t>
  </si>
  <si>
    <t>Drogi publiczne w miastach na prawach powiatu</t>
  </si>
  <si>
    <t>Miejski Zarząd Infrastruktury Drogowej i Transportu</t>
  </si>
  <si>
    <t>4210</t>
  </si>
  <si>
    <t>zakup materiałów i wyposażenia</t>
  </si>
  <si>
    <t>zakup energii</t>
  </si>
  <si>
    <t>zakup usług pozostałych</t>
  </si>
  <si>
    <t>opłaty z tytułu zakupu usług telekomunikacyjnych</t>
  </si>
  <si>
    <t xml:space="preserve">różne opłaty i składki </t>
  </si>
  <si>
    <t>kary i odszkodowania wypłacane na rzecz osób prawnych i innych jednostek organizacyjnych</t>
  </si>
  <si>
    <t>Płatne parkowanie</t>
  </si>
  <si>
    <t>Funkcjonowanie dworców i węzłów przesiadkowych</t>
  </si>
  <si>
    <t>60095</t>
  </si>
  <si>
    <t>podróże służbowe krajowe</t>
  </si>
  <si>
    <t xml:space="preserve">szkolenia pracowników  niebędących członkami korpusu służby cywilnej </t>
  </si>
  <si>
    <t>wpłaty na PPK finansowane przez podmiot zatrudniający</t>
  </si>
  <si>
    <t>Gospodarka mieszkaniowa</t>
  </si>
  <si>
    <t>Gospodarka gruntami i nieruchomościami</t>
  </si>
  <si>
    <t>Wydział Gospodarowania Mieniem Komunalnym</t>
  </si>
  <si>
    <t>Gospodarowanie mieszkaniowym zasobem gminy</t>
  </si>
  <si>
    <t>koszty postępowania sądowego i prokuratorskiego</t>
  </si>
  <si>
    <t>75095</t>
  </si>
  <si>
    <t>Wydział Rewitalizacji - projekt pn. "Latarnicy społeczni obszaru rewitalizacji"</t>
  </si>
  <si>
    <t>stypendia różne</t>
  </si>
  <si>
    <t>wynagrodzenia bezosobowe</t>
  </si>
  <si>
    <t>Włocławskie Centrum Organizacji Pozarządowych i Wolontariatu - projekt pn. "Latarnicy społeczni obszaru rewitalizacji"</t>
  </si>
  <si>
    <t>wynagrodzenia osobowe pracowników</t>
  </si>
  <si>
    <t>składki na ubezpieczenia społeczne</t>
  </si>
  <si>
    <t>składki na Fundusz Pracy oraz Fundusz Solidarnościowy</t>
  </si>
  <si>
    <t>Rezerwy ogólne i celowe</t>
  </si>
  <si>
    <t>4810</t>
  </si>
  <si>
    <t xml:space="preserve">rezerwy </t>
  </si>
  <si>
    <t xml:space="preserve"> - rezerwa ogólna</t>
  </si>
  <si>
    <t xml:space="preserve"> - rezerwa celowa</t>
  </si>
  <si>
    <t>Oświata i wychowanie</t>
  </si>
  <si>
    <t>Szkoły podstawowe</t>
  </si>
  <si>
    <t>Jednostki oświatowe zbiorczo</t>
  </si>
  <si>
    <t>wydatki osobowe niezaliczone do wynagrodzeń</t>
  </si>
  <si>
    <t>dodatkowe wynagrodzenie roczne</t>
  </si>
  <si>
    <t>Szkoły podstawowe specjalne</t>
  </si>
  <si>
    <t>dodatkowe wynagrodzenie roczne nauczycieli</t>
  </si>
  <si>
    <t>Przedszkola</t>
  </si>
  <si>
    <t xml:space="preserve">składki na ubezpieczenia społeczne </t>
  </si>
  <si>
    <t xml:space="preserve">składki na Fundusz Pracy oraz Fundusz Solidarnościowy </t>
  </si>
  <si>
    <t>Przedszkola specjalne</t>
  </si>
  <si>
    <t>wynagrodzenie osobowe nauczycieli</t>
  </si>
  <si>
    <t>Świetlice szkolne</t>
  </si>
  <si>
    <t>80113</t>
  </si>
  <si>
    <t>Dowożenie uczniów do szkół</t>
  </si>
  <si>
    <t>Technika</t>
  </si>
  <si>
    <t>Szkoły policealne</t>
  </si>
  <si>
    <t>Wydział Edukacji</t>
  </si>
  <si>
    <t>dotacja podmiotowa z budżetu dla niepublicznej jednostki systemu oświaty</t>
  </si>
  <si>
    <t>Branżowe szkoły I i II stopnia</t>
  </si>
  <si>
    <t>Licea ogólnokształcące</t>
  </si>
  <si>
    <t>zakup środków dydaktycznych i książek</t>
  </si>
  <si>
    <t>Szkoły artystyczne</t>
  </si>
  <si>
    <t>zakup usług remontowych</t>
  </si>
  <si>
    <t>Szkoły zawodowe specjalne</t>
  </si>
  <si>
    <t xml:space="preserve">Placówki kształcenia ustawicznego i centra </t>
  </si>
  <si>
    <t xml:space="preserve"> kształcenia zawodowego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</si>
  <si>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</si>
  <si>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</si>
  <si>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</si>
  <si>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</si>
  <si>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</si>
  <si>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</si>
  <si>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</si>
  <si>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dotacja podmiotowa z budżetu dla publicznej jednostki systemu oświaty prowadzonej przez osobę prawną inną niż jednostka samorządu terytorialnego lub przez osobę fizyczną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</si>
  <si>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</si>
  <si>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</si>
  <si>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</si>
  <si>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</si>
  <si>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</si>
  <si>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</si>
  <si>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nagrody o charakterze szczególnym niezaliczone do wynagrodzeń</t>
  </si>
  <si>
    <t>pozostałe odsetki</t>
  </si>
  <si>
    <t>Jednostki oświatowe zbiorczo (projekty z grantów Lokalnej</t>
  </si>
  <si>
    <t>Grupy Działania Miasta Włocławek)</t>
  </si>
  <si>
    <t xml:space="preserve">zakup materiałów i wyposażenia </t>
  </si>
  <si>
    <t>Wydział Edukacji - Fundusz Pomocy (realizacja dodatkowych zadań oświatowych)</t>
  </si>
  <si>
    <t>dotacja celowa z budżetu na finansowanie lub dofinansowanie zadań zleconych do realizacji pozostałym jednostkom niezaliczanym do sektora finansów publicznych</t>
  </si>
  <si>
    <t>Jednostki oświatowe zbiorczo - Fundusz Pomocy (realizacja dodatkowych zadań oświatowych)</t>
  </si>
  <si>
    <t>851</t>
  </si>
  <si>
    <t>Ochrona zdrowia</t>
  </si>
  <si>
    <t>Przeciwdziałanie alkoholizmowi</t>
  </si>
  <si>
    <t xml:space="preserve">Placówka Opiekuńczo - Wychowawcza Nr 1 "Maluch" </t>
  </si>
  <si>
    <t>852</t>
  </si>
  <si>
    <t xml:space="preserve">Dom Pomocy Społecznej ul. Nowomiejska 19 </t>
  </si>
  <si>
    <t>Miejski Ośrodek Pomocy Rodzinie - projekt pn. "Włocławek mówi przemocy stop - wzmocnienie kadr"</t>
  </si>
  <si>
    <t xml:space="preserve">Miejski Ośrodek Pomocy Rodzinie </t>
  </si>
  <si>
    <t>świadczenia społeczne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</si>
  <si>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</si>
  <si>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</si>
  <si>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</si>
  <si>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</si>
  <si>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>Pozostałe zadania w zakresie polityki społecznej</t>
  </si>
  <si>
    <t>Miejska Jadłodajnia "U Świętego Antoniego"</t>
  </si>
  <si>
    <t>zakup usług zdrowotnych</t>
  </si>
  <si>
    <t>podatek od towarów i usług (VAT)</t>
  </si>
  <si>
    <t>Edukacyjna opieka wychowawcza</t>
  </si>
  <si>
    <t>Specjalne ośrodki wychowawcze</t>
  </si>
  <si>
    <t xml:space="preserve">Wydział Edukacji </t>
  </si>
  <si>
    <t>Poradnie psychologiczno - pedagogiczne, w tym</t>
  </si>
  <si>
    <t>poradnie specjalistyczne</t>
  </si>
  <si>
    <t>Kolonie i obozy oraz inne formy wypoczynku dzieci</t>
  </si>
  <si>
    <t>i młodzieży szkolnej, a także szkolenia młodzieży</t>
  </si>
  <si>
    <t>Rodzina</t>
  </si>
  <si>
    <t>Rodziny zastępcze</t>
  </si>
  <si>
    <t>Miejski Ośrodek Pomocy Rodzinie - Zespół ds. pieczy zastępczej</t>
  </si>
  <si>
    <t>System opieki nad dziećmi w wieku do lat 3</t>
  </si>
  <si>
    <t>Miejski Zespół Żłobków</t>
  </si>
  <si>
    <t>odpisy na zakładowy fundusz świadczeń socjalnych</t>
  </si>
  <si>
    <t>Wydział Polityki Społecznej i Zdrowia Publicznego</t>
  </si>
  <si>
    <t>kary i odszkodowania wypłacane na rzecz osób fizycznych</t>
  </si>
  <si>
    <t>Gospodarka komunalna i ochrona środowiska</t>
  </si>
  <si>
    <t>Miejski Zakład Zieleni i Usług Komunalnych</t>
  </si>
  <si>
    <t>Miejski Zakład Zieleni i Usług Komunalnych we Włocławku - obsługa Strefy Rozwoju Gospodarczego /Park Przemysłowo - Technologiczny/</t>
  </si>
  <si>
    <t>Wydział Środowiska</t>
  </si>
  <si>
    <t>dotacje celowe z budżetu na finansowanie lub dofinansowanie kosztów realizacji inwestycji i zakupów inwestycyjnych jednostek niezaliczanych do sektora finansów publicznych</t>
  </si>
  <si>
    <t xml:space="preserve">Kultura i ochrona dziedzictwa narodowego </t>
  </si>
  <si>
    <t>Biblioteki</t>
  </si>
  <si>
    <t>Wydział Kultury, Promocji i Komunikacji Społecznej</t>
  </si>
  <si>
    <t>2800</t>
  </si>
  <si>
    <t>dotacja celowa z budżetu dla pozostałych jednostek zaliczanych do sektora finansów publicznych</t>
  </si>
  <si>
    <t>Wydatki na zadania zlecone:</t>
  </si>
  <si>
    <t>Wydział Organizacyjno - Prawny i Kadr - Fundusz Pomocy (nadanie numeru PESEL)</t>
  </si>
  <si>
    <t>Miejski Ośrodek Pomocy Rodzinie - Fundusz Pomocy (świadczenie pieniężne - 40 zł za osobę dziennie)</t>
  </si>
  <si>
    <t>Ośrodki wsparcia</t>
  </si>
  <si>
    <t>Środowiskowy Dom Samopomocy</t>
  </si>
  <si>
    <t>Miejski Ośrodek Pomocy Rodzinie</t>
  </si>
  <si>
    <t>Wydatki na zadania rządowe:</t>
  </si>
  <si>
    <t>Bezpieczeństwo publiczne i ochrona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</si>
  <si>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</si>
  <si>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</si>
  <si>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Zadania w zakresie przeciwdziałania przemocy</t>
  </si>
  <si>
    <t>w rodzinie</t>
  </si>
  <si>
    <t xml:space="preserve">Miejski Ośrodek Pomocy Rodzinie - program oddziaływań korekcyjno - edukacyjnych </t>
  </si>
  <si>
    <t>do Zarządzenia NR 256/2022</t>
  </si>
  <si>
    <t>z dnia 30 czerwca 2022 r.</t>
  </si>
  <si>
    <t>Załącznik Nr 2</t>
  </si>
  <si>
    <t>Zmiana planu wydatków majątkowych na 2022 rok</t>
  </si>
  <si>
    <t>Planowane wydatki</t>
  </si>
  <si>
    <t xml:space="preserve">Pozostałe </t>
  </si>
  <si>
    <t xml:space="preserve">Łączne </t>
  </si>
  <si>
    <t>Źródła finansowania</t>
  </si>
  <si>
    <t>środki</t>
  </si>
  <si>
    <t>Jednostka</t>
  </si>
  <si>
    <t xml:space="preserve">Nazwa zadania inwestycyjnego </t>
  </si>
  <si>
    <t>koszty</t>
  </si>
  <si>
    <t>rok</t>
  </si>
  <si>
    <t>wydzielone</t>
  </si>
  <si>
    <t>realizująca</t>
  </si>
  <si>
    <t>Dział</t>
  </si>
  <si>
    <t>Rozdział</t>
  </si>
  <si>
    <t>finansowe*</t>
  </si>
  <si>
    <t>budżetowy</t>
  </si>
  <si>
    <t xml:space="preserve">pochodzące </t>
  </si>
  <si>
    <t>wymienione</t>
  </si>
  <si>
    <t>rachunki</t>
  </si>
  <si>
    <t>zadanie</t>
  </si>
  <si>
    <t xml:space="preserve">własne </t>
  </si>
  <si>
    <t>z innych</t>
  </si>
  <si>
    <t>w art.5 ust.1</t>
  </si>
  <si>
    <t>jednostek</t>
  </si>
  <si>
    <t>(8+9+10)</t>
  </si>
  <si>
    <t>źródeł</t>
  </si>
  <si>
    <t>pkt 2 i 3 u.f.p.</t>
  </si>
  <si>
    <t>oświatowych</t>
  </si>
  <si>
    <t>OGÓŁEM:</t>
  </si>
  <si>
    <t>GOSPODARKA KOMUNALNA I OCHRONA ŚRODOWISKA</t>
  </si>
  <si>
    <t>Wymiana źródeł ciepła zasilanych paliwami stałymi (program dla osób fizycznych)</t>
  </si>
  <si>
    <t xml:space="preserve"> -</t>
  </si>
  <si>
    <t>Urząd Miasta /Wydział Środowiska/</t>
  </si>
  <si>
    <t>Wymiana źródeł ciepła zasilanych paliwami stałymi w budynkach wielorodzinnych</t>
  </si>
  <si>
    <t>*  - łączne koszty finansowe obejmują wydatki majątkowe i wydatki bieżące</t>
  </si>
  <si>
    <t>Załącznik Nr 3</t>
  </si>
  <si>
    <t>Wydatki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</si>
  <si>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</si>
  <si>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</si>
  <si>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</si>
  <si>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</si>
  <si>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2022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</si>
  <si>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</si>
  <si>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</si>
  <si>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</si>
  <si>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</si>
  <si>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</si>
  <si>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</si>
  <si>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</si>
  <si>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</si>
  <si>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</si>
  <si>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</si>
  <si>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</si>
  <si>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</si>
  <si>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</si>
  <si>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</si>
  <si>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</si>
  <si>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</si>
  <si>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</si>
  <si>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</si>
  <si>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1.6</t>
  </si>
  <si>
    <t>"Latarnicy społeczni obszaru rewitalizacji"</t>
  </si>
  <si>
    <t>w tym: /Urząd Miasta, Włocławskie Centrum Organizacji Pozarządowych i Wolontariatu/</t>
  </si>
  <si>
    <t xml:space="preserve">dz. 750 </t>
  </si>
  <si>
    <t>rozdz. 75095</t>
  </si>
  <si>
    <t>* środki własne jst, współfinansowanie z budżetu państwa oraz inne</t>
  </si>
  <si>
    <t>Załącznik Nr 4</t>
  </si>
  <si>
    <t>Dochody i wydatki związane z realizacją zadań z zakresu administracji rządowej wykonywanych na podstawie porozumień z organami administracji rządowej na 2022 rok</t>
  </si>
  <si>
    <t>z tego: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</si>
  <si>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</si>
  <si>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</si>
  <si>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</si>
  <si>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</si>
  <si>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</si>
  <si>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</si>
  <si>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</si>
  <si>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Razem</t>
  </si>
  <si>
    <t xml:space="preserve"> - Miejska Biblioteka Publiczna</t>
  </si>
  <si>
    <t xml:space="preserve"> - Teatr Impresaryjny</t>
  </si>
  <si>
    <t>Pozostałe instytucje kultury</t>
  </si>
  <si>
    <t xml:space="preserve"> - Centrum Kultury Browar B</t>
  </si>
  <si>
    <t>Centra kultury i sztuki</t>
  </si>
  <si>
    <t xml:space="preserve"> - Galeria Sztuki Współczesnej</t>
  </si>
  <si>
    <t>Galerie i biura wystaw artystycznych</t>
  </si>
  <si>
    <t xml:space="preserve"> - Zakład Aktywności Zawodowej</t>
  </si>
  <si>
    <t>dotacje podmiotowe</t>
  </si>
  <si>
    <t>Biblioteki (dotacja na inwestycje)</t>
  </si>
  <si>
    <t>Pozostałe instytucje kultury (dotacja na inwestycje)</t>
  </si>
  <si>
    <t xml:space="preserve"> - Centrum Kultury Browar B - realizacja projektu pn. "WŁOCŁAWEK - MIASTO NOWYCH MOŻLIWOŚCI. Tutaj mieszkam, pracuję, inwestuję i tu wypoczywam" </t>
  </si>
  <si>
    <t>Galerie i biura wystaw artystycznych (dotacja na inwestycje)</t>
  </si>
  <si>
    <t>Pozostała działalność - realizacja projektu „Dotacja na start – wsparcie przedsiębiorczości i samozatrudnienia w województwie kujawsko – pomorskim”</t>
  </si>
  <si>
    <t xml:space="preserve">Powiatowe urzędy pracy </t>
  </si>
  <si>
    <t>Przeciwdziałanie alkoholizmowi (dofinansowanie "Niebieskiej linii")</t>
  </si>
  <si>
    <t>Programy polityki zdrowotnej</t>
  </si>
  <si>
    <t>Pozostała działalność (kształcenie praktyczne uczniów)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</si>
  <si>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</si>
  <si>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Urzędy gmin (miast i miast na prawach powiatu) - realizacja projektu "Infostrada Kujaw i Pomorza 2.0"</t>
  </si>
  <si>
    <t>dotacje celowe</t>
  </si>
  <si>
    <t>Kwota dotacji</t>
  </si>
  <si>
    <t>Nazwa zadania</t>
  </si>
  <si>
    <t>dla jednostek sektora finansów publicznych na 2022 rok</t>
  </si>
  <si>
    <t xml:space="preserve">Dotacje udzielane z budżetu jednostki samorządu terytorialnego </t>
  </si>
  <si>
    <t>Załącznik Nr 5</t>
  </si>
  <si>
    <t>Internat Zespołu Szkół Katolickich im. Ks. J. Długosza</t>
  </si>
  <si>
    <t>Internaty i bursy szkolne</t>
  </si>
  <si>
    <t>Niepubliczna Poradania Psychologiczno - Pedagogiczna "Centrum Diagnozy, Terapii i Wspomagania Rozwoju" (Elżbieta Złowodzka Jetter)</t>
  </si>
  <si>
    <t>Poradnia Psychologiczno - Pedagogiczna "Vitamed"</t>
  </si>
  <si>
    <t>Poradnie psychologiczno - pedagogiczne, w tym poradnie specjalistyczne</t>
  </si>
  <si>
    <t>Terapeutyczny Punkt Przedszkolny "Zielony Słonik"</t>
  </si>
  <si>
    <t>Niepubliczne Przedszkole "Skakanka"</t>
  </si>
  <si>
    <t>Centrum Malucha - "Piotruś Pan"- Przedszkole Niepubliczne</t>
  </si>
  <si>
    <t>Terapeutyczny Punkt Przedszkolny "Synapsik"</t>
  </si>
  <si>
    <t>Niepubliczne Przedszkole "Domowe Przedszkole"</t>
  </si>
  <si>
    <t>Terapeutyczny Punkt Przedszkolny Neuromind</t>
  </si>
  <si>
    <t>Przedszkole Akademickie przy Państwowej Uczelni Zawodowej we Włocławku</t>
  </si>
  <si>
    <t>Niepubliczne Przedszkole "Smerfna Chata"</t>
  </si>
  <si>
    <t>Przedszkole Niepubliczne Megamocni we Włocławku</t>
  </si>
  <si>
    <t>Wczesne wspomaganie rozwoju dziecka</t>
  </si>
  <si>
    <t>Specjalny Ośrodek Wychowawczy Zgromadzenia Sióstr Orionistek</t>
  </si>
  <si>
    <t>Warsztaty Terapii Zajęciowej</t>
  </si>
  <si>
    <t>Rehabilitacja zawodowa i społeczna osób niepełnosprawnych</t>
  </si>
  <si>
    <t>Akademickie Liceum Ogólnokształcące Mistrzostwa Sportowego nr 1 im. Obrońców Wisły 1920 roku we Włocławku</t>
  </si>
  <si>
    <t>Akademickie Technikum Wojskowe im. Obrońców Wisły 1920 roku we Włocławku</t>
  </si>
  <si>
    <t>Publiczne Liceum Ogólnokształcące im. Ks. J. Długosza</t>
  </si>
  <si>
    <t xml:space="preserve">Branżowa Szkoła I Stopnia Start we Włocławku 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</si>
  <si>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</si>
  <si>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Policealna Szkoła Centrum Nauki I Biznesu "Żak"</t>
  </si>
  <si>
    <t>Szkoła Policealna dla dorosłych "Cosinus Plus" we Włocławku</t>
  </si>
  <si>
    <t>Kwalifikacyjne kursy zawodowe</t>
  </si>
  <si>
    <t xml:space="preserve">Szkoła Podstawowa Nr 24 w Zespole Szkół WSO "Cogito" </t>
  </si>
  <si>
    <t>Szkoła Podstawowa z oddziałami dwujęzycznymi Monttessori-      Schule</t>
  </si>
  <si>
    <t>Publiczna Szkoła Podstawowa im. Ks. J. Długosza</t>
  </si>
  <si>
    <t>Realizacja zadań wymagających stosowania specjalnej organizacji nauki i metod pracy dla dzieci i młodzieży w szkołach podstawowych</t>
  </si>
  <si>
    <t>Katolickie Publiczne Przedszkole "Pod Aniołem Stróżem"</t>
  </si>
  <si>
    <t>Przedszkole Niepubliczne "Chatka Puchatka"</t>
  </si>
  <si>
    <t>Prywatna Szkoła Podstawowa Zespołu Edukacji "Wiedza"</t>
  </si>
  <si>
    <t>Przedszkole Niepubliczne "Kujawiaczek"</t>
  </si>
  <si>
    <t>Realizacja zadań wymagających stosowania specjalnej organizacji nauki i metod pracy dla dzieci w przedszkolach, oddziałach przedszkolnych w szkołach podstawowych i innych formach wychowania przedszkolnego</t>
  </si>
  <si>
    <t>Liceum Ogólnokształcące dla Dorosłych "Żak"</t>
  </si>
  <si>
    <t>Akademickie Liceum Ogólnokształcące nr 1 im. Obrońców Wisły 1920 roku we Włocławku</t>
  </si>
  <si>
    <t xml:space="preserve">Liceum Ogólnokształcące "Spectrum" dla Dorosłych we Włocławku </t>
  </si>
  <si>
    <t>Liceum Ogólnokształcące dla Dorosłych "Pascal' we Włocławku</t>
  </si>
  <si>
    <t>Prywatne Liceum Ogólnokształcące dla Dorosłych (Katarzyna Balcer)</t>
  </si>
  <si>
    <t>Zaoczne Liceum Ogólnokształcące dla Dorosłych "Cosinus Plus" we Włocławku</t>
  </si>
  <si>
    <t xml:space="preserve">Liceum Ogólnokształcące Szkoła Mistrzostwa Sportowego </t>
  </si>
  <si>
    <t>Liceum Ogólnokształcące dla Dorosłych Futuro</t>
  </si>
  <si>
    <t>Liceum Ogólnokształcące "Edicus" dla Dorosłych</t>
  </si>
  <si>
    <t xml:space="preserve">Branżowa Szkoła I Stopnia nr 9 w Zespole Szkół Włocławskiego Stowarzyszenia Oświatowego "Cogito" </t>
  </si>
  <si>
    <t>Akademicka Szkoła Branżowa I stopnia im. Obrońców Wisły 1920 roku</t>
  </si>
  <si>
    <t>Branżowa Szkoła I Stopnia (Stowarzyszenie Szkoła dla Włocławka)</t>
  </si>
  <si>
    <t xml:space="preserve">Branżowa Szkoła II Stopnia Start we Włocławku </t>
  </si>
  <si>
    <t>Akademicka Szkoła Policealna przy Kujawskiej Szkole Wyższej we Włocławku</t>
  </si>
  <si>
    <t>Szkoła Policealna Opieki Medycznej dla Dorosłych "Żak"</t>
  </si>
  <si>
    <t>Policealna Szkoła dla dorosłych Futuro</t>
  </si>
  <si>
    <t>Szkoła Policealna "Spectrum" dla dorosłych</t>
  </si>
  <si>
    <t>Prywatna Szkoła Policealna (CE "Zenit")</t>
  </si>
  <si>
    <t>Zaoczna Policealna Szkoła Medyczna "Pascal" we Włocławku</t>
  </si>
  <si>
    <t>Stacjonarna Policealna Szkoła Medyczna "Pascal" we Włocławku</t>
  </si>
  <si>
    <t>Zaoczna Policealna Szkoła Zawodowa Kosmetyczna "Pascal" we Włocławku</t>
  </si>
  <si>
    <t>Zaoczna Policealna Szkoła Zawodowa "Pascal" we Włocławku</t>
  </si>
  <si>
    <t>Policealna Szkoła "Edicus"</t>
  </si>
  <si>
    <t>Akademicka Szkoła Policealna przy Państwowej Uczelni Zawodowej we Włocławku</t>
  </si>
  <si>
    <t>Policealna Szkoła Techników Ochrony Fizycznej Osób i Mienia Elitarne Studium Służb Ochrony "Delta"</t>
  </si>
  <si>
    <t>Policealna Szkoła dla dorosłych "Cosinus Plus" we Włocławku</t>
  </si>
  <si>
    <t>Niepubliczny Punkt Przedszkolny "Kraina Bajek"</t>
  </si>
  <si>
    <t>Inne formy wychowania przedszkolnego - punkty przedszkolne</t>
  </si>
  <si>
    <t xml:space="preserve">Przedszkole Publiczne Nr 1 </t>
  </si>
  <si>
    <t>Niepubliczne Przedszkole "Wesoła Biedronka"</t>
  </si>
  <si>
    <t>Przedszkole Niepubliczne "Happy Kids"</t>
  </si>
  <si>
    <t>Niepubliczne Przedszkole "Bajeczka"</t>
  </si>
  <si>
    <t>Niepubliczne Przedszkole "Na Wspólnej"</t>
  </si>
  <si>
    <t>Przedszkole Niepubliczne "Tęczowa Kraina"</t>
  </si>
  <si>
    <t>Akademicka Szkoła Podstawowa Nr 1 im. Obrońców Wisły 1920 roku we Włocławku</t>
  </si>
  <si>
    <t>Oddziały przedszkolne w szkołach podstawowych</t>
  </si>
  <si>
    <t>Szkoła Podstawowa z oddziałami dwujęzycznymi Monttessori-     Schule</t>
  </si>
  <si>
    <t>Szkoła Podstawowa przy Państwowej Uczelni Zawodowej we Włocławku</t>
  </si>
  <si>
    <t>Szkoła Podstawowa Szkoła Mistrzostwa Sportowego ("Kar" Sp. z o.o.)</t>
  </si>
  <si>
    <t>Akademicka Szkoła Podstawowa Mistrzostwa Sportowego Nr 1 im. Obrońców Wisły 1920 roku we Włocławku</t>
  </si>
  <si>
    <t>Szkoła Podstawowa dla dorosłych (WSO "Cogito")</t>
  </si>
  <si>
    <t>Nazwa placówki/nazwa podmiotu</t>
  </si>
  <si>
    <t xml:space="preserve">Zadania w zakresie kultury fizycznej - realizacja projektu pn. "WŁOCŁAWEK - MIASTO NOWYCH MOŻLIWOŚCI. Tutaj mieszkam, pracuję, inwestuję i tu wypoczywam" </t>
  </si>
  <si>
    <t>Zadania w zakresie kultury fizycznej</t>
  </si>
  <si>
    <t xml:space="preserve">Pozostała działalność - realizacja projektu pn. "WŁOCŁAWEK - MIASTO NOWYCH MOŻLIWOŚCI. Tutaj mieszkam, pracuję, inwestuję i tu wypoczywam" </t>
  </si>
  <si>
    <t>Upowszechnianie kultury, sztuki, ochrony dóbr kultury i tradycji przez organizacje prowadzące działalność pożytku publicznego (pozostała działalność)</t>
  </si>
  <si>
    <t>Ochrona zabytków i opieka nad zabytkami</t>
  </si>
  <si>
    <t>Wymiana źródeł ciepła zasilanych paliwami stałymi w budynkach wielorodzinnych (dotacja na inwestycje)</t>
  </si>
  <si>
    <t>Wymiana źródeł ciepła zasilanych paliwami stałymi - program dla osób fizycznych (dotacja na inwestycje)</t>
  </si>
  <si>
    <t>Utylizacja wyrobów zawierających azbest (dotacja na inwestycje)</t>
  </si>
  <si>
    <t>Działalność placówek opiekuńczo - wychowawczych</t>
  </si>
  <si>
    <t>Pozostała działalność (aktywizacja społeczna seniorów, poprawa warunków funkcjonowania seniorów)</t>
  </si>
  <si>
    <t>Realizacja projektu unijnego "Reintegracja społeczna mieszkańców Włocławka, w tym w obszarze rewitalizacji"</t>
  </si>
  <si>
    <t>Zapewnienie schronienia oraz pomocy rzeczowej osobom bezdomnym (pozostała działalność)</t>
  </si>
  <si>
    <t>Usługi opiekuńcze i specjalistyczne usługi opiekuńcze - zadania zlecone</t>
  </si>
  <si>
    <t>Usługi opiekuńcze i specjalistyczne usługi opiekuńcze - zadania własne</t>
  </si>
  <si>
    <t>Pozostala działalność (promocja i ochrona zdrowia oraz działania na rzecz osób niepełnosprawnych)</t>
  </si>
  <si>
    <t>Dofinansowanie programów dotyczących uzależnień, pozalekcyjnych zajęć sportowych (przeciwdzialanie alkoholizmowi)</t>
  </si>
  <si>
    <t>Zwalczanie narkomanii</t>
  </si>
  <si>
    <t>Realizacja projektu unijnego  "Zawodowcy z Włocławka"- podniesienie jakości nauczania i zwiększenie szans na zatrudnienie uczniów ZSS we Włocławku"</t>
  </si>
  <si>
    <t xml:space="preserve">Zespół Szkół Akademickich im. Obrońców Wisły 1920 roku </t>
  </si>
  <si>
    <t>Zespół Szkół Katolickich im. Ks. J. Długosza</t>
  </si>
  <si>
    <t>Zapewnienie uczniom prawa do bezpłatnego dostępu do podręczników, materiałów edukacyjnych lub materiałów ćwiczeniowych - zadanie zlecone (zakup podręczników dla uczniów)</t>
  </si>
  <si>
    <t>Nieodpłatna pomoc prawna - zadanie rządowe</t>
  </si>
  <si>
    <t>Pozostała działalność (prowadzenie Kawiarni Obywatelskiej "Śródmieście Cafe")</t>
  </si>
  <si>
    <t>Dotacje do prac budowlanych w ramach rewitalizacji</t>
  </si>
  <si>
    <t>dla jednostek spoza sektora finansów publicznych na 2022 rok</t>
  </si>
  <si>
    <t>Załącznik Nr 6</t>
  </si>
  <si>
    <t>Załącznik Nr 7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</si>
  <si>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</si>
  <si>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</si>
  <si>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</si>
  <si>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</si>
  <si>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</si>
  <si>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</si>
  <si>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</si>
  <si>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</si>
  <si>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</si>
  <si>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</si>
  <si>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</si>
  <si>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</si>
  <si>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</si>
  <si>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</si>
  <si>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</si>
  <si>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</si>
  <si>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</si>
  <si>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</si>
  <si>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</si>
  <si>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</si>
  <si>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</si>
  <si>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</si>
  <si>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</si>
  <si>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Ośrodki szkolenia, dokształcania i doskonalenia kadr</t>
  </si>
  <si>
    <t>10.</t>
  </si>
  <si>
    <t xml:space="preserve">Inne formy kształcenia osobno niewymienione </t>
  </si>
  <si>
    <t>11.</t>
  </si>
  <si>
    <t xml:space="preserve">i młodzieży szkolnej, a także szkolenia młodzieży </t>
  </si>
  <si>
    <t>Szkolne schroniska młodzieżowe</t>
  </si>
  <si>
    <t>Młodzieżowe ośrodki wychowawcze</t>
  </si>
  <si>
    <t xml:space="preserve">Ogółem </t>
  </si>
  <si>
    <t>Załącznik Nr 8</t>
  </si>
  <si>
    <t>Plan dochodów i wydatków na wydzielonym rachunku Funduszu Pomocy</t>
  </si>
  <si>
    <t>dotyczącym realizacji zadań na rzecz pomocy Ukrainie</t>
  </si>
  <si>
    <t xml:space="preserve">Dział </t>
  </si>
  <si>
    <t>Dochody na 2022 rok</t>
  </si>
  <si>
    <t>Wydatki na 2022 rok</t>
  </si>
  <si>
    <t>x</t>
  </si>
  <si>
    <t>Zapewnienie posiłku dzieciom i młodzieży</t>
  </si>
  <si>
    <t>85230</t>
  </si>
  <si>
    <t>Miejski Ośrodek Pomocy Rodznie</t>
  </si>
  <si>
    <t>3110</t>
  </si>
  <si>
    <t>4300</t>
  </si>
  <si>
    <t>Świadczenia rodzinne</t>
  </si>
  <si>
    <t>855</t>
  </si>
  <si>
    <t>85502</t>
  </si>
  <si>
    <t>4010</t>
  </si>
  <si>
    <t>Świadczenie pieniężne w wysokości          300 zł</t>
  </si>
  <si>
    <t>853</t>
  </si>
  <si>
    <t>85395</t>
  </si>
  <si>
    <t>4110</t>
  </si>
  <si>
    <t>4120</t>
  </si>
  <si>
    <t>4710</t>
  </si>
  <si>
    <t>758</t>
  </si>
  <si>
    <t>Realizacja dodatkowych zadań oświatowych</t>
  </si>
  <si>
    <t>801</t>
  </si>
  <si>
    <t>80195</t>
  </si>
  <si>
    <t>4790</t>
  </si>
  <si>
    <t>Nadanie numeru PESEL</t>
  </si>
  <si>
    <t>750</t>
  </si>
  <si>
    <t>75011</t>
  </si>
  <si>
    <t>Wydział Organizacyjno - Prawny i Kadr</t>
  </si>
  <si>
    <t>Świadczenie pieniężne - 40 zł za osobę dziennie</t>
  </si>
  <si>
    <t>754</t>
  </si>
  <si>
    <t>75495</t>
  </si>
  <si>
    <t>Zapewnienie zakwaterowania i wyżywienia obywatelom Ukrainy</t>
  </si>
  <si>
    <t>Wydział Zarządzania Kryzysowego i Bezpieczeństwa</t>
  </si>
  <si>
    <t>Zapewnienie transportu obywatelom Ukrainy</t>
  </si>
  <si>
    <t>600</t>
  </si>
  <si>
    <t>Straż Miejska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</si>
</sst>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7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sz val="9"/>
      <name val="Arial CE"/>
      <charset val="238"/>
    </font>
    <font>
      <sz val="11"/>
      <color rgb="FF000000"/>
      <name val="Calibri"/>
      <family val="2"/>
      <charset val="1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u/>
      <sz val="8"/>
      <name val="Arial CE"/>
      <charset val="238"/>
    </font>
    <font>
      <sz val="6"/>
      <name val="Arial CE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23" fillId="0" borderId="0"/>
    <xf numFmtId="0" fontId="24" fillId="0" borderId="0"/>
    <xf numFmtId="0" fontId="30" fillId="0" borderId="0"/>
    <xf numFmtId="0" fontId="30" fillId="0" borderId="0"/>
    <xf numFmtId="0" fontId="34" fillId="0" borderId="0"/>
  </cellStyleXfs>
  <cellXfs count="50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8" fillId="0" borderId="0" xfId="0" applyNumberFormat="1" applyFont="1"/>
    <xf numFmtId="4" fontId="9" fillId="0" borderId="0" xfId="0" applyNumberFormat="1" applyFont="1"/>
    <xf numFmtId="0" fontId="8" fillId="0" borderId="0" xfId="0" applyFont="1"/>
    <xf numFmtId="0" fontId="10" fillId="0" borderId="0" xfId="0" applyFont="1"/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4" fontId="11" fillId="0" borderId="0" xfId="0" applyNumberFormat="1" applyFont="1"/>
    <xf numFmtId="4" fontId="12" fillId="0" borderId="0" xfId="0" applyNumberFormat="1" applyFont="1"/>
    <xf numFmtId="0" fontId="6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6" fillId="0" borderId="7" xfId="0" applyFont="1" applyBorder="1"/>
    <xf numFmtId="4" fontId="6" fillId="0" borderId="8" xfId="0" applyNumberFormat="1" applyFont="1" applyBorder="1"/>
    <xf numFmtId="0" fontId="6" fillId="0" borderId="9" xfId="0" applyFont="1" applyBorder="1"/>
    <xf numFmtId="4" fontId="6" fillId="0" borderId="10" xfId="0" applyNumberFormat="1" applyFont="1" applyBorder="1"/>
    <xf numFmtId="0" fontId="6" fillId="0" borderId="3" xfId="0" applyFont="1" applyBorder="1"/>
    <xf numFmtId="0" fontId="6" fillId="0" borderId="4" xfId="0" applyFont="1" applyBorder="1"/>
    <xf numFmtId="4" fontId="6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11" fillId="0" borderId="3" xfId="0" applyNumberFormat="1" applyFont="1" applyBorder="1" applyAlignment="1">
      <alignment horizontal="right"/>
    </xf>
    <xf numFmtId="4" fontId="11" fillId="0" borderId="3" xfId="0" applyNumberFormat="1" applyFont="1" applyBorder="1"/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49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3" fontId="11" fillId="0" borderId="6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4" fontId="6" fillId="0" borderId="3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2" fillId="0" borderId="5" xfId="0" applyFont="1" applyBorder="1"/>
    <xf numFmtId="49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" fontId="6" fillId="0" borderId="13" xfId="0" applyNumberFormat="1" applyFont="1" applyBorder="1"/>
    <xf numFmtId="4" fontId="11" fillId="0" borderId="5" xfId="0" applyNumberFormat="1" applyFont="1" applyBorder="1"/>
    <xf numFmtId="0" fontId="2" fillId="0" borderId="4" xfId="0" applyFon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0" fontId="11" fillId="0" borderId="4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/>
    <xf numFmtId="0" fontId="13" fillId="0" borderId="3" xfId="0" applyFont="1" applyBorder="1"/>
    <xf numFmtId="3" fontId="2" fillId="0" borderId="6" xfId="0" applyNumberFormat="1" applyFont="1" applyBorder="1"/>
    <xf numFmtId="4" fontId="11" fillId="0" borderId="1" xfId="0" applyNumberFormat="1" applyFont="1" applyBorder="1"/>
    <xf numFmtId="3" fontId="2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0" fontId="11" fillId="0" borderId="6" xfId="0" applyFont="1" applyBorder="1"/>
    <xf numFmtId="0" fontId="12" fillId="0" borderId="0" xfId="0" applyFont="1"/>
    <xf numFmtId="3" fontId="6" fillId="0" borderId="5" xfId="0" applyNumberFormat="1" applyFont="1" applyBorder="1"/>
    <xf numFmtId="0" fontId="11" fillId="0" borderId="5" xfId="0" applyFont="1" applyBorder="1" applyAlignment="1">
      <alignment horizontal="right"/>
    </xf>
    <xf numFmtId="0" fontId="12" fillId="0" borderId="14" xfId="0" applyFont="1" applyBorder="1"/>
    <xf numFmtId="4" fontId="11" fillId="0" borderId="5" xfId="0" applyNumberFormat="1" applyFont="1" applyBorder="1" applyAlignment="1">
      <alignment horizontal="right"/>
    </xf>
    <xf numFmtId="3" fontId="11" fillId="0" borderId="4" xfId="0" applyNumberFormat="1" applyFont="1" applyBorder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right"/>
    </xf>
    <xf numFmtId="4" fontId="11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2" fillId="0" borderId="12" xfId="0" applyNumberFormat="1" applyFont="1" applyBorder="1"/>
    <xf numFmtId="4" fontId="6" fillId="0" borderId="3" xfId="0" applyNumberFormat="1" applyFont="1" applyBorder="1"/>
    <xf numFmtId="0" fontId="11" fillId="0" borderId="5" xfId="1" applyNumberFormat="1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11" fillId="0" borderId="3" xfId="0" applyNumberFormat="1" applyFont="1" applyBorder="1"/>
    <xf numFmtId="3" fontId="11" fillId="0" borderId="5" xfId="0" applyNumberFormat="1" applyFont="1" applyBorder="1"/>
    <xf numFmtId="0" fontId="11" fillId="0" borderId="5" xfId="0" applyFont="1" applyBorder="1" applyAlignment="1">
      <alignment horizontal="right" vertical="top"/>
    </xf>
    <xf numFmtId="0" fontId="11" fillId="0" borderId="6" xfId="0" applyFont="1" applyBorder="1" applyAlignment="1">
      <alignment wrapText="1"/>
    </xf>
    <xf numFmtId="3" fontId="11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wrapText="1"/>
    </xf>
    <xf numFmtId="49" fontId="6" fillId="0" borderId="3" xfId="0" applyNumberFormat="1" applyFont="1" applyBorder="1"/>
    <xf numFmtId="0" fontId="8" fillId="0" borderId="5" xfId="0" applyFont="1" applyBorder="1"/>
    <xf numFmtId="49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0" fontId="2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18" fillId="0" borderId="0" xfId="2" applyFont="1"/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Continuous"/>
    </xf>
    <xf numFmtId="3" fontId="5" fillId="0" borderId="0" xfId="2" applyNumberFormat="1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/>
    <xf numFmtId="0" fontId="6" fillId="0" borderId="2" xfId="2" applyFont="1" applyBorder="1"/>
    <xf numFmtId="0" fontId="19" fillId="0" borderId="1" xfId="2" applyFont="1" applyBorder="1" applyAlignment="1">
      <alignment horizontal="center" vertical="center"/>
    </xf>
    <xf numFmtId="0" fontId="7" fillId="0" borderId="1" xfId="2" applyFont="1" applyBorder="1"/>
    <xf numFmtId="0" fontId="7" fillId="0" borderId="0" xfId="2" applyFont="1"/>
    <xf numFmtId="0" fontId="6" fillId="0" borderId="3" xfId="2" applyFont="1" applyBorder="1" applyAlignment="1">
      <alignment vertical="center"/>
    </xf>
    <xf numFmtId="0" fontId="6" fillId="0" borderId="17" xfId="2" applyFont="1" applyBorder="1"/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19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20" fillId="0" borderId="17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6" fillId="0" borderId="5" xfId="2" applyFont="1" applyBorder="1" applyAlignment="1">
      <alignment vertical="center"/>
    </xf>
    <xf numFmtId="0" fontId="6" fillId="0" borderId="18" xfId="2" applyFont="1" applyBorder="1"/>
    <xf numFmtId="0" fontId="6" fillId="0" borderId="18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7" fillId="0" borderId="3" xfId="2" applyFont="1" applyBorder="1"/>
    <xf numFmtId="0" fontId="2" fillId="0" borderId="16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21" fillId="0" borderId="16" xfId="2" applyFont="1" applyBorder="1" applyAlignment="1">
      <alignment horizontal="left" vertical="center" wrapText="1"/>
    </xf>
    <xf numFmtId="4" fontId="21" fillId="0" borderId="16" xfId="2" applyNumberFormat="1" applyFont="1" applyBorder="1" applyAlignment="1">
      <alignment horizontal="right" vertical="center" wrapText="1"/>
    </xf>
    <xf numFmtId="3" fontId="22" fillId="0" borderId="16" xfId="2" applyNumberFormat="1" applyFont="1" applyBorder="1" applyAlignment="1">
      <alignment horizontal="center" vertical="center" wrapText="1"/>
    </xf>
    <xf numFmtId="1" fontId="2" fillId="0" borderId="16" xfId="2" applyNumberFormat="1" applyFont="1" applyBorder="1" applyAlignment="1">
      <alignment horizontal="center" vertical="center" wrapText="1"/>
    </xf>
    <xf numFmtId="1" fontId="6" fillId="0" borderId="16" xfId="2" applyNumberFormat="1" applyFont="1" applyBorder="1" applyAlignment="1">
      <alignment horizontal="center" vertical="center" wrapText="1"/>
    </xf>
    <xf numFmtId="49" fontId="11" fillId="0" borderId="16" xfId="2" applyNumberFormat="1" applyFont="1" applyBorder="1" applyAlignment="1">
      <alignment horizontal="center" vertical="center" wrapText="1"/>
    </xf>
    <xf numFmtId="0" fontId="6" fillId="0" borderId="16" xfId="2" applyFont="1" applyBorder="1" applyAlignment="1">
      <alignment vertical="center" wrapText="1"/>
    </xf>
    <xf numFmtId="4" fontId="6" fillId="0" borderId="16" xfId="2" applyNumberFormat="1" applyFont="1" applyBorder="1" applyAlignment="1">
      <alignment horizontal="right" vertical="center" wrapText="1"/>
    </xf>
    <xf numFmtId="49" fontId="11" fillId="0" borderId="22" xfId="2" applyNumberFormat="1" applyFont="1" applyBorder="1" applyAlignment="1">
      <alignment horizontal="center" vertical="center" wrapText="1"/>
    </xf>
    <xf numFmtId="0" fontId="11" fillId="0" borderId="21" xfId="2" applyFont="1" applyBorder="1" applyAlignment="1">
      <alignment horizontal="left" vertical="center" wrapText="1"/>
    </xf>
    <xf numFmtId="4" fontId="11" fillId="0" borderId="21" xfId="2" applyNumberFormat="1" applyFont="1" applyBorder="1" applyAlignment="1">
      <alignment vertical="center" wrapText="1"/>
    </xf>
    <xf numFmtId="4" fontId="11" fillId="0" borderId="16" xfId="2" applyNumberFormat="1" applyFont="1" applyBorder="1" applyAlignment="1">
      <alignment vertical="center" wrapText="1"/>
    </xf>
    <xf numFmtId="4" fontId="2" fillId="0" borderId="16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center" vertical="center" wrapText="1"/>
    </xf>
    <xf numFmtId="0" fontId="13" fillId="0" borderId="0" xfId="3" applyFont="1"/>
    <xf numFmtId="0" fontId="2" fillId="0" borderId="0" xfId="4" applyFont="1"/>
    <xf numFmtId="0" fontId="2" fillId="0" borderId="0" xfId="4" applyFont="1" applyAlignment="1">
      <alignment horizontal="left"/>
    </xf>
    <xf numFmtId="0" fontId="25" fillId="0" borderId="0" xfId="3" applyFont="1" applyAlignment="1">
      <alignment horizontal="centerContinuous" vertical="center"/>
    </xf>
    <xf numFmtId="0" fontId="26" fillId="0" borderId="1" xfId="3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top" wrapText="1"/>
    </xf>
    <xf numFmtId="0" fontId="26" fillId="0" borderId="19" xfId="3" applyFont="1" applyBorder="1" applyAlignment="1">
      <alignment horizontal="centerContinuous" vertical="center"/>
    </xf>
    <xf numFmtId="0" fontId="26" fillId="0" borderId="21" xfId="3" applyFont="1" applyBorder="1" applyAlignment="1">
      <alignment horizontal="centerContinuous" vertical="center"/>
    </xf>
    <xf numFmtId="0" fontId="26" fillId="0" borderId="22" xfId="3" applyFont="1" applyBorder="1" applyAlignment="1">
      <alignment horizontal="centerContinuous" vertical="center"/>
    </xf>
    <xf numFmtId="0" fontId="26" fillId="0" borderId="3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/>
    </xf>
    <xf numFmtId="0" fontId="27" fillId="0" borderId="5" xfId="3" applyFont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16" xfId="3" applyFont="1" applyBorder="1" applyAlignment="1">
      <alignment vertical="center"/>
    </xf>
    <xf numFmtId="4" fontId="26" fillId="0" borderId="21" xfId="3" applyNumberFormat="1" applyFont="1" applyBorder="1" applyAlignment="1">
      <alignment horizontal="center" vertical="center"/>
    </xf>
    <xf numFmtId="4" fontId="26" fillId="0" borderId="16" xfId="3" applyNumberFormat="1" applyFont="1" applyBorder="1" applyAlignment="1">
      <alignment vertical="center"/>
    </xf>
    <xf numFmtId="4" fontId="26" fillId="0" borderId="21" xfId="3" applyNumberFormat="1" applyFont="1" applyBorder="1" applyAlignment="1">
      <alignment vertical="center"/>
    </xf>
    <xf numFmtId="4" fontId="26" fillId="0" borderId="0" xfId="3" applyNumberFormat="1" applyFont="1"/>
    <xf numFmtId="0" fontId="26" fillId="0" borderId="0" xfId="3" applyFont="1"/>
    <xf numFmtId="0" fontId="25" fillId="0" borderId="3" xfId="3" applyFont="1" applyBorder="1" applyAlignment="1">
      <alignment horizontal="center" vertical="center"/>
    </xf>
    <xf numFmtId="3" fontId="26" fillId="0" borderId="0" xfId="3" applyNumberFormat="1" applyFont="1"/>
    <xf numFmtId="49" fontId="26" fillId="0" borderId="25" xfId="3" applyNumberFormat="1" applyFont="1" applyBorder="1" applyAlignment="1">
      <alignment horizontal="center" vertical="center"/>
    </xf>
    <xf numFmtId="0" fontId="26" fillId="0" borderId="26" xfId="3" applyFont="1" applyBorder="1" applyAlignment="1">
      <alignment vertical="center" wrapText="1"/>
    </xf>
    <xf numFmtId="4" fontId="25" fillId="0" borderId="27" xfId="4" applyNumberFormat="1" applyFont="1" applyBorder="1" applyAlignment="1">
      <alignment horizontal="center" vertical="center"/>
    </xf>
    <xf numFmtId="4" fontId="26" fillId="0" borderId="28" xfId="4" applyNumberFormat="1" applyFont="1" applyBorder="1" applyAlignment="1">
      <alignment horizontal="right" vertical="center"/>
    </xf>
    <xf numFmtId="3" fontId="13" fillId="0" borderId="0" xfId="3" applyNumberFormat="1" applyFont="1"/>
    <xf numFmtId="49" fontId="13" fillId="0" borderId="3" xfId="3" applyNumberFormat="1" applyFont="1" applyBorder="1" applyAlignment="1">
      <alignment horizontal="center" vertical="center"/>
    </xf>
    <xf numFmtId="0" fontId="26" fillId="2" borderId="23" xfId="3" applyFont="1" applyFill="1" applyBorder="1" applyAlignment="1">
      <alignment vertical="center"/>
    </xf>
    <xf numFmtId="0" fontId="13" fillId="0" borderId="29" xfId="3" applyFont="1" applyBorder="1" applyAlignment="1">
      <alignment horizontal="center"/>
    </xf>
    <xf numFmtId="4" fontId="13" fillId="0" borderId="29" xfId="3" applyNumberFormat="1" applyFont="1" applyBorder="1"/>
    <xf numFmtId="4" fontId="13" fillId="0" borderId="30" xfId="3" applyNumberFormat="1" applyFont="1" applyBorder="1"/>
    <xf numFmtId="0" fontId="13" fillId="0" borderId="31" xfId="3" applyFont="1" applyBorder="1" applyAlignment="1">
      <alignment horizontal="center" vertical="center"/>
    </xf>
    <xf numFmtId="0" fontId="29" fillId="2" borderId="31" xfId="3" applyFont="1" applyFill="1" applyBorder="1"/>
    <xf numFmtId="0" fontId="13" fillId="0" borderId="32" xfId="3" applyFont="1" applyBorder="1" applyAlignment="1">
      <alignment horizontal="center"/>
    </xf>
    <xf numFmtId="4" fontId="13" fillId="0" borderId="32" xfId="3" applyNumberFormat="1" applyFont="1" applyBorder="1"/>
    <xf numFmtId="4" fontId="13" fillId="0" borderId="33" xfId="3" applyNumberFormat="1" applyFont="1" applyBorder="1"/>
    <xf numFmtId="0" fontId="13" fillId="0" borderId="31" xfId="3" applyFont="1" applyBorder="1" applyAlignment="1">
      <alignment horizontal="center"/>
    </xf>
    <xf numFmtId="4" fontId="13" fillId="0" borderId="31" xfId="3" applyNumberFormat="1" applyFont="1" applyBorder="1"/>
    <xf numFmtId="0" fontId="13" fillId="0" borderId="5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/>
    </xf>
    <xf numFmtId="4" fontId="13" fillId="0" borderId="24" xfId="3" applyNumberFormat="1" applyFont="1" applyBorder="1"/>
    <xf numFmtId="4" fontId="13" fillId="0" borderId="5" xfId="3" applyNumberFormat="1" applyFont="1" applyBorder="1"/>
    <xf numFmtId="4" fontId="13" fillId="0" borderId="34" xfId="3" applyNumberFormat="1" applyFont="1" applyBorder="1"/>
    <xf numFmtId="0" fontId="13" fillId="0" borderId="0" xfId="3" applyFont="1" applyAlignment="1">
      <alignment horizontal="center" vertical="center"/>
    </xf>
    <xf numFmtId="4" fontId="13" fillId="0" borderId="0" xfId="3" applyNumberFormat="1" applyFont="1" applyAlignment="1">
      <alignment horizontal="center"/>
    </xf>
    <xf numFmtId="4" fontId="13" fillId="0" borderId="0" xfId="3" applyNumberFormat="1" applyFont="1"/>
    <xf numFmtId="4" fontId="13" fillId="0" borderId="0" xfId="3" applyNumberFormat="1" applyFont="1" applyAlignment="1">
      <alignment horizontal="right"/>
    </xf>
    <xf numFmtId="0" fontId="13" fillId="0" borderId="0" xfId="3" applyFont="1" applyAlignment="1">
      <alignment horizontal="center"/>
    </xf>
    <xf numFmtId="3" fontId="13" fillId="0" borderId="0" xfId="3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2" fillId="0" borderId="0" xfId="5" applyFont="1"/>
    <xf numFmtId="0" fontId="17" fillId="0" borderId="0" xfId="5" applyFont="1"/>
    <xf numFmtId="0" fontId="5" fillId="0" borderId="0" xfId="5" applyFont="1" applyAlignment="1">
      <alignment horizontal="centerContinuous" vertical="center" wrapText="1"/>
    </xf>
    <xf numFmtId="0" fontId="5" fillId="0" borderId="0" xfId="5" applyFont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31" fillId="3" borderId="1" xfId="5" applyFont="1" applyFill="1" applyBorder="1" applyAlignment="1">
      <alignment horizontal="center" vertical="center"/>
    </xf>
    <xf numFmtId="0" fontId="31" fillId="3" borderId="1" xfId="5" applyFont="1" applyFill="1" applyBorder="1" applyAlignment="1">
      <alignment horizontal="center" vertical="center" wrapText="1"/>
    </xf>
    <xf numFmtId="0" fontId="31" fillId="3" borderId="19" xfId="5" applyFont="1" applyFill="1" applyBorder="1" applyAlignment="1">
      <alignment horizontal="centerContinuous" vertical="center" wrapText="1"/>
    </xf>
    <xf numFmtId="0" fontId="31" fillId="3" borderId="22" xfId="5" applyFont="1" applyFill="1" applyBorder="1" applyAlignment="1">
      <alignment horizontal="centerContinuous" vertical="center" wrapText="1"/>
    </xf>
    <xf numFmtId="0" fontId="31" fillId="3" borderId="21" xfId="5" applyFont="1" applyFill="1" applyBorder="1" applyAlignment="1">
      <alignment horizontal="centerContinuous" vertical="center" wrapText="1"/>
    </xf>
    <xf numFmtId="0" fontId="31" fillId="3" borderId="3" xfId="5" applyFont="1" applyFill="1" applyBorder="1" applyAlignment="1">
      <alignment horizontal="center" vertical="center"/>
    </xf>
    <xf numFmtId="0" fontId="31" fillId="3" borderId="3" xfId="5" applyFont="1" applyFill="1" applyBorder="1" applyAlignment="1">
      <alignment horizontal="center" vertical="center" wrapText="1"/>
    </xf>
    <xf numFmtId="0" fontId="31" fillId="3" borderId="5" xfId="5" applyFont="1" applyFill="1" applyBorder="1" applyAlignment="1">
      <alignment horizontal="center" vertical="center"/>
    </xf>
    <xf numFmtId="0" fontId="31" fillId="3" borderId="5" xfId="5" applyFont="1" applyFill="1" applyBorder="1" applyAlignment="1">
      <alignment horizontal="center" vertical="center" wrapText="1"/>
    </xf>
    <xf numFmtId="0" fontId="31" fillId="3" borderId="5" xfId="5" applyFont="1" applyFill="1" applyBorder="1" applyAlignment="1">
      <alignment horizontal="center" vertical="top" wrapText="1"/>
    </xf>
    <xf numFmtId="0" fontId="31" fillId="3" borderId="16" xfId="5" applyFont="1" applyFill="1" applyBorder="1" applyAlignment="1">
      <alignment horizontal="center" vertical="center" wrapText="1"/>
    </xf>
    <xf numFmtId="0" fontId="32" fillId="0" borderId="16" xfId="5" applyFont="1" applyBorder="1" applyAlignment="1">
      <alignment horizontal="center" vertical="center"/>
    </xf>
    <xf numFmtId="4" fontId="13" fillId="0" borderId="0" xfId="5" applyNumberFormat="1" applyFont="1"/>
    <xf numFmtId="0" fontId="13" fillId="0" borderId="0" xfId="6" applyFont="1"/>
    <xf numFmtId="4" fontId="4" fillId="0" borderId="16" xfId="6" applyNumberFormat="1" applyFont="1" applyBorder="1" applyAlignment="1">
      <alignment vertical="center"/>
    </xf>
    <xf numFmtId="0" fontId="5" fillId="0" borderId="21" xfId="6" applyFont="1" applyBorder="1" applyAlignment="1">
      <alignment horizontal="centerContinuous" vertical="center"/>
    </xf>
    <xf numFmtId="0" fontId="5" fillId="0" borderId="22" xfId="6" applyFont="1" applyBorder="1" applyAlignment="1">
      <alignment horizontal="centerContinuous" vertical="center"/>
    </xf>
    <xf numFmtId="0" fontId="5" fillId="0" borderId="19" xfId="6" applyFont="1" applyBorder="1" applyAlignment="1">
      <alignment horizontal="centerContinuous" vertical="center"/>
    </xf>
    <xf numFmtId="4" fontId="18" fillId="0" borderId="18" xfId="6" applyNumberFormat="1" applyFont="1" applyBorder="1"/>
    <xf numFmtId="0" fontId="17" fillId="0" borderId="16" xfId="6" applyFont="1" applyBorder="1"/>
    <xf numFmtId="0" fontId="18" fillId="0" borderId="14" xfId="6" applyFont="1" applyBorder="1"/>
    <xf numFmtId="0" fontId="18" fillId="0" borderId="6" xfId="6" applyFont="1" applyBorder="1"/>
    <xf numFmtId="4" fontId="18" fillId="0" borderId="16" xfId="6" applyNumberFormat="1" applyFont="1" applyBorder="1"/>
    <xf numFmtId="0" fontId="18" fillId="0" borderId="16" xfId="6" applyFont="1" applyBorder="1"/>
    <xf numFmtId="4" fontId="17" fillId="0" borderId="16" xfId="6" applyNumberFormat="1" applyFont="1" applyBorder="1"/>
    <xf numFmtId="0" fontId="17" fillId="0" borderId="22" xfId="6" applyFont="1" applyBorder="1"/>
    <xf numFmtId="0" fontId="17" fillId="0" borderId="19" xfId="6" applyFont="1" applyBorder="1"/>
    <xf numFmtId="0" fontId="17" fillId="0" borderId="14" xfId="6" applyFont="1" applyBorder="1"/>
    <xf numFmtId="0" fontId="18" fillId="0" borderId="21" xfId="6" applyFont="1" applyBorder="1"/>
    <xf numFmtId="0" fontId="4" fillId="0" borderId="21" xfId="6" applyFont="1" applyBorder="1" applyAlignment="1">
      <alignment horizontal="left" vertical="center"/>
    </xf>
    <xf numFmtId="0" fontId="4" fillId="0" borderId="22" xfId="6" applyFont="1" applyBorder="1" applyAlignment="1">
      <alignment horizontal="left" vertical="center"/>
    </xf>
    <xf numFmtId="0" fontId="4" fillId="0" borderId="19" xfId="6" applyFont="1" applyBorder="1" applyAlignment="1">
      <alignment horizontal="left" vertical="center"/>
    </xf>
    <xf numFmtId="0" fontId="17" fillId="0" borderId="16" xfId="6" applyFont="1" applyBorder="1" applyAlignment="1">
      <alignment wrapText="1"/>
    </xf>
    <xf numFmtId="0" fontId="18" fillId="0" borderId="16" xfId="6" applyFont="1" applyBorder="1" applyAlignment="1">
      <alignment wrapText="1"/>
    </xf>
    <xf numFmtId="0" fontId="18" fillId="0" borderId="1" xfId="6" applyFont="1" applyBorder="1" applyAlignment="1">
      <alignment vertical="top"/>
    </xf>
    <xf numFmtId="0" fontId="18" fillId="0" borderId="1" xfId="6" applyFont="1" applyBorder="1"/>
    <xf numFmtId="4" fontId="18" fillId="0" borderId="16" xfId="6" applyNumberFormat="1" applyFont="1" applyBorder="1" applyAlignment="1">
      <alignment vertical="center"/>
    </xf>
    <xf numFmtId="0" fontId="18" fillId="0" borderId="16" xfId="6" applyFont="1" applyBorder="1" applyAlignment="1">
      <alignment vertical="top" wrapText="1"/>
    </xf>
    <xf numFmtId="0" fontId="18" fillId="0" borderId="16" xfId="6" applyFont="1" applyBorder="1" applyAlignment="1">
      <alignment vertical="top"/>
    </xf>
    <xf numFmtId="4" fontId="13" fillId="0" borderId="0" xfId="6" applyNumberFormat="1" applyFont="1"/>
    <xf numFmtId="0" fontId="18" fillId="0" borderId="14" xfId="6" applyFont="1" applyBorder="1" applyAlignment="1">
      <alignment vertical="top" wrapText="1"/>
    </xf>
    <xf numFmtId="0" fontId="32" fillId="0" borderId="0" xfId="6" applyFont="1"/>
    <xf numFmtId="0" fontId="2" fillId="0" borderId="0" xfId="6" applyFont="1"/>
    <xf numFmtId="0" fontId="32" fillId="0" borderId="16" xfId="6" applyFont="1" applyBorder="1" applyAlignment="1">
      <alignment horizontal="center" vertical="center"/>
    </xf>
    <xf numFmtId="0" fontId="5" fillId="3" borderId="16" xfId="6" applyFont="1" applyFill="1" applyBorder="1" applyAlignment="1">
      <alignment horizontal="center" vertical="center"/>
    </xf>
    <xf numFmtId="0" fontId="2" fillId="0" borderId="0" xfId="6" applyFont="1" applyAlignment="1">
      <alignment horizontal="centerContinuous"/>
    </xf>
    <xf numFmtId="0" fontId="33" fillId="0" borderId="0" xfId="6" applyFont="1" applyAlignment="1">
      <alignment horizontal="center" vertical="center"/>
    </xf>
    <xf numFmtId="0" fontId="5" fillId="0" borderId="0" xfId="6" applyFont="1" applyAlignment="1">
      <alignment horizontal="centerContinuous" vertical="center" wrapText="1"/>
    </xf>
    <xf numFmtId="0" fontId="2" fillId="0" borderId="0" xfId="6" applyFont="1" applyAlignment="1">
      <alignment horizontal="left"/>
    </xf>
    <xf numFmtId="0" fontId="35" fillId="0" borderId="0" xfId="6" applyFont="1"/>
    <xf numFmtId="0" fontId="5" fillId="0" borderId="22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18" fillId="0" borderId="22" xfId="6" applyFont="1" applyBorder="1"/>
    <xf numFmtId="0" fontId="18" fillId="0" borderId="19" xfId="6" applyFont="1" applyBorder="1"/>
    <xf numFmtId="4" fontId="18" fillId="0" borderId="5" xfId="6" applyNumberFormat="1" applyFont="1" applyBorder="1"/>
    <xf numFmtId="0" fontId="17" fillId="0" borderId="14" xfId="6" applyFont="1" applyBorder="1" applyAlignment="1">
      <alignment vertical="top" wrapText="1"/>
    </xf>
    <xf numFmtId="0" fontId="18" fillId="0" borderId="18" xfId="6" applyFont="1" applyBorder="1"/>
    <xf numFmtId="0" fontId="17" fillId="0" borderId="19" xfId="6" applyFont="1" applyBorder="1" applyAlignment="1">
      <alignment vertical="top" wrapText="1"/>
    </xf>
    <xf numFmtId="0" fontId="18" fillId="0" borderId="19" xfId="6" applyFont="1" applyBorder="1" applyAlignment="1">
      <alignment horizontal="left" vertical="top" wrapText="1"/>
    </xf>
    <xf numFmtId="0" fontId="17" fillId="0" borderId="6" xfId="6" applyFont="1" applyBorder="1" applyAlignment="1">
      <alignment horizontal="left" vertical="center" wrapText="1"/>
    </xf>
    <xf numFmtId="4" fontId="18" fillId="0" borderId="12" xfId="6" applyNumberFormat="1" applyFont="1" applyBorder="1"/>
    <xf numFmtId="0" fontId="17" fillId="0" borderId="11" xfId="6" applyFont="1" applyBorder="1" applyAlignment="1">
      <alignment vertical="center" wrapText="1"/>
    </xf>
    <xf numFmtId="0" fontId="18" fillId="0" borderId="17" xfId="6" applyFont="1" applyBorder="1"/>
    <xf numFmtId="0" fontId="18" fillId="0" borderId="0" xfId="6" applyFont="1"/>
    <xf numFmtId="0" fontId="18" fillId="0" borderId="4" xfId="6" applyFont="1" applyBorder="1"/>
    <xf numFmtId="0" fontId="17" fillId="0" borderId="11" xfId="6" applyFont="1" applyBorder="1" applyAlignment="1">
      <alignment horizontal="left" vertical="center" wrapText="1"/>
    </xf>
    <xf numFmtId="4" fontId="18" fillId="0" borderId="35" xfId="6" applyNumberFormat="1" applyFont="1" applyBorder="1"/>
    <xf numFmtId="0" fontId="17" fillId="0" borderId="36" xfId="6" applyFont="1" applyBorder="1" applyAlignment="1">
      <alignment horizontal="left" vertical="center" wrapText="1"/>
    </xf>
    <xf numFmtId="0" fontId="18" fillId="0" borderId="5" xfId="6" applyFont="1" applyBorder="1"/>
    <xf numFmtId="0" fontId="17" fillId="0" borderId="35" xfId="6" applyFont="1" applyBorder="1" applyAlignment="1">
      <alignment horizontal="left" vertical="center" wrapText="1"/>
    </xf>
    <xf numFmtId="0" fontId="17" fillId="0" borderId="36" xfId="6" applyFont="1" applyBorder="1" applyAlignment="1">
      <alignment vertical="center" wrapText="1"/>
    </xf>
    <xf numFmtId="4" fontId="18" fillId="0" borderId="15" xfId="6" applyNumberFormat="1" applyFont="1" applyBorder="1"/>
    <xf numFmtId="0" fontId="17" fillId="0" borderId="37" xfId="6" applyFont="1" applyBorder="1" applyAlignment="1">
      <alignment horizontal="left" wrapText="1"/>
    </xf>
    <xf numFmtId="0" fontId="18" fillId="0" borderId="20" xfId="6" applyFont="1" applyBorder="1"/>
    <xf numFmtId="0" fontId="18" fillId="0" borderId="38" xfId="6" applyFont="1" applyBorder="1"/>
    <xf numFmtId="0" fontId="18" fillId="0" borderId="2" xfId="6" applyFont="1" applyBorder="1"/>
    <xf numFmtId="0" fontId="18" fillId="0" borderId="19" xfId="6" applyFont="1" applyBorder="1" applyAlignment="1">
      <alignment vertical="top" wrapText="1"/>
    </xf>
    <xf numFmtId="0" fontId="17" fillId="0" borderId="6" xfId="6" applyFont="1" applyBorder="1" applyAlignment="1">
      <alignment vertical="top" wrapText="1"/>
    </xf>
    <xf numFmtId="0" fontId="36" fillId="0" borderId="19" xfId="6" applyFont="1" applyBorder="1"/>
    <xf numFmtId="0" fontId="37" fillId="0" borderId="0" xfId="6" applyFont="1"/>
    <xf numFmtId="0" fontId="17" fillId="0" borderId="6" xfId="6" applyFont="1" applyBorder="1" applyAlignment="1">
      <alignment horizontal="left" wrapText="1"/>
    </xf>
    <xf numFmtId="0" fontId="17" fillId="0" borderId="36" xfId="6" applyFont="1" applyBorder="1" applyAlignment="1">
      <alignment horizontal="left" wrapText="1"/>
    </xf>
    <xf numFmtId="0" fontId="17" fillId="0" borderId="37" xfId="6" applyFont="1" applyBorder="1" applyAlignment="1">
      <alignment horizontal="left" vertical="center" wrapText="1"/>
    </xf>
    <xf numFmtId="0" fontId="17" fillId="0" borderId="6" xfId="6" applyFont="1" applyBorder="1" applyAlignment="1">
      <alignment vertical="center" wrapText="1"/>
    </xf>
    <xf numFmtId="0" fontId="17" fillId="0" borderId="11" xfId="6" applyFont="1" applyBorder="1"/>
    <xf numFmtId="4" fontId="18" fillId="0" borderId="39" xfId="6" applyNumberFormat="1" applyFont="1" applyBorder="1"/>
    <xf numFmtId="0" fontId="17" fillId="0" borderId="40" xfId="6" applyFont="1" applyBorder="1" applyAlignment="1">
      <alignment vertical="center" wrapText="1"/>
    </xf>
    <xf numFmtId="0" fontId="17" fillId="0" borderId="36" xfId="6" applyFont="1" applyBorder="1"/>
    <xf numFmtId="4" fontId="18" fillId="0" borderId="41" xfId="6" applyNumberFormat="1" applyFont="1" applyBorder="1"/>
    <xf numFmtId="0" fontId="17" fillId="0" borderId="36" xfId="6" applyFont="1" applyBorder="1" applyAlignment="1">
      <alignment horizontal="left" vertical="top" wrapText="1"/>
    </xf>
    <xf numFmtId="0" fontId="17" fillId="0" borderId="11" xfId="6" applyFont="1" applyBorder="1" applyAlignment="1">
      <alignment horizontal="left" wrapText="1"/>
    </xf>
    <xf numFmtId="0" fontId="17" fillId="0" borderId="15" xfId="6" applyFont="1" applyBorder="1" applyAlignment="1">
      <alignment horizontal="left" wrapText="1"/>
    </xf>
    <xf numFmtId="0" fontId="36" fillId="0" borderId="36" xfId="6" applyFont="1" applyBorder="1"/>
    <xf numFmtId="0" fontId="36" fillId="0" borderId="11" xfId="6" applyFont="1" applyBorder="1"/>
    <xf numFmtId="4" fontId="18" fillId="0" borderId="42" xfId="6" applyNumberFormat="1" applyFont="1" applyBorder="1"/>
    <xf numFmtId="0" fontId="17" fillId="0" borderId="43" xfId="6" applyFont="1" applyBorder="1"/>
    <xf numFmtId="0" fontId="36" fillId="0" borderId="37" xfId="6" applyFont="1" applyBorder="1"/>
    <xf numFmtId="0" fontId="17" fillId="0" borderId="19" xfId="6" applyFont="1" applyBorder="1" applyAlignment="1">
      <alignment horizontal="left" vertical="center" wrapText="1"/>
    </xf>
    <xf numFmtId="0" fontId="17" fillId="0" borderId="19" xfId="6" applyFont="1" applyBorder="1" applyAlignment="1">
      <alignment vertical="center" wrapText="1"/>
    </xf>
    <xf numFmtId="0" fontId="17" fillId="0" borderId="40" xfId="6" applyFont="1" applyBorder="1" applyAlignment="1">
      <alignment horizontal="left" vertical="center" wrapText="1"/>
    </xf>
    <xf numFmtId="0" fontId="17" fillId="0" borderId="37" xfId="6" applyFont="1" applyBorder="1" applyAlignment="1">
      <alignment vertical="center" wrapText="1"/>
    </xf>
    <xf numFmtId="0" fontId="5" fillId="3" borderId="19" xfId="6" applyFont="1" applyFill="1" applyBorder="1" applyAlignment="1">
      <alignment horizontal="centerContinuous" vertical="center"/>
    </xf>
    <xf numFmtId="0" fontId="18" fillId="0" borderId="19" xfId="6" applyFont="1" applyBorder="1" applyAlignment="1">
      <alignment wrapText="1"/>
    </xf>
    <xf numFmtId="0" fontId="38" fillId="0" borderId="0" xfId="6" applyFont="1"/>
    <xf numFmtId="0" fontId="18" fillId="0" borderId="6" xfId="6" applyFont="1" applyBorder="1" applyAlignment="1">
      <alignment wrapText="1"/>
    </xf>
    <xf numFmtId="0" fontId="18" fillId="0" borderId="18" xfId="6" applyFont="1" applyBorder="1" applyAlignment="1">
      <alignment vertical="top"/>
    </xf>
    <xf numFmtId="0" fontId="18" fillId="0" borderId="5" xfId="6" applyFont="1" applyBorder="1" applyAlignment="1">
      <alignment vertical="top"/>
    </xf>
    <xf numFmtId="0" fontId="18" fillId="0" borderId="20" xfId="6" applyFont="1" applyBorder="1" applyAlignment="1">
      <alignment horizontal="right" vertical="center"/>
    </xf>
    <xf numFmtId="0" fontId="18" fillId="0" borderId="1" xfId="6" applyFont="1" applyBorder="1" applyAlignment="1">
      <alignment horizontal="right" vertical="center"/>
    </xf>
    <xf numFmtId="0" fontId="18" fillId="0" borderId="20" xfId="6" applyFont="1" applyBorder="1" applyAlignment="1">
      <alignment vertical="top"/>
    </xf>
    <xf numFmtId="4" fontId="35" fillId="0" borderId="0" xfId="6" applyNumberFormat="1" applyFont="1"/>
    <xf numFmtId="4" fontId="18" fillId="0" borderId="5" xfId="6" applyNumberFormat="1" applyFont="1" applyBorder="1" applyAlignment="1">
      <alignment vertical="center"/>
    </xf>
    <xf numFmtId="0" fontId="18" fillId="0" borderId="6" xfId="6" applyFont="1" applyBorder="1" applyAlignment="1">
      <alignment vertical="center" wrapText="1"/>
    </xf>
    <xf numFmtId="3" fontId="17" fillId="0" borderId="39" xfId="7" applyNumberFormat="1" applyFont="1" applyBorder="1"/>
    <xf numFmtId="0" fontId="17" fillId="0" borderId="40" xfId="7" applyFont="1" applyBorder="1" applyAlignment="1">
      <alignment vertical="center" wrapText="1"/>
    </xf>
    <xf numFmtId="0" fontId="17" fillId="0" borderId="5" xfId="7" applyFont="1" applyBorder="1" applyAlignment="1">
      <alignment vertical="top"/>
    </xf>
    <xf numFmtId="3" fontId="17" fillId="0" borderId="35" xfId="7" applyNumberFormat="1" applyFont="1" applyBorder="1"/>
    <xf numFmtId="0" fontId="17" fillId="0" borderId="36" xfId="7" applyFont="1" applyBorder="1" applyAlignment="1">
      <alignment vertical="center" wrapText="1"/>
    </xf>
    <xf numFmtId="0" fontId="17" fillId="0" borderId="3" xfId="7" applyFont="1" applyBorder="1" applyAlignment="1">
      <alignment vertical="top"/>
    </xf>
    <xf numFmtId="3" fontId="17" fillId="0" borderId="15" xfId="7" applyNumberFormat="1" applyFont="1" applyBorder="1"/>
    <xf numFmtId="0" fontId="17" fillId="0" borderId="37" xfId="7" applyFont="1" applyBorder="1" applyAlignment="1">
      <alignment vertical="center" wrapText="1"/>
    </xf>
    <xf numFmtId="0" fontId="17" fillId="0" borderId="1" xfId="7" applyFont="1" applyBorder="1" applyAlignment="1">
      <alignment vertical="top"/>
    </xf>
    <xf numFmtId="4" fontId="18" fillId="0" borderId="16" xfId="7" applyNumberFormat="1" applyFont="1" applyBorder="1"/>
    <xf numFmtId="0" fontId="18" fillId="0" borderId="19" xfId="7" applyFont="1" applyBorder="1" applyAlignment="1">
      <alignment vertical="top" wrapText="1"/>
    </xf>
    <xf numFmtId="0" fontId="39" fillId="0" borderId="16" xfId="7" applyFont="1" applyBorder="1" applyAlignment="1">
      <alignment vertical="center"/>
    </xf>
    <xf numFmtId="0" fontId="17" fillId="0" borderId="16" xfId="6" applyFont="1" applyBorder="1" applyAlignment="1">
      <alignment vertical="center" wrapText="1"/>
    </xf>
    <xf numFmtId="0" fontId="17" fillId="0" borderId="35" xfId="6" applyFont="1" applyBorder="1" applyAlignment="1">
      <alignment horizontal="left" wrapText="1"/>
    </xf>
    <xf numFmtId="0" fontId="39" fillId="0" borderId="16" xfId="6" applyFont="1" applyBorder="1" applyAlignment="1">
      <alignment horizontal="left" vertical="center"/>
    </xf>
    <xf numFmtId="0" fontId="18" fillId="0" borderId="16" xfId="6" applyFont="1" applyBorder="1" applyAlignment="1">
      <alignment vertical="center"/>
    </xf>
    <xf numFmtId="0" fontId="17" fillId="0" borderId="0" xfId="6" applyFont="1"/>
    <xf numFmtId="0" fontId="32" fillId="0" borderId="19" xfId="6" applyFont="1" applyBorder="1" applyAlignment="1">
      <alignment horizontal="centerContinuous" vertical="center"/>
    </xf>
    <xf numFmtId="0" fontId="7" fillId="0" borderId="0" xfId="6" applyFont="1" applyAlignment="1">
      <alignment horizontal="center"/>
    </xf>
    <xf numFmtId="0" fontId="5" fillId="0" borderId="0" xfId="0" applyFont="1" applyAlignment="1">
      <alignment horizontal="centerContinuous" vertical="center"/>
    </xf>
    <xf numFmtId="0" fontId="30" fillId="0" borderId="0" xfId="0" applyFont="1"/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1" xfId="0" applyFont="1" applyBorder="1" applyAlignment="1">
      <alignment horizontal="left" vertical="center" indent="2"/>
    </xf>
    <xf numFmtId="0" fontId="30" fillId="0" borderId="3" xfId="0" applyFont="1" applyBorder="1" applyAlignment="1">
      <alignment horizontal="left" vertical="center" indent="2"/>
    </xf>
    <xf numFmtId="0" fontId="30" fillId="0" borderId="3" xfId="0" applyFont="1" applyBorder="1" applyAlignment="1">
      <alignment vertical="top"/>
    </xf>
    <xf numFmtId="0" fontId="30" fillId="0" borderId="3" xfId="0" applyFont="1" applyBorder="1" applyAlignment="1">
      <alignment horizontal="left" vertical="top" wrapText="1" indent="2"/>
    </xf>
    <xf numFmtId="0" fontId="30" fillId="0" borderId="5" xfId="0" applyFont="1" applyBorder="1" applyAlignment="1">
      <alignment vertical="top"/>
    </xf>
    <xf numFmtId="0" fontId="25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left" vertical="center" indent="2"/>
    </xf>
    <xf numFmtId="0" fontId="30" fillId="0" borderId="3" xfId="0" applyFont="1" applyBorder="1" applyAlignment="1">
      <alignment horizontal="left" vertical="center" wrapText="1" indent="2"/>
    </xf>
    <xf numFmtId="0" fontId="30" fillId="0" borderId="5" xfId="0" applyFont="1" applyBorder="1" applyAlignment="1">
      <alignment vertical="center"/>
    </xf>
    <xf numFmtId="0" fontId="30" fillId="0" borderId="5" xfId="0" applyFont="1" applyBorder="1" applyAlignment="1">
      <alignment horizontal="left" vertical="center" indent="2"/>
    </xf>
    <xf numFmtId="0" fontId="13" fillId="0" borderId="0" xfId="0" applyFont="1"/>
    <xf numFmtId="0" fontId="30" fillId="0" borderId="0" xfId="0" applyFont="1" applyAlignment="1">
      <alignment vertical="center"/>
    </xf>
    <xf numFmtId="0" fontId="40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49" fontId="35" fillId="0" borderId="3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" fontId="41" fillId="0" borderId="5" xfId="0" applyNumberFormat="1" applyFont="1" applyBorder="1" applyAlignment="1">
      <alignment vertical="center"/>
    </xf>
    <xf numFmtId="4" fontId="35" fillId="0" borderId="5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0" xfId="0" applyFont="1" applyAlignment="1">
      <alignment wrapText="1"/>
    </xf>
    <xf numFmtId="49" fontId="35" fillId="0" borderId="16" xfId="0" applyNumberFormat="1" applyFont="1" applyBorder="1" applyAlignment="1">
      <alignment horizontal="center" vertical="center"/>
    </xf>
    <xf numFmtId="4" fontId="35" fillId="0" borderId="16" xfId="0" applyNumberFormat="1" applyFont="1" applyBorder="1" applyAlignment="1">
      <alignment horizontal="center" vertical="center"/>
    </xf>
    <xf numFmtId="4" fontId="41" fillId="0" borderId="16" xfId="0" applyNumberFormat="1" applyFont="1" applyBorder="1" applyAlignment="1">
      <alignment vertical="center"/>
    </xf>
    <xf numFmtId="0" fontId="42" fillId="0" borderId="0" xfId="0" applyFont="1"/>
    <xf numFmtId="4" fontId="35" fillId="0" borderId="3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49" fontId="35" fillId="0" borderId="18" xfId="0" applyNumberFormat="1" applyFont="1" applyBorder="1" applyAlignment="1">
      <alignment horizontal="center" vertical="center"/>
    </xf>
    <xf numFmtId="4" fontId="35" fillId="0" borderId="5" xfId="0" applyNumberFormat="1" applyFont="1" applyBorder="1" applyAlignment="1">
      <alignment vertical="center"/>
    </xf>
    <xf numFmtId="0" fontId="42" fillId="0" borderId="0" xfId="0" applyFont="1" applyAlignment="1">
      <alignment vertical="center" wrapText="1"/>
    </xf>
    <xf numFmtId="49" fontId="35" fillId="0" borderId="17" xfId="0" applyNumberFormat="1" applyFont="1" applyBorder="1" applyAlignment="1">
      <alignment horizontal="center" vertical="center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11" fillId="0" borderId="11" xfId="0" applyFont="1" applyBorder="1" applyAlignment="1">
      <alignment vertical="center" wrapText="1"/>
    </xf>
    <xf numFmtId="4" fontId="11" fillId="0" borderId="12" xfId="0" applyNumberFormat="1" applyFont="1" applyBorder="1"/>
    <xf numFmtId="4" fontId="11" fillId="0" borderId="12" xfId="0" applyNumberFormat="1" applyFont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4" fontId="2" fillId="0" borderId="12" xfId="0" applyNumberFormat="1" applyFont="1" applyBorder="1" applyAlignment="1">
      <alignment horizontal="right"/>
    </xf>
    <xf numFmtId="0" fontId="11" fillId="0" borderId="11" xfId="0" applyFont="1" applyBorder="1"/>
    <xf numFmtId="0" fontId="11" fillId="0" borderId="4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1" xfId="0" applyFont="1" applyBorder="1" applyAlignment="1">
      <alignment wrapText="1"/>
    </xf>
    <xf numFmtId="4" fontId="11" fillId="0" borderId="15" xfId="0" applyNumberFormat="1" applyFont="1" applyBorder="1"/>
    <xf numFmtId="0" fontId="11" fillId="0" borderId="12" xfId="0" applyFont="1" applyBorder="1"/>
    <xf numFmtId="0" fontId="11" fillId="0" borderId="12" xfId="0" applyFont="1" applyBorder="1" applyAlignment="1">
      <alignment wrapText="1"/>
    </xf>
    <xf numFmtId="0" fontId="2" fillId="0" borderId="12" xfId="0" applyFont="1" applyBorder="1"/>
    <xf numFmtId="0" fontId="11" fillId="0" borderId="15" xfId="0" applyFont="1" applyBorder="1"/>
    <xf numFmtId="0" fontId="11" fillId="0" borderId="11" xfId="0" applyFont="1" applyBorder="1" applyAlignment="1">
      <alignment wrapText="1"/>
    </xf>
    <xf numFmtId="0" fontId="44" fillId="0" borderId="0" xfId="2" applyFont="1"/>
    <xf numFmtId="0" fontId="6" fillId="0" borderId="16" xfId="2" applyFont="1" applyBorder="1" applyAlignment="1">
      <alignment horizontal="center" vertical="center" wrapText="1"/>
    </xf>
    <xf numFmtId="4" fontId="31" fillId="0" borderId="16" xfId="2" applyNumberFormat="1" applyFont="1" applyBorder="1" applyAlignment="1">
      <alignment horizontal="right" vertical="center" wrapText="1"/>
    </xf>
    <xf numFmtId="3" fontId="31" fillId="0" borderId="0" xfId="2" applyNumberFormat="1" applyFont="1"/>
    <xf numFmtId="0" fontId="31" fillId="0" borderId="0" xfId="2" applyFont="1"/>
    <xf numFmtId="3" fontId="32" fillId="0" borderId="16" xfId="2" applyNumberFormat="1" applyFont="1" applyBorder="1" applyAlignment="1">
      <alignment horizontal="center" vertical="center" wrapText="1"/>
    </xf>
    <xf numFmtId="3" fontId="22" fillId="0" borderId="1" xfId="2" applyNumberFormat="1" applyFont="1" applyBorder="1" applyAlignment="1">
      <alignment horizontal="center" vertical="center" wrapText="1"/>
    </xf>
    <xf numFmtId="0" fontId="23" fillId="0" borderId="0" xfId="3" applyFont="1"/>
    <xf numFmtId="0" fontId="13" fillId="0" borderId="23" xfId="3" applyFont="1" applyBorder="1" applyAlignment="1">
      <alignment vertical="center"/>
    </xf>
    <xf numFmtId="4" fontId="13" fillId="0" borderId="23" xfId="3" applyNumberFormat="1" applyFont="1" applyBorder="1" applyAlignment="1">
      <alignment horizontal="center" vertical="center"/>
    </xf>
    <xf numFmtId="4" fontId="13" fillId="0" borderId="23" xfId="3" applyNumberFormat="1" applyFont="1" applyBorder="1" applyAlignment="1">
      <alignment vertical="center"/>
    </xf>
    <xf numFmtId="0" fontId="13" fillId="0" borderId="24" xfId="3" applyFont="1" applyBorder="1" applyAlignment="1">
      <alignment vertical="center"/>
    </xf>
    <xf numFmtId="4" fontId="13" fillId="0" borderId="24" xfId="3" applyNumberFormat="1" applyFont="1" applyBorder="1" applyAlignment="1">
      <alignment horizontal="center" vertical="center"/>
    </xf>
    <xf numFmtId="4" fontId="13" fillId="0" borderId="24" xfId="3" applyNumberFormat="1" applyFont="1" applyBorder="1" applyAlignment="1">
      <alignment vertical="center"/>
    </xf>
    <xf numFmtId="0" fontId="13" fillId="2" borderId="31" xfId="3" applyFont="1" applyFill="1" applyBorder="1"/>
    <xf numFmtId="0" fontId="13" fillId="2" borderId="5" xfId="3" applyFont="1" applyFill="1" applyBorder="1"/>
    <xf numFmtId="0" fontId="30" fillId="0" borderId="0" xfId="5" applyFont="1" applyAlignment="1">
      <alignment vertical="center"/>
    </xf>
    <xf numFmtId="0" fontId="30" fillId="0" borderId="0" xfId="5" applyFont="1"/>
    <xf numFmtId="0" fontId="30" fillId="0" borderId="16" xfId="5" applyFont="1" applyBorder="1" applyAlignment="1">
      <alignment vertical="center"/>
    </xf>
    <xf numFmtId="4" fontId="30" fillId="0" borderId="16" xfId="5" applyNumberFormat="1" applyFont="1" applyBorder="1" applyAlignment="1">
      <alignment vertical="center"/>
    </xf>
    <xf numFmtId="0" fontId="30" fillId="0" borderId="18" xfId="5" applyFont="1" applyBorder="1" applyAlignment="1">
      <alignment vertical="center"/>
    </xf>
    <xf numFmtId="4" fontId="30" fillId="0" borderId="5" xfId="5" applyNumberFormat="1" applyFont="1" applyBorder="1" applyAlignment="1">
      <alignment vertical="center"/>
    </xf>
    <xf numFmtId="0" fontId="25" fillId="0" borderId="6" xfId="5" applyFont="1" applyBorder="1" applyAlignment="1">
      <alignment horizontal="centerContinuous" vertical="center"/>
    </xf>
    <xf numFmtId="0" fontId="25" fillId="0" borderId="14" xfId="5" applyFont="1" applyBorder="1" applyAlignment="1">
      <alignment horizontal="centerContinuous" vertical="center"/>
    </xf>
    <xf numFmtId="0" fontId="25" fillId="0" borderId="18" xfId="5" applyFont="1" applyBorder="1" applyAlignment="1">
      <alignment horizontal="centerContinuous" vertical="center"/>
    </xf>
    <xf numFmtId="4" fontId="25" fillId="0" borderId="5" xfId="5" applyNumberFormat="1" applyFont="1" applyBorder="1" applyAlignment="1">
      <alignment vertical="center"/>
    </xf>
    <xf numFmtId="0" fontId="30" fillId="0" borderId="0" xfId="6" applyFont="1"/>
    <xf numFmtId="0" fontId="30" fillId="0" borderId="0" xfId="6" applyFont="1" applyAlignment="1">
      <alignment vertical="center"/>
    </xf>
    <xf numFmtId="0" fontId="36" fillId="0" borderId="19" xfId="6" applyFont="1" applyBorder="1" applyAlignment="1">
      <alignment horizontal="centerContinuous"/>
    </xf>
    <xf numFmtId="0" fontId="36" fillId="0" borderId="22" xfId="6" applyFont="1" applyBorder="1" applyAlignment="1">
      <alignment horizontal="centerContinuous"/>
    </xf>
    <xf numFmtId="0" fontId="30" fillId="0" borderId="21" xfId="6" applyFont="1" applyBorder="1" applyAlignment="1">
      <alignment horizontal="centerContinuous"/>
    </xf>
    <xf numFmtId="4" fontId="36" fillId="0" borderId="16" xfId="6" applyNumberFormat="1" applyFont="1" applyBorder="1"/>
    <xf numFmtId="0" fontId="39" fillId="0" borderId="0" xfId="6" applyFont="1" applyAlignment="1">
      <alignment vertical="center"/>
    </xf>
    <xf numFmtId="0" fontId="36" fillId="0" borderId="19" xfId="6" applyFont="1" applyBorder="1" applyAlignment="1">
      <alignment horizontal="center"/>
    </xf>
    <xf numFmtId="0" fontId="36" fillId="0" borderId="22" xfId="6" applyFont="1" applyBorder="1" applyAlignment="1">
      <alignment horizontal="center"/>
    </xf>
    <xf numFmtId="3" fontId="30" fillId="0" borderId="0" xfId="6" applyNumberFormat="1" applyFont="1"/>
    <xf numFmtId="4" fontId="30" fillId="0" borderId="0" xfId="6" applyNumberFormat="1" applyFont="1"/>
    <xf numFmtId="0" fontId="0" fillId="0" borderId="0" xfId="0" applyFont="1" applyAlignment="1">
      <alignment vertical="center"/>
    </xf>
    <xf numFmtId="0" fontId="25" fillId="0" borderId="41" xfId="0" applyFont="1" applyBorder="1" applyAlignment="1">
      <alignment vertical="center" wrapText="1"/>
    </xf>
    <xf numFmtId="3" fontId="0" fillId="0" borderId="4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4" fontId="0" fillId="0" borderId="5" xfId="0" applyNumberFormat="1" applyFont="1" applyBorder="1" applyAlignment="1">
      <alignment vertical="top"/>
    </xf>
    <xf numFmtId="0" fontId="0" fillId="0" borderId="16" xfId="0" applyFont="1" applyBorder="1" applyAlignment="1">
      <alignment vertical="center"/>
    </xf>
    <xf numFmtId="4" fontId="0" fillId="0" borderId="16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vertical="center"/>
    </xf>
    <xf numFmtId="4" fontId="0" fillId="0" borderId="5" xfId="0" applyNumberFormat="1" applyFont="1" applyBorder="1" applyAlignment="1">
      <alignment horizontal="right" vertical="center"/>
    </xf>
    <xf numFmtId="0" fontId="0" fillId="2" borderId="5" xfId="0" applyFont="1" applyFill="1" applyBorder="1" applyAlignment="1">
      <alignment vertical="center"/>
    </xf>
    <xf numFmtId="0" fontId="25" fillId="2" borderId="16" xfId="0" applyFont="1" applyFill="1" applyBorder="1" applyAlignment="1">
      <alignment horizontal="left" vertical="center" indent="2"/>
    </xf>
    <xf numFmtId="4" fontId="25" fillId="2" borderId="5" xfId="0" applyNumberFormat="1" applyFont="1" applyFill="1" applyBorder="1" applyAlignment="1">
      <alignment vertical="center"/>
    </xf>
    <xf numFmtId="0" fontId="0" fillId="2" borderId="0" xfId="0" applyFont="1" applyFill="1"/>
    <xf numFmtId="0" fontId="11" fillId="0" borderId="0" xfId="0" applyFont="1"/>
    <xf numFmtId="0" fontId="13" fillId="0" borderId="0" xfId="0" applyFont="1" applyAlignment="1">
      <alignment vertical="center"/>
    </xf>
    <xf numFmtId="4" fontId="45" fillId="0" borderId="3" xfId="0" applyNumberFormat="1" applyFont="1" applyBorder="1" applyAlignment="1">
      <alignment vertical="center"/>
    </xf>
    <xf numFmtId="0" fontId="35" fillId="0" borderId="3" xfId="0" applyFont="1" applyBorder="1"/>
    <xf numFmtId="0" fontId="35" fillId="0" borderId="3" xfId="0" applyFont="1" applyBorder="1" applyAlignment="1">
      <alignment wrapText="1"/>
    </xf>
    <xf numFmtId="0" fontId="31" fillId="0" borderId="19" xfId="0" applyFont="1" applyBorder="1" applyAlignment="1">
      <alignment horizontal="center" vertical="center"/>
    </xf>
    <xf numFmtId="0" fontId="43" fillId="0" borderId="22" xfId="0" applyFont="1" applyBorder="1" applyAlignment="1">
      <alignment horizontal="right" vertical="center"/>
    </xf>
    <xf numFmtId="0" fontId="0" fillId="0" borderId="22" xfId="0" applyFont="1" applyBorder="1" applyAlignment="1">
      <alignment horizontal="center" vertical="center"/>
    </xf>
    <xf numFmtId="4" fontId="31" fillId="0" borderId="21" xfId="0" applyNumberFormat="1" applyFont="1" applyBorder="1" applyAlignment="1">
      <alignment vertical="center"/>
    </xf>
    <xf numFmtId="4" fontId="31" fillId="0" borderId="16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6" fillId="0" borderId="16" xfId="2" applyFont="1" applyBorder="1" applyAlignment="1">
      <alignment horizontal="center" vertical="center"/>
    </xf>
  </cellXfs>
  <cellStyles count="8">
    <cellStyle name="Dziesiętny" xfId="1" builtinId="3"/>
    <cellStyle name="Normalny" xfId="0" builtinId="0"/>
    <cellStyle name="Normalny 2" xfId="2" xr:uid="{C343D224-FACD-4F46-8977-7FE50F5CF31D}"/>
    <cellStyle name="Normalny 3" xfId="4" xr:uid="{35744BC6-3013-4B10-9126-281D8FD56656}"/>
    <cellStyle name="Normalny 3 2" xfId="6" xr:uid="{7092221B-9CB0-4924-8154-37585F22D166}"/>
    <cellStyle name="Normalny 4" xfId="5" xr:uid="{A5CA264A-DDAB-4675-94AC-3D352531B1ED}"/>
    <cellStyle name="Normalny 5" xfId="7" xr:uid="{8B090CA6-39A9-47F3-BC97-73A4F1782A83}"/>
    <cellStyle name="Normalny_zal_Szczecin" xfId="3" xr:uid="{651DF889-6E1B-4A4D-AF69-D48CED77A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2BE2-1FE4-4B2D-8FF8-99FB0FEF923D}">
  <dimension ref="A1:M625"/>
  <sheetViews>
    <sheetView tabSelected="1" zoomScale="140" zoomScaleNormal="140" workbookViewId="0"/>
  </sheetViews>
  <sheetFormatPr defaultRowHeight="15" x14ac:dyDescent="0.25"/>
  <cols>
    <col min="1" max="1" width="4.140625" style="418" customWidth="1"/>
    <col min="2" max="2" width="6" style="418" customWidth="1"/>
    <col min="3" max="3" width="5" style="418" customWidth="1"/>
    <col min="4" max="4" width="39.5703125" style="418" customWidth="1"/>
    <col min="5" max="5" width="13" style="418" customWidth="1"/>
    <col min="6" max="6" width="10.5703125" style="418" customWidth="1"/>
    <col min="7" max="7" width="10.28515625" style="418" customWidth="1"/>
    <col min="8" max="8" width="13" style="418" customWidth="1"/>
    <col min="9" max="9" width="9.85546875" style="4" customWidth="1"/>
    <col min="10" max="10" width="8.5703125" style="417" customWidth="1"/>
    <col min="11" max="11" width="9.85546875" style="417" customWidth="1"/>
    <col min="12" max="12" width="9.7109375" style="418" customWidth="1"/>
    <col min="13" max="13" width="11.5703125" style="418" customWidth="1"/>
    <col min="14" max="14" width="10.28515625" style="418" customWidth="1"/>
    <col min="15" max="16384" width="9.140625" style="418"/>
  </cols>
  <sheetData>
    <row r="1" spans="1:13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187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188</v>
      </c>
      <c r="G4" s="1"/>
      <c r="H4" s="1"/>
    </row>
    <row r="5" spans="1:13" ht="48.75" customHeight="1" x14ac:dyDescent="0.25">
      <c r="A5" s="5" t="s">
        <v>2</v>
      </c>
      <c r="B5" s="419"/>
      <c r="C5" s="6"/>
      <c r="D5" s="6"/>
      <c r="E5" s="419"/>
      <c r="F5" s="419"/>
      <c r="G5" s="7"/>
      <c r="H5" s="419"/>
    </row>
    <row r="6" spans="1:13" ht="30" customHeight="1" x14ac:dyDescent="0.25">
      <c r="A6" s="1"/>
      <c r="B6" s="1"/>
      <c r="C6" s="2"/>
      <c r="D6" s="2"/>
      <c r="E6" s="8"/>
      <c r="F6" s="1"/>
      <c r="G6" s="9"/>
      <c r="H6" s="10" t="s">
        <v>3</v>
      </c>
    </row>
    <row r="7" spans="1:13" s="19" customFormat="1" ht="11.25" x14ac:dyDescent="0.2">
      <c r="A7" s="11"/>
      <c r="B7" s="11"/>
      <c r="C7" s="12"/>
      <c r="D7" s="13"/>
      <c r="E7" s="14" t="s">
        <v>4</v>
      </c>
      <c r="F7" s="15"/>
      <c r="G7" s="16"/>
      <c r="H7" s="14" t="s">
        <v>4</v>
      </c>
      <c r="I7" s="4"/>
      <c r="J7" s="17"/>
      <c r="K7" s="18"/>
      <c r="M7" s="20"/>
    </row>
    <row r="8" spans="1:13" s="19" customFormat="1" ht="11.25" x14ac:dyDescent="0.2">
      <c r="A8" s="21" t="s">
        <v>5</v>
      </c>
      <c r="B8" s="21" t="s">
        <v>6</v>
      </c>
      <c r="C8" s="22" t="s">
        <v>7</v>
      </c>
      <c r="D8" s="23" t="s">
        <v>8</v>
      </c>
      <c r="E8" s="21" t="s">
        <v>9</v>
      </c>
      <c r="F8" s="24" t="s">
        <v>10</v>
      </c>
      <c r="G8" s="21" t="s">
        <v>11</v>
      </c>
      <c r="H8" s="21" t="s">
        <v>12</v>
      </c>
      <c r="I8" s="4"/>
      <c r="J8" s="17"/>
      <c r="K8" s="25"/>
      <c r="M8" s="26"/>
    </row>
    <row r="9" spans="1:13" s="19" customFormat="1" ht="4.5" customHeight="1" x14ac:dyDescent="0.2">
      <c r="A9" s="27"/>
      <c r="B9" s="27"/>
      <c r="C9" s="28"/>
      <c r="D9" s="29"/>
      <c r="E9" s="27"/>
      <c r="F9" s="30"/>
      <c r="G9" s="30"/>
      <c r="H9" s="27"/>
      <c r="I9" s="4"/>
      <c r="J9" s="17"/>
      <c r="K9" s="17"/>
    </row>
    <row r="10" spans="1:13" s="19" customFormat="1" ht="21" customHeight="1" thickBot="1" x14ac:dyDescent="0.25">
      <c r="A10" s="31"/>
      <c r="B10" s="31"/>
      <c r="C10" s="32"/>
      <c r="D10" s="33" t="s">
        <v>13</v>
      </c>
      <c r="E10" s="34">
        <v>809554348.04999971</v>
      </c>
      <c r="F10" s="34">
        <f>SUM(F11,F30)</f>
        <v>1742712.8900000001</v>
      </c>
      <c r="G10" s="34">
        <f>SUM(G11,G30)</f>
        <v>12056</v>
      </c>
      <c r="H10" s="34">
        <f>SUM(E10+F10-G10)</f>
        <v>811285004.9399997</v>
      </c>
      <c r="I10" s="4"/>
      <c r="J10" s="17"/>
      <c r="K10" s="17"/>
    </row>
    <row r="11" spans="1:13" s="19" customFormat="1" ht="21.75" customHeight="1" thickBot="1" x14ac:dyDescent="0.25">
      <c r="A11" s="31"/>
      <c r="B11" s="31"/>
      <c r="C11" s="32"/>
      <c r="D11" s="35" t="s">
        <v>14</v>
      </c>
      <c r="E11" s="36">
        <v>708967962.6099999</v>
      </c>
      <c r="F11" s="36">
        <f>SUM(F12,F16)</f>
        <v>1446605</v>
      </c>
      <c r="G11" s="36">
        <f>SUM(G12,G16)</f>
        <v>12056</v>
      </c>
      <c r="H11" s="36">
        <f>SUM(E11+F11-G11)</f>
        <v>710402511.6099999</v>
      </c>
      <c r="I11" s="4"/>
      <c r="J11" s="17"/>
      <c r="K11" s="17"/>
    </row>
    <row r="12" spans="1:13" s="19" customFormat="1" ht="18.75" customHeight="1" thickTop="1" thickBot="1" x14ac:dyDescent="0.25">
      <c r="A12" s="37">
        <v>758</v>
      </c>
      <c r="B12" s="21"/>
      <c r="C12" s="21"/>
      <c r="D12" s="38" t="s">
        <v>15</v>
      </c>
      <c r="E12" s="36">
        <v>195548832</v>
      </c>
      <c r="F12" s="39">
        <f>SUM(F13)</f>
        <v>251779</v>
      </c>
      <c r="G12" s="39">
        <f t="shared" ref="F12:G13" si="0">SUM(G13)</f>
        <v>0</v>
      </c>
      <c r="H12" s="36">
        <f t="shared" ref="H12:H15" si="1">SUM(E12+F12-G12)</f>
        <v>195800611</v>
      </c>
      <c r="I12" s="4"/>
      <c r="J12" s="17"/>
      <c r="K12" s="17"/>
      <c r="L12" s="17"/>
      <c r="M12" s="17"/>
    </row>
    <row r="13" spans="1:13" s="19" customFormat="1" ht="12" customHeight="1" thickTop="1" x14ac:dyDescent="0.2">
      <c r="A13" s="37"/>
      <c r="B13" s="32" t="s">
        <v>16</v>
      </c>
      <c r="C13" s="40"/>
      <c r="D13" s="41" t="s">
        <v>17</v>
      </c>
      <c r="E13" s="42">
        <v>264193</v>
      </c>
      <c r="F13" s="43">
        <f t="shared" si="0"/>
        <v>251779</v>
      </c>
      <c r="G13" s="43">
        <f t="shared" si="0"/>
        <v>0</v>
      </c>
      <c r="H13" s="42">
        <f t="shared" si="1"/>
        <v>515972</v>
      </c>
      <c r="I13" s="4"/>
      <c r="J13" s="17"/>
      <c r="K13" s="17"/>
      <c r="L13" s="17"/>
      <c r="M13" s="17"/>
    </row>
    <row r="14" spans="1:13" s="19" customFormat="1" ht="21" customHeight="1" x14ac:dyDescent="0.2">
      <c r="A14" s="31"/>
      <c r="B14" s="44"/>
      <c r="C14" s="32"/>
      <c r="D14" s="420" t="s">
        <v>18</v>
      </c>
      <c r="E14" s="421">
        <v>264193</v>
      </c>
      <c r="F14" s="422">
        <f>SUM(F15:F15)</f>
        <v>251779</v>
      </c>
      <c r="G14" s="422">
        <f>SUM(G15:G15)</f>
        <v>0</v>
      </c>
      <c r="H14" s="421">
        <f t="shared" si="1"/>
        <v>515972</v>
      </c>
      <c r="I14" s="4"/>
      <c r="J14" s="17"/>
      <c r="K14" s="17"/>
      <c r="L14" s="17"/>
      <c r="M14" s="17"/>
    </row>
    <row r="15" spans="1:13" s="19" customFormat="1" ht="45.75" customHeight="1" x14ac:dyDescent="0.2">
      <c r="A15" s="31"/>
      <c r="B15" s="40"/>
      <c r="C15" s="45" t="s">
        <v>19</v>
      </c>
      <c r="D15" s="46" t="s">
        <v>20</v>
      </c>
      <c r="E15" s="47">
        <v>264193</v>
      </c>
      <c r="F15" s="47">
        <f>225667+26112</f>
        <v>251779</v>
      </c>
      <c r="G15" s="47"/>
      <c r="H15" s="48">
        <f t="shared" si="1"/>
        <v>515972</v>
      </c>
      <c r="I15" s="4"/>
      <c r="J15" s="17"/>
      <c r="K15" s="17"/>
      <c r="L15" s="17"/>
      <c r="M15" s="17"/>
    </row>
    <row r="16" spans="1:13" s="19" customFormat="1" ht="12" customHeight="1" thickBot="1" x14ac:dyDescent="0.25">
      <c r="A16" s="49">
        <v>852</v>
      </c>
      <c r="B16" s="50"/>
      <c r="C16" s="51"/>
      <c r="D16" s="52" t="s">
        <v>21</v>
      </c>
      <c r="E16" s="36">
        <v>22863244.02</v>
      </c>
      <c r="F16" s="39">
        <f>SUM(F17,F20,F24,F27)</f>
        <v>1194826</v>
      </c>
      <c r="G16" s="39">
        <f>SUM(G17,G20,G24,G27)</f>
        <v>12056</v>
      </c>
      <c r="H16" s="36">
        <f t="shared" ref="H16:H19" si="2">SUM(E16+F16-G16)</f>
        <v>24046014.02</v>
      </c>
      <c r="I16" s="4"/>
      <c r="J16" s="17"/>
      <c r="K16" s="17"/>
      <c r="L16" s="17"/>
      <c r="M16" s="17"/>
    </row>
    <row r="17" spans="1:13" s="19" customFormat="1" ht="12" customHeight="1" thickTop="1" x14ac:dyDescent="0.2">
      <c r="A17" s="49"/>
      <c r="B17" s="53">
        <v>85202</v>
      </c>
      <c r="C17" s="32"/>
      <c r="D17" s="41" t="s">
        <v>22</v>
      </c>
      <c r="E17" s="42">
        <v>1868820</v>
      </c>
      <c r="F17" s="43">
        <f>SUM(F18)</f>
        <v>10000</v>
      </c>
      <c r="G17" s="43">
        <f>SUM(G18)</f>
        <v>0</v>
      </c>
      <c r="H17" s="42">
        <f t="shared" si="2"/>
        <v>1878820</v>
      </c>
      <c r="I17" s="4"/>
      <c r="J17" s="17"/>
      <c r="K17" s="17"/>
      <c r="L17" s="17"/>
      <c r="M17" s="17"/>
    </row>
    <row r="18" spans="1:13" s="19" customFormat="1" ht="12" customHeight="1" x14ac:dyDescent="0.2">
      <c r="A18" s="49"/>
      <c r="B18" s="54"/>
      <c r="C18" s="32"/>
      <c r="D18" s="423" t="s">
        <v>23</v>
      </c>
      <c r="E18" s="421">
        <v>292887</v>
      </c>
      <c r="F18" s="422">
        <f>SUM(F19:F19)</f>
        <v>10000</v>
      </c>
      <c r="G18" s="422">
        <f>SUM(G19:G19)</f>
        <v>0</v>
      </c>
      <c r="H18" s="421">
        <f t="shared" si="2"/>
        <v>302887</v>
      </c>
      <c r="I18" s="4"/>
      <c r="J18" s="17"/>
      <c r="K18" s="17"/>
      <c r="L18" s="17"/>
      <c r="M18" s="17"/>
    </row>
    <row r="19" spans="1:13" s="19" customFormat="1" ht="23.25" customHeight="1" x14ac:dyDescent="0.2">
      <c r="A19" s="49"/>
      <c r="B19" s="54"/>
      <c r="C19" s="45" t="s">
        <v>24</v>
      </c>
      <c r="D19" s="55" t="s">
        <v>25</v>
      </c>
      <c r="E19" s="56">
        <v>292887</v>
      </c>
      <c r="F19" s="56">
        <v>10000</v>
      </c>
      <c r="G19" s="57"/>
      <c r="H19" s="56">
        <f t="shared" si="2"/>
        <v>302887</v>
      </c>
      <c r="I19" s="4"/>
      <c r="J19" s="17"/>
      <c r="K19" s="17"/>
      <c r="L19" s="17"/>
      <c r="M19" s="17"/>
    </row>
    <row r="20" spans="1:13" s="19" customFormat="1" ht="12" customHeight="1" x14ac:dyDescent="0.2">
      <c r="A20" s="49"/>
      <c r="B20" s="54">
        <v>85205</v>
      </c>
      <c r="C20" s="32"/>
      <c r="D20" s="58" t="s">
        <v>26</v>
      </c>
      <c r="E20" s="42">
        <v>0</v>
      </c>
      <c r="F20" s="42">
        <f t="shared" ref="F20:G20" si="3">SUM(F21)</f>
        <v>71260</v>
      </c>
      <c r="G20" s="42">
        <f t="shared" si="3"/>
        <v>0</v>
      </c>
      <c r="H20" s="42">
        <f>SUM(E20+F20-G20)</f>
        <v>71260</v>
      </c>
      <c r="I20" s="4"/>
      <c r="J20" s="17"/>
      <c r="K20" s="17"/>
      <c r="L20" s="17"/>
      <c r="M20" s="17"/>
    </row>
    <row r="21" spans="1:13" s="19" customFormat="1" ht="12" customHeight="1" x14ac:dyDescent="0.2">
      <c r="A21" s="49"/>
      <c r="B21" s="54"/>
      <c r="C21" s="32"/>
      <c r="D21" s="423" t="s">
        <v>23</v>
      </c>
      <c r="E21" s="421">
        <v>0</v>
      </c>
      <c r="F21" s="422">
        <f>SUM(F22:F22)</f>
        <v>71260</v>
      </c>
      <c r="G21" s="422">
        <f>SUM(G22:G22)</f>
        <v>0</v>
      </c>
      <c r="H21" s="421">
        <f>SUM(E21+F21-G21)</f>
        <v>71260</v>
      </c>
      <c r="I21" s="4"/>
      <c r="J21" s="17"/>
      <c r="K21" s="17"/>
      <c r="L21" s="17"/>
      <c r="M21" s="17"/>
    </row>
    <row r="22" spans="1:13" s="19" customFormat="1" ht="34.5" customHeight="1" x14ac:dyDescent="0.2">
      <c r="A22" s="49"/>
      <c r="B22" s="31"/>
      <c r="C22" s="45" t="s">
        <v>27</v>
      </c>
      <c r="D22" s="55" t="s">
        <v>28</v>
      </c>
      <c r="E22" s="56">
        <v>0</v>
      </c>
      <c r="F22" s="57">
        <v>71260</v>
      </c>
      <c r="G22" s="59"/>
      <c r="H22" s="56">
        <f>SUM(E22+F22-G22)</f>
        <v>71260</v>
      </c>
      <c r="I22" s="4"/>
      <c r="J22" s="17"/>
      <c r="K22" s="17"/>
      <c r="L22" s="17"/>
      <c r="M22" s="17"/>
    </row>
    <row r="23" spans="1:13" s="19" customFormat="1" ht="12" customHeight="1" x14ac:dyDescent="0.2">
      <c r="A23" s="31"/>
      <c r="B23" s="54">
        <v>85214</v>
      </c>
      <c r="C23" s="32"/>
      <c r="D23" s="60" t="s">
        <v>29</v>
      </c>
      <c r="E23" s="61"/>
      <c r="F23" s="61"/>
      <c r="G23" s="61"/>
      <c r="H23" s="61"/>
      <c r="I23" s="4"/>
      <c r="J23" s="17"/>
      <c r="K23" s="17"/>
      <c r="L23" s="17"/>
      <c r="M23" s="17"/>
    </row>
    <row r="24" spans="1:13" s="19" customFormat="1" ht="12" customHeight="1" x14ac:dyDescent="0.2">
      <c r="A24" s="31"/>
      <c r="B24" s="54"/>
      <c r="C24" s="32"/>
      <c r="D24" s="58" t="s">
        <v>30</v>
      </c>
      <c r="E24" s="42">
        <v>8046490</v>
      </c>
      <c r="F24" s="43">
        <f t="shared" ref="F24:G24" si="4">SUM(F25)</f>
        <v>0</v>
      </c>
      <c r="G24" s="43">
        <f t="shared" si="4"/>
        <v>12056</v>
      </c>
      <c r="H24" s="42">
        <f t="shared" ref="H24:H45" si="5">SUM(E24+F24-G24)</f>
        <v>8034434</v>
      </c>
      <c r="I24" s="4"/>
      <c r="J24" s="17"/>
      <c r="K24" s="17"/>
      <c r="L24" s="17"/>
      <c r="M24" s="17"/>
    </row>
    <row r="25" spans="1:13" s="19" customFormat="1" ht="12" customHeight="1" x14ac:dyDescent="0.2">
      <c r="A25" s="31"/>
      <c r="B25" s="54"/>
      <c r="C25" s="32"/>
      <c r="D25" s="423" t="s">
        <v>23</v>
      </c>
      <c r="E25" s="421">
        <v>7997500</v>
      </c>
      <c r="F25" s="422">
        <f>SUM(F26)</f>
        <v>0</v>
      </c>
      <c r="G25" s="422">
        <f>SUM(G26)</f>
        <v>12056</v>
      </c>
      <c r="H25" s="421">
        <f t="shared" si="5"/>
        <v>7985444</v>
      </c>
      <c r="I25" s="4"/>
      <c r="J25" s="17"/>
      <c r="K25" s="17"/>
      <c r="L25" s="17"/>
      <c r="M25" s="17"/>
    </row>
    <row r="26" spans="1:13" s="19" customFormat="1" ht="32.25" customHeight="1" x14ac:dyDescent="0.2">
      <c r="A26" s="31"/>
      <c r="B26" s="50"/>
      <c r="C26" s="45" t="s">
        <v>31</v>
      </c>
      <c r="D26" s="46" t="s">
        <v>32</v>
      </c>
      <c r="E26" s="47">
        <v>7997500</v>
      </c>
      <c r="F26" s="57"/>
      <c r="G26" s="57">
        <v>12056</v>
      </c>
      <c r="H26" s="47">
        <f t="shared" si="5"/>
        <v>7985444</v>
      </c>
      <c r="I26" s="4"/>
      <c r="J26" s="17"/>
      <c r="K26" s="17"/>
      <c r="L26" s="17"/>
      <c r="M26" s="17"/>
    </row>
    <row r="27" spans="1:13" s="19" customFormat="1" ht="12" customHeight="1" x14ac:dyDescent="0.2">
      <c r="A27" s="31"/>
      <c r="B27" s="54">
        <v>85230</v>
      </c>
      <c r="C27" s="32"/>
      <c r="D27" s="41" t="s">
        <v>33</v>
      </c>
      <c r="E27" s="42">
        <v>3393282</v>
      </c>
      <c r="F27" s="43">
        <f t="shared" ref="F27:G27" si="6">SUM(F28)</f>
        <v>1113566</v>
      </c>
      <c r="G27" s="43">
        <f t="shared" si="6"/>
        <v>0</v>
      </c>
      <c r="H27" s="42">
        <f t="shared" si="5"/>
        <v>4506848</v>
      </c>
      <c r="I27" s="4"/>
      <c r="J27" s="17"/>
      <c r="K27" s="17"/>
      <c r="L27" s="17"/>
      <c r="M27" s="17"/>
    </row>
    <row r="28" spans="1:13" s="19" customFormat="1" ht="12" customHeight="1" x14ac:dyDescent="0.2">
      <c r="A28" s="31"/>
      <c r="B28" s="54"/>
      <c r="C28" s="32"/>
      <c r="D28" s="423" t="s">
        <v>23</v>
      </c>
      <c r="E28" s="421">
        <v>3340700</v>
      </c>
      <c r="F28" s="422">
        <f>SUM(F29)</f>
        <v>1113566</v>
      </c>
      <c r="G28" s="422">
        <f>SUM(G29)</f>
        <v>0</v>
      </c>
      <c r="H28" s="421">
        <f t="shared" si="5"/>
        <v>4454266</v>
      </c>
      <c r="I28" s="4"/>
      <c r="J28" s="17"/>
      <c r="K28" s="17"/>
      <c r="L28" s="17"/>
      <c r="M28" s="17"/>
    </row>
    <row r="29" spans="1:13" s="19" customFormat="1" ht="34.5" customHeight="1" x14ac:dyDescent="0.2">
      <c r="A29" s="31"/>
      <c r="B29" s="50"/>
      <c r="C29" s="45" t="s">
        <v>31</v>
      </c>
      <c r="D29" s="46" t="s">
        <v>32</v>
      </c>
      <c r="E29" s="47">
        <v>3340700</v>
      </c>
      <c r="F29" s="57">
        <v>1113566</v>
      </c>
      <c r="G29" s="57"/>
      <c r="H29" s="47">
        <f t="shared" si="5"/>
        <v>4454266</v>
      </c>
      <c r="I29" s="4"/>
      <c r="J29" s="17"/>
      <c r="K29" s="17"/>
      <c r="L29" s="17"/>
      <c r="M29" s="17"/>
    </row>
    <row r="30" spans="1:13" s="19" customFormat="1" ht="21" customHeight="1" thickBot="1" x14ac:dyDescent="0.25">
      <c r="A30" s="31"/>
      <c r="B30" s="31"/>
      <c r="C30" s="32"/>
      <c r="D30" s="35" t="s">
        <v>34</v>
      </c>
      <c r="E30" s="36">
        <v>81925879.730000004</v>
      </c>
      <c r="F30" s="39">
        <f>SUM(F31,F36,F40)</f>
        <v>296107.89</v>
      </c>
      <c r="G30" s="39">
        <f>SUM(G31,G36,G40)</f>
        <v>0</v>
      </c>
      <c r="H30" s="36">
        <f t="shared" si="5"/>
        <v>82221987.620000005</v>
      </c>
      <c r="I30" s="4"/>
      <c r="J30" s="17"/>
      <c r="K30" s="17"/>
    </row>
    <row r="31" spans="1:13" s="19" customFormat="1" ht="21" customHeight="1" thickTop="1" thickBot="1" x14ac:dyDescent="0.25">
      <c r="A31" s="50">
        <v>750</v>
      </c>
      <c r="B31" s="50"/>
      <c r="C31" s="51"/>
      <c r="D31" s="52" t="s">
        <v>35</v>
      </c>
      <c r="E31" s="39">
        <v>1674416.3599999999</v>
      </c>
      <c r="F31" s="39">
        <f t="shared" ref="F31:G32" si="7">SUM(F32)</f>
        <v>1431.89</v>
      </c>
      <c r="G31" s="39">
        <f t="shared" si="7"/>
        <v>0</v>
      </c>
      <c r="H31" s="39">
        <f t="shared" si="5"/>
        <v>1675848.2499999998</v>
      </c>
      <c r="I31" s="4"/>
      <c r="J31" s="17"/>
      <c r="K31" s="17"/>
    </row>
    <row r="32" spans="1:13" s="19" customFormat="1" ht="12" customHeight="1" thickTop="1" x14ac:dyDescent="0.2">
      <c r="A32" s="50"/>
      <c r="B32" s="40">
        <v>75011</v>
      </c>
      <c r="C32" s="40"/>
      <c r="D32" s="62" t="s">
        <v>36</v>
      </c>
      <c r="E32" s="42">
        <v>1674416.3599999999</v>
      </c>
      <c r="F32" s="43">
        <f t="shared" si="7"/>
        <v>1431.89</v>
      </c>
      <c r="G32" s="43">
        <f t="shared" si="7"/>
        <v>0</v>
      </c>
      <c r="H32" s="42">
        <f t="shared" si="5"/>
        <v>1675848.2499999998</v>
      </c>
      <c r="I32" s="4"/>
      <c r="J32" s="17"/>
      <c r="K32" s="17"/>
    </row>
    <row r="33" spans="1:12" s="19" customFormat="1" ht="12" customHeight="1" x14ac:dyDescent="0.2">
      <c r="A33" s="50"/>
      <c r="B33" s="54"/>
      <c r="C33" s="32"/>
      <c r="D33" s="424" t="s">
        <v>37</v>
      </c>
      <c r="E33" s="421">
        <v>12016.36</v>
      </c>
      <c r="F33" s="422">
        <f>SUM(F34)</f>
        <v>1431.89</v>
      </c>
      <c r="G33" s="422">
        <f>SUM(G34)</f>
        <v>0</v>
      </c>
      <c r="H33" s="421">
        <f t="shared" si="5"/>
        <v>13448.25</v>
      </c>
      <c r="I33" s="4"/>
      <c r="J33" s="17"/>
      <c r="K33" s="17"/>
    </row>
    <row r="34" spans="1:12" s="19" customFormat="1" ht="45" customHeight="1" x14ac:dyDescent="0.2">
      <c r="A34" s="50"/>
      <c r="B34" s="50"/>
      <c r="C34" s="45" t="s">
        <v>19</v>
      </c>
      <c r="D34" s="46" t="s">
        <v>20</v>
      </c>
      <c r="E34" s="47">
        <v>12016.36</v>
      </c>
      <c r="F34" s="56">
        <v>1431.89</v>
      </c>
      <c r="G34" s="56"/>
      <c r="H34" s="47">
        <f t="shared" si="5"/>
        <v>13448.25</v>
      </c>
      <c r="I34" s="4"/>
      <c r="J34" s="17"/>
      <c r="K34" s="17"/>
    </row>
    <row r="35" spans="1:12" s="19" customFormat="1" ht="12" customHeight="1" x14ac:dyDescent="0.2">
      <c r="A35" s="50">
        <v>754</v>
      </c>
      <c r="B35" s="50"/>
      <c r="C35" s="51"/>
      <c r="D35" s="52" t="s">
        <v>38</v>
      </c>
      <c r="E35" s="47"/>
      <c r="F35" s="56"/>
      <c r="G35" s="56"/>
      <c r="H35" s="47"/>
      <c r="I35" s="4"/>
      <c r="J35" s="17"/>
      <c r="K35" s="17"/>
    </row>
    <row r="36" spans="1:12" s="19" customFormat="1" ht="12" customHeight="1" thickBot="1" x14ac:dyDescent="0.25">
      <c r="A36" s="50"/>
      <c r="B36" s="50"/>
      <c r="C36" s="51"/>
      <c r="D36" s="52" t="s">
        <v>39</v>
      </c>
      <c r="E36" s="39">
        <v>1227464</v>
      </c>
      <c r="F36" s="39">
        <f>SUM(F37)</f>
        <v>291784</v>
      </c>
      <c r="G36" s="39">
        <f>SUM(G37)</f>
        <v>0</v>
      </c>
      <c r="H36" s="39">
        <f>SUM(E36+F36-G36)</f>
        <v>1519248</v>
      </c>
      <c r="I36" s="4"/>
      <c r="J36" s="17"/>
      <c r="K36" s="17"/>
    </row>
    <row r="37" spans="1:12" s="19" customFormat="1" ht="13.5" customHeight="1" thickTop="1" x14ac:dyDescent="0.2">
      <c r="A37" s="54"/>
      <c r="B37" s="54">
        <v>75495</v>
      </c>
      <c r="C37" s="32"/>
      <c r="D37" s="41" t="s">
        <v>40</v>
      </c>
      <c r="E37" s="42">
        <v>1227464</v>
      </c>
      <c r="F37" s="43">
        <f>SUM(F38)</f>
        <v>291784</v>
      </c>
      <c r="G37" s="43">
        <f>SUM(G38)</f>
        <v>0</v>
      </c>
      <c r="H37" s="42">
        <f>SUM(E37+F37-G37)</f>
        <v>1519248</v>
      </c>
      <c r="I37" s="4"/>
      <c r="J37" s="17"/>
      <c r="K37" s="17"/>
    </row>
    <row r="38" spans="1:12" s="19" customFormat="1" ht="24" customHeight="1" x14ac:dyDescent="0.2">
      <c r="A38" s="54"/>
      <c r="B38" s="54"/>
      <c r="C38" s="70"/>
      <c r="D38" s="424" t="s">
        <v>41</v>
      </c>
      <c r="E38" s="421">
        <v>767024</v>
      </c>
      <c r="F38" s="422">
        <f>SUM(F39:F39)</f>
        <v>291784</v>
      </c>
      <c r="G38" s="422">
        <f>SUM(G39:G39)</f>
        <v>0</v>
      </c>
      <c r="H38" s="421">
        <f t="shared" ref="H38:H39" si="8">SUM(E38+F38-G38)</f>
        <v>1058808</v>
      </c>
      <c r="I38" s="4"/>
      <c r="J38" s="17"/>
      <c r="K38" s="17"/>
    </row>
    <row r="39" spans="1:12" s="19" customFormat="1" ht="13.5" customHeight="1" x14ac:dyDescent="0.2">
      <c r="A39" s="63"/>
      <c r="B39" s="63"/>
      <c r="C39" s="64" t="s">
        <v>42</v>
      </c>
      <c r="D39" s="65" t="s">
        <v>43</v>
      </c>
      <c r="E39" s="42">
        <v>767024</v>
      </c>
      <c r="F39" s="42">
        <f>1824+289960</f>
        <v>291784</v>
      </c>
      <c r="G39" s="43"/>
      <c r="H39" s="42">
        <f t="shared" si="8"/>
        <v>1058808</v>
      </c>
      <c r="I39" s="4"/>
      <c r="J39" s="17"/>
      <c r="K39" s="17"/>
    </row>
    <row r="40" spans="1:12" s="19" customFormat="1" ht="12" customHeight="1" thickBot="1" x14ac:dyDescent="0.25">
      <c r="A40" s="50">
        <v>852</v>
      </c>
      <c r="B40" s="50"/>
      <c r="C40" s="51"/>
      <c r="D40" s="52" t="s">
        <v>21</v>
      </c>
      <c r="E40" s="39">
        <v>7995244.1799999997</v>
      </c>
      <c r="F40" s="39">
        <f>SUM(F41)</f>
        <v>2892</v>
      </c>
      <c r="G40" s="39">
        <f>SUM(G41)</f>
        <v>0</v>
      </c>
      <c r="H40" s="39">
        <f t="shared" si="5"/>
        <v>7998136.1799999997</v>
      </c>
      <c r="I40" s="4"/>
      <c r="J40" s="17"/>
      <c r="K40" s="17"/>
    </row>
    <row r="41" spans="1:12" s="19" customFormat="1" ht="12" customHeight="1" thickTop="1" x14ac:dyDescent="0.2">
      <c r="A41" s="50"/>
      <c r="B41" s="54">
        <v>85219</v>
      </c>
      <c r="C41" s="32"/>
      <c r="D41" s="41" t="s">
        <v>44</v>
      </c>
      <c r="E41" s="42">
        <v>14684</v>
      </c>
      <c r="F41" s="43">
        <f t="shared" ref="F41:G42" si="9">SUM(F42)</f>
        <v>2892</v>
      </c>
      <c r="G41" s="43">
        <f t="shared" si="9"/>
        <v>0</v>
      </c>
      <c r="H41" s="42">
        <f t="shared" si="5"/>
        <v>17576</v>
      </c>
      <c r="I41" s="4"/>
      <c r="J41" s="17"/>
      <c r="K41" s="17"/>
    </row>
    <row r="42" spans="1:12" s="19" customFormat="1" ht="12" customHeight="1" x14ac:dyDescent="0.2">
      <c r="A42" s="50"/>
      <c r="B42" s="54"/>
      <c r="C42" s="32"/>
      <c r="D42" s="423" t="s">
        <v>23</v>
      </c>
      <c r="E42" s="421">
        <v>14684</v>
      </c>
      <c r="F42" s="422">
        <f t="shared" si="9"/>
        <v>2892</v>
      </c>
      <c r="G42" s="422">
        <f t="shared" si="9"/>
        <v>0</v>
      </c>
      <c r="H42" s="421">
        <f t="shared" si="5"/>
        <v>17576</v>
      </c>
      <c r="I42" s="4"/>
      <c r="J42" s="17"/>
      <c r="K42" s="17"/>
    </row>
    <row r="43" spans="1:12" s="19" customFormat="1" ht="44.25" customHeight="1" x14ac:dyDescent="0.2">
      <c r="A43" s="50"/>
      <c r="B43" s="50"/>
      <c r="C43" s="45" t="s">
        <v>45</v>
      </c>
      <c r="D43" s="66" t="s">
        <v>46</v>
      </c>
      <c r="E43" s="47">
        <v>14684</v>
      </c>
      <c r="F43" s="56">
        <v>2892</v>
      </c>
      <c r="G43" s="56"/>
      <c r="H43" s="47">
        <f t="shared" si="5"/>
        <v>17576</v>
      </c>
      <c r="I43" s="4"/>
      <c r="J43" s="17"/>
      <c r="K43" s="17"/>
    </row>
    <row r="44" spans="1:12" s="19" customFormat="1" ht="18" customHeight="1" thickBot="1" x14ac:dyDescent="0.25">
      <c r="A44" s="54"/>
      <c r="B44" s="54"/>
      <c r="C44" s="32"/>
      <c r="D44" s="33" t="s">
        <v>47</v>
      </c>
      <c r="E44" s="34">
        <v>923928404.72000003</v>
      </c>
      <c r="F44" s="34">
        <f>SUM(F45,F320,F353)</f>
        <v>4638589.7299999995</v>
      </c>
      <c r="G44" s="34">
        <f>SUM(G45,G320,G353)</f>
        <v>2907932.84</v>
      </c>
      <c r="H44" s="34">
        <f t="shared" si="5"/>
        <v>925659061.61000001</v>
      </c>
      <c r="I44" s="4"/>
      <c r="J44" s="17"/>
      <c r="K44" s="17"/>
    </row>
    <row r="45" spans="1:12" s="19" customFormat="1" ht="17.25" customHeight="1" thickBot="1" x14ac:dyDescent="0.25">
      <c r="A45" s="54"/>
      <c r="B45" s="54"/>
      <c r="C45" s="32"/>
      <c r="D45" s="35" t="s">
        <v>48</v>
      </c>
      <c r="E45" s="36">
        <v>823342019.28000009</v>
      </c>
      <c r="F45" s="36">
        <f>SUM(F46,F70,F77,F87,F92,F235,F240,F267,F272,F285,F305,F313)</f>
        <v>4267350.84</v>
      </c>
      <c r="G45" s="36">
        <f>SUM(G46,G70,G77,G87,G92,G235,G240,G267,G272,G285,G305,G313)</f>
        <v>2832801.84</v>
      </c>
      <c r="H45" s="36">
        <f t="shared" si="5"/>
        <v>824776568.28000009</v>
      </c>
      <c r="I45" s="4"/>
      <c r="J45" s="17"/>
      <c r="K45" s="17"/>
    </row>
    <row r="46" spans="1:12" s="19" customFormat="1" ht="15" customHeight="1" thickTop="1" thickBot="1" x14ac:dyDescent="0.25">
      <c r="A46" s="50">
        <v>600</v>
      </c>
      <c r="B46" s="50"/>
      <c r="C46" s="51"/>
      <c r="D46" s="52" t="s">
        <v>49</v>
      </c>
      <c r="E46" s="67">
        <v>109575675.7</v>
      </c>
      <c r="F46" s="67">
        <f>SUM(F47,F55,F58,F64)</f>
        <v>1397854</v>
      </c>
      <c r="G46" s="67">
        <f>SUM(G47,G55,G58,G64)</f>
        <v>1397854</v>
      </c>
      <c r="H46" s="36">
        <f>SUM(E46+F46-G46)</f>
        <v>109575675.7</v>
      </c>
      <c r="I46" s="4"/>
      <c r="J46" s="17"/>
      <c r="K46" s="17"/>
    </row>
    <row r="47" spans="1:12" s="19" customFormat="1" ht="12" customHeight="1" thickTop="1" x14ac:dyDescent="0.2">
      <c r="A47" s="50"/>
      <c r="B47" s="54">
        <v>60015</v>
      </c>
      <c r="C47" s="32"/>
      <c r="D47" s="41" t="s">
        <v>50</v>
      </c>
      <c r="E47" s="68">
        <v>35536910.770000003</v>
      </c>
      <c r="F47" s="68">
        <f>SUM(F48)</f>
        <v>8000</v>
      </c>
      <c r="G47" s="68">
        <f>SUM(G48)</f>
        <v>1392854</v>
      </c>
      <c r="H47" s="42">
        <f>SUM(E47+F47-G47)</f>
        <v>34152056.770000003</v>
      </c>
      <c r="I47" s="4"/>
      <c r="J47" s="17"/>
      <c r="K47" s="17"/>
      <c r="L47" s="17"/>
    </row>
    <row r="48" spans="1:12" s="19" customFormat="1" ht="12" customHeight="1" x14ac:dyDescent="0.2">
      <c r="A48" s="50"/>
      <c r="B48" s="54"/>
      <c r="C48" s="69"/>
      <c r="D48" s="425" t="s">
        <v>51</v>
      </c>
      <c r="E48" s="421">
        <v>12730148</v>
      </c>
      <c r="F48" s="421">
        <f>SUM(F49:F54)</f>
        <v>8000</v>
      </c>
      <c r="G48" s="421">
        <f>SUM(G49:G54)</f>
        <v>1392854</v>
      </c>
      <c r="H48" s="421">
        <f>SUM(E48+F48-G48)</f>
        <v>11345294</v>
      </c>
      <c r="I48" s="4"/>
      <c r="J48" s="17"/>
      <c r="K48" s="17"/>
    </row>
    <row r="49" spans="1:12" s="19" customFormat="1" ht="12" customHeight="1" x14ac:dyDescent="0.2">
      <c r="A49" s="50"/>
      <c r="B49" s="54"/>
      <c r="C49" s="70" t="s">
        <v>52</v>
      </c>
      <c r="D49" s="71" t="s">
        <v>53</v>
      </c>
      <c r="E49" s="48">
        <v>186000</v>
      </c>
      <c r="F49" s="48">
        <v>8000</v>
      </c>
      <c r="G49" s="48"/>
      <c r="H49" s="56">
        <f t="shared" ref="H49:H54" si="10">SUM(E49+F49-G49)</f>
        <v>194000</v>
      </c>
      <c r="I49" s="4"/>
      <c r="J49" s="17"/>
      <c r="K49" s="17"/>
      <c r="L49" s="17"/>
    </row>
    <row r="50" spans="1:12" s="19" customFormat="1" ht="12" customHeight="1" x14ac:dyDescent="0.2">
      <c r="A50" s="50"/>
      <c r="B50" s="54"/>
      <c r="C50" s="53">
        <v>4260</v>
      </c>
      <c r="D50" s="72" t="s">
        <v>54</v>
      </c>
      <c r="E50" s="48">
        <v>295000</v>
      </c>
      <c r="F50" s="48"/>
      <c r="G50" s="48">
        <v>18000</v>
      </c>
      <c r="H50" s="56">
        <f t="shared" si="10"/>
        <v>277000</v>
      </c>
      <c r="I50" s="4"/>
      <c r="J50" s="17"/>
      <c r="K50" s="17"/>
    </row>
    <row r="51" spans="1:12" s="19" customFormat="1" ht="12" customHeight="1" x14ac:dyDescent="0.2">
      <c r="A51" s="50"/>
      <c r="B51" s="50"/>
      <c r="C51" s="53">
        <v>4300</v>
      </c>
      <c r="D51" s="72" t="s">
        <v>55</v>
      </c>
      <c r="E51" s="48">
        <v>7633548</v>
      </c>
      <c r="F51" s="48"/>
      <c r="G51" s="48">
        <v>1363000</v>
      </c>
      <c r="H51" s="56">
        <f t="shared" si="10"/>
        <v>6270548</v>
      </c>
      <c r="I51" s="4"/>
      <c r="J51" s="17"/>
      <c r="K51" s="17"/>
    </row>
    <row r="52" spans="1:12" s="19" customFormat="1" ht="12" customHeight="1" x14ac:dyDescent="0.2">
      <c r="A52" s="50"/>
      <c r="B52" s="50"/>
      <c r="C52" s="53">
        <v>4360</v>
      </c>
      <c r="D52" s="72" t="s">
        <v>56</v>
      </c>
      <c r="E52" s="48">
        <v>16000</v>
      </c>
      <c r="F52" s="48"/>
      <c r="G52" s="48">
        <v>530</v>
      </c>
      <c r="H52" s="56">
        <f t="shared" si="10"/>
        <v>15470</v>
      </c>
      <c r="I52" s="4"/>
      <c r="J52" s="17"/>
      <c r="K52" s="17"/>
    </row>
    <row r="53" spans="1:12" s="19" customFormat="1" ht="12" customHeight="1" x14ac:dyDescent="0.2">
      <c r="A53" s="50"/>
      <c r="B53" s="50"/>
      <c r="C53" s="53">
        <v>4430</v>
      </c>
      <c r="D53" s="72" t="s">
        <v>57</v>
      </c>
      <c r="E53" s="48">
        <v>500000</v>
      </c>
      <c r="F53" s="48"/>
      <c r="G53" s="48">
        <v>324</v>
      </c>
      <c r="H53" s="56">
        <f t="shared" si="10"/>
        <v>499676</v>
      </c>
      <c r="I53" s="4"/>
      <c r="J53" s="17"/>
      <c r="K53" s="17"/>
    </row>
    <row r="54" spans="1:12" s="19" customFormat="1" ht="23.25" customHeight="1" x14ac:dyDescent="0.2">
      <c r="A54" s="50"/>
      <c r="B54" s="50"/>
      <c r="C54" s="73">
        <v>4600</v>
      </c>
      <c r="D54" s="74" t="s">
        <v>58</v>
      </c>
      <c r="E54" s="48">
        <v>44700</v>
      </c>
      <c r="F54" s="48"/>
      <c r="G54" s="48">
        <v>11000</v>
      </c>
      <c r="H54" s="56">
        <f t="shared" si="10"/>
        <v>33700</v>
      </c>
      <c r="I54" s="4"/>
      <c r="J54" s="17"/>
      <c r="K54" s="17"/>
    </row>
    <row r="55" spans="1:12" s="19" customFormat="1" ht="12" customHeight="1" x14ac:dyDescent="0.2">
      <c r="A55" s="54"/>
      <c r="B55" s="54">
        <v>60019</v>
      </c>
      <c r="C55" s="32"/>
      <c r="D55" s="41" t="s">
        <v>59</v>
      </c>
      <c r="E55" s="68">
        <v>0</v>
      </c>
      <c r="F55" s="68">
        <f>SUM(F56)</f>
        <v>1275000</v>
      </c>
      <c r="G55" s="68">
        <f>SUM(G56)</f>
        <v>0</v>
      </c>
      <c r="H55" s="42">
        <f>SUM(E55+F55-G55)</f>
        <v>1275000</v>
      </c>
      <c r="I55" s="4"/>
      <c r="J55" s="17"/>
      <c r="K55" s="17"/>
    </row>
    <row r="56" spans="1:12" s="19" customFormat="1" ht="12" customHeight="1" x14ac:dyDescent="0.2">
      <c r="A56" s="54"/>
      <c r="B56" s="50"/>
      <c r="C56" s="75"/>
      <c r="D56" s="425" t="s">
        <v>51</v>
      </c>
      <c r="E56" s="421">
        <v>0</v>
      </c>
      <c r="F56" s="421">
        <f>SUM(F57:F57)</f>
        <v>1275000</v>
      </c>
      <c r="G56" s="421">
        <f>SUM(G57:G57)</f>
        <v>0</v>
      </c>
      <c r="H56" s="421">
        <f>SUM(E56+F56-G56)</f>
        <v>1275000</v>
      </c>
      <c r="I56" s="4"/>
      <c r="J56" s="17"/>
      <c r="K56" s="17"/>
    </row>
    <row r="57" spans="1:12" s="19" customFormat="1" ht="12" customHeight="1" x14ac:dyDescent="0.2">
      <c r="A57" s="54"/>
      <c r="B57" s="50"/>
      <c r="C57" s="53">
        <v>4300</v>
      </c>
      <c r="D57" s="72" t="s">
        <v>55</v>
      </c>
      <c r="E57" s="48">
        <v>0</v>
      </c>
      <c r="F57" s="48">
        <v>1275000</v>
      </c>
      <c r="G57" s="48"/>
      <c r="H57" s="56">
        <f t="shared" ref="H57" si="11">SUM(E57+F57-G57)</f>
        <v>1275000</v>
      </c>
      <c r="I57" s="4"/>
      <c r="J57" s="17"/>
      <c r="K57" s="17"/>
    </row>
    <row r="58" spans="1:12" s="19" customFormat="1" ht="12" customHeight="1" x14ac:dyDescent="0.2">
      <c r="A58" s="54"/>
      <c r="B58" s="54">
        <v>60021</v>
      </c>
      <c r="C58" s="32"/>
      <c r="D58" s="41" t="s">
        <v>60</v>
      </c>
      <c r="E58" s="68">
        <v>0</v>
      </c>
      <c r="F58" s="68">
        <f>SUM(F59)</f>
        <v>109530</v>
      </c>
      <c r="G58" s="68">
        <f>SUM(G59)</f>
        <v>0</v>
      </c>
      <c r="H58" s="42">
        <f>SUM(E58+F58-G58)</f>
        <v>109530</v>
      </c>
      <c r="I58" s="4"/>
      <c r="J58" s="17"/>
      <c r="K58" s="17"/>
    </row>
    <row r="59" spans="1:12" s="19" customFormat="1" ht="12" customHeight="1" x14ac:dyDescent="0.2">
      <c r="A59" s="54"/>
      <c r="B59" s="54"/>
      <c r="C59" s="69"/>
      <c r="D59" s="425" t="s">
        <v>51</v>
      </c>
      <c r="E59" s="421">
        <v>0</v>
      </c>
      <c r="F59" s="421">
        <f>SUM(F60:F63)</f>
        <v>109530</v>
      </c>
      <c r="G59" s="421">
        <f>SUM(G60:G63)</f>
        <v>0</v>
      </c>
      <c r="H59" s="421">
        <f>SUM(E59+F59-G59)</f>
        <v>109530</v>
      </c>
      <c r="I59" s="4"/>
      <c r="J59" s="17"/>
      <c r="K59" s="17"/>
    </row>
    <row r="60" spans="1:12" s="19" customFormat="1" ht="12" customHeight="1" x14ac:dyDescent="0.2">
      <c r="A60" s="54"/>
      <c r="B60" s="54"/>
      <c r="C60" s="70" t="s">
        <v>52</v>
      </c>
      <c r="D60" s="71" t="s">
        <v>53</v>
      </c>
      <c r="E60" s="48">
        <v>0</v>
      </c>
      <c r="F60" s="48">
        <v>3000</v>
      </c>
      <c r="G60" s="48"/>
      <c r="H60" s="56">
        <f t="shared" ref="H60:H63" si="12">SUM(E60+F60-G60)</f>
        <v>3000</v>
      </c>
      <c r="I60" s="4"/>
      <c r="J60" s="17"/>
      <c r="K60" s="17"/>
    </row>
    <row r="61" spans="1:12" s="19" customFormat="1" ht="12" customHeight="1" x14ac:dyDescent="0.2">
      <c r="A61" s="54"/>
      <c r="B61" s="54"/>
      <c r="C61" s="53">
        <v>4260</v>
      </c>
      <c r="D61" s="72" t="s">
        <v>54</v>
      </c>
      <c r="E61" s="48">
        <v>0</v>
      </c>
      <c r="F61" s="48">
        <v>18000</v>
      </c>
      <c r="G61" s="48"/>
      <c r="H61" s="56">
        <f t="shared" si="12"/>
        <v>18000</v>
      </c>
      <c r="I61" s="4"/>
      <c r="J61" s="17"/>
      <c r="K61" s="17"/>
    </row>
    <row r="62" spans="1:12" s="19" customFormat="1" ht="12" customHeight="1" x14ac:dyDescent="0.2">
      <c r="A62" s="54"/>
      <c r="B62" s="50"/>
      <c r="C62" s="53">
        <v>4300</v>
      </c>
      <c r="D62" s="72" t="s">
        <v>55</v>
      </c>
      <c r="E62" s="48">
        <v>0</v>
      </c>
      <c r="F62" s="48">
        <v>88000</v>
      </c>
      <c r="G62" s="48"/>
      <c r="H62" s="56">
        <f t="shared" si="12"/>
        <v>88000</v>
      </c>
      <c r="I62" s="4"/>
      <c r="J62" s="17"/>
      <c r="K62" s="17"/>
    </row>
    <row r="63" spans="1:12" s="19" customFormat="1" ht="12" customHeight="1" x14ac:dyDescent="0.2">
      <c r="A63" s="54"/>
      <c r="B63" s="50"/>
      <c r="C63" s="53">
        <v>4360</v>
      </c>
      <c r="D63" s="72" t="s">
        <v>56</v>
      </c>
      <c r="E63" s="48">
        <v>0</v>
      </c>
      <c r="F63" s="48">
        <v>530</v>
      </c>
      <c r="G63" s="48"/>
      <c r="H63" s="56">
        <f t="shared" si="12"/>
        <v>530</v>
      </c>
      <c r="I63" s="4"/>
      <c r="J63" s="17"/>
      <c r="K63" s="17"/>
    </row>
    <row r="64" spans="1:12" s="19" customFormat="1" ht="12" customHeight="1" x14ac:dyDescent="0.2">
      <c r="A64" s="54"/>
      <c r="B64" s="32" t="s">
        <v>61</v>
      </c>
      <c r="C64" s="53"/>
      <c r="D64" s="41" t="s">
        <v>40</v>
      </c>
      <c r="E64" s="68">
        <v>4030746</v>
      </c>
      <c r="F64" s="68">
        <f>SUM(F65)</f>
        <v>5324</v>
      </c>
      <c r="G64" s="68">
        <f>SUM(G65)</f>
        <v>5000</v>
      </c>
      <c r="H64" s="42">
        <f>SUM(E64+F64-G64)</f>
        <v>4031070</v>
      </c>
      <c r="I64" s="4"/>
      <c r="J64" s="17"/>
      <c r="K64" s="17"/>
    </row>
    <row r="65" spans="1:11" s="19" customFormat="1" ht="12" customHeight="1" x14ac:dyDescent="0.2">
      <c r="A65" s="54"/>
      <c r="B65" s="54"/>
      <c r="C65" s="75"/>
      <c r="D65" s="425" t="s">
        <v>51</v>
      </c>
      <c r="E65" s="421">
        <v>4024286</v>
      </c>
      <c r="F65" s="421">
        <f>SUM(F66:F69)</f>
        <v>5324</v>
      </c>
      <c r="G65" s="421">
        <f>SUM(G66:G69)</f>
        <v>5000</v>
      </c>
      <c r="H65" s="421">
        <f>SUM(E65+F65-G65)</f>
        <v>4024610</v>
      </c>
      <c r="I65" s="4"/>
      <c r="J65" s="17"/>
      <c r="K65" s="17"/>
    </row>
    <row r="66" spans="1:11" s="19" customFormat="1" ht="12" customHeight="1" x14ac:dyDescent="0.2">
      <c r="A66" s="54"/>
      <c r="B66" s="50"/>
      <c r="C66" s="53">
        <v>4410</v>
      </c>
      <c r="D66" s="71" t="s">
        <v>62</v>
      </c>
      <c r="E66" s="48">
        <v>27300</v>
      </c>
      <c r="F66" s="48">
        <v>3000</v>
      </c>
      <c r="G66" s="48"/>
      <c r="H66" s="56">
        <f t="shared" ref="H66:H74" si="13">SUM(E66+F66-G66)</f>
        <v>30300</v>
      </c>
      <c r="I66" s="4"/>
      <c r="J66" s="17"/>
      <c r="K66" s="17"/>
    </row>
    <row r="67" spans="1:11" s="19" customFormat="1" ht="12" customHeight="1" x14ac:dyDescent="0.2">
      <c r="A67" s="54"/>
      <c r="B67" s="50"/>
      <c r="C67" s="53">
        <v>4430</v>
      </c>
      <c r="D67" s="72" t="s">
        <v>57</v>
      </c>
      <c r="E67" s="48">
        <v>0</v>
      </c>
      <c r="F67" s="48">
        <v>324</v>
      </c>
      <c r="G67" s="48"/>
      <c r="H67" s="56">
        <f t="shared" si="13"/>
        <v>324</v>
      </c>
      <c r="I67" s="4"/>
      <c r="J67" s="17"/>
      <c r="K67" s="17"/>
    </row>
    <row r="68" spans="1:11" s="19" customFormat="1" ht="23.25" customHeight="1" x14ac:dyDescent="0.2">
      <c r="A68" s="54"/>
      <c r="B68" s="50"/>
      <c r="C68" s="73">
        <v>4700</v>
      </c>
      <c r="D68" s="76" t="s">
        <v>63</v>
      </c>
      <c r="E68" s="48">
        <v>10000</v>
      </c>
      <c r="F68" s="48">
        <v>2000</v>
      </c>
      <c r="G68" s="48"/>
      <c r="H68" s="56">
        <f t="shared" si="13"/>
        <v>12000</v>
      </c>
      <c r="I68" s="4"/>
      <c r="J68" s="17"/>
      <c r="K68" s="17"/>
    </row>
    <row r="69" spans="1:11" s="19" customFormat="1" ht="12" customHeight="1" x14ac:dyDescent="0.2">
      <c r="A69" s="54"/>
      <c r="B69" s="50"/>
      <c r="C69" s="53">
        <v>4710</v>
      </c>
      <c r="D69" s="71" t="s">
        <v>64</v>
      </c>
      <c r="E69" s="48">
        <v>35307</v>
      </c>
      <c r="F69" s="48"/>
      <c r="G69" s="48">
        <v>5000</v>
      </c>
      <c r="H69" s="56">
        <f t="shared" si="13"/>
        <v>30307</v>
      </c>
      <c r="I69" s="4"/>
      <c r="J69" s="17"/>
      <c r="K69" s="17"/>
    </row>
    <row r="70" spans="1:11" s="19" customFormat="1" ht="12" customHeight="1" thickBot="1" x14ac:dyDescent="0.25">
      <c r="A70" s="49">
        <v>700</v>
      </c>
      <c r="B70" s="49"/>
      <c r="C70" s="51"/>
      <c r="D70" s="52" t="s">
        <v>65</v>
      </c>
      <c r="E70" s="36">
        <v>62847788.329999998</v>
      </c>
      <c r="F70" s="39">
        <f>SUM(F71,F74)</f>
        <v>5000</v>
      </c>
      <c r="G70" s="39">
        <f>SUM(G71,G74)</f>
        <v>5000</v>
      </c>
      <c r="H70" s="36">
        <f t="shared" si="13"/>
        <v>62847788.329999998</v>
      </c>
      <c r="I70" s="4"/>
      <c r="J70" s="17"/>
      <c r="K70" s="17"/>
    </row>
    <row r="71" spans="1:11" s="19" customFormat="1" ht="12" customHeight="1" thickTop="1" x14ac:dyDescent="0.2">
      <c r="A71" s="49"/>
      <c r="B71" s="54">
        <v>70005</v>
      </c>
      <c r="C71" s="32"/>
      <c r="D71" s="41" t="s">
        <v>66</v>
      </c>
      <c r="E71" s="42">
        <v>3270800</v>
      </c>
      <c r="F71" s="43">
        <f>SUM(F72)</f>
        <v>0</v>
      </c>
      <c r="G71" s="43">
        <f>SUM(G72)</f>
        <v>5000</v>
      </c>
      <c r="H71" s="42">
        <f t="shared" si="13"/>
        <v>3265800</v>
      </c>
      <c r="I71" s="4"/>
      <c r="J71" s="17"/>
      <c r="K71" s="17"/>
    </row>
    <row r="72" spans="1:11" s="19" customFormat="1" ht="12" customHeight="1" x14ac:dyDescent="0.2">
      <c r="A72" s="49"/>
      <c r="B72" s="54"/>
      <c r="C72" s="32"/>
      <c r="D72" s="425" t="s">
        <v>67</v>
      </c>
      <c r="E72" s="100">
        <v>3263800</v>
      </c>
      <c r="F72" s="422">
        <f>SUM(F73:F73)</f>
        <v>0</v>
      </c>
      <c r="G72" s="422">
        <f>SUM(G73:G73)</f>
        <v>5000</v>
      </c>
      <c r="H72" s="421">
        <f>SUM(E72+F72-G72)</f>
        <v>3258800</v>
      </c>
      <c r="I72" s="4"/>
      <c r="J72" s="17"/>
      <c r="K72" s="17"/>
    </row>
    <row r="73" spans="1:11" s="19" customFormat="1" ht="12" customHeight="1" x14ac:dyDescent="0.2">
      <c r="A73" s="49"/>
      <c r="B73" s="54"/>
      <c r="C73" s="75">
        <v>4300</v>
      </c>
      <c r="D73" s="77" t="s">
        <v>55</v>
      </c>
      <c r="E73" s="48">
        <v>60000</v>
      </c>
      <c r="F73" s="47"/>
      <c r="G73" s="47">
        <v>5000</v>
      </c>
      <c r="H73" s="48">
        <f t="shared" ref="H73" si="14">SUM(E73+F73-G73)</f>
        <v>55000</v>
      </c>
      <c r="I73" s="4"/>
      <c r="J73" s="17"/>
      <c r="K73" s="17"/>
    </row>
    <row r="74" spans="1:11" s="19" customFormat="1" ht="12" customHeight="1" x14ac:dyDescent="0.2">
      <c r="A74" s="49"/>
      <c r="B74" s="75">
        <v>70007</v>
      </c>
      <c r="C74" s="78"/>
      <c r="D74" s="79" t="s">
        <v>68</v>
      </c>
      <c r="E74" s="42">
        <v>29782488.329999998</v>
      </c>
      <c r="F74" s="43">
        <f>SUM(F75)</f>
        <v>5000</v>
      </c>
      <c r="G74" s="43">
        <f>SUM(G75)</f>
        <v>0</v>
      </c>
      <c r="H74" s="42">
        <f t="shared" si="13"/>
        <v>29787488.329999998</v>
      </c>
      <c r="I74" s="4"/>
      <c r="J74" s="17"/>
      <c r="K74" s="17"/>
    </row>
    <row r="75" spans="1:11" s="19" customFormat="1" ht="12" customHeight="1" x14ac:dyDescent="0.2">
      <c r="A75" s="24"/>
      <c r="B75" s="53"/>
      <c r="C75" s="32"/>
      <c r="D75" s="425" t="s">
        <v>67</v>
      </c>
      <c r="E75" s="100">
        <v>109400</v>
      </c>
      <c r="F75" s="422">
        <f>SUM(F76:F76)</f>
        <v>5000</v>
      </c>
      <c r="G75" s="422">
        <f>SUM(G76:G76)</f>
        <v>0</v>
      </c>
      <c r="H75" s="421">
        <f>SUM(E75+F75-G75)</f>
        <v>114400</v>
      </c>
      <c r="I75" s="4"/>
      <c r="J75" s="17"/>
      <c r="K75" s="17"/>
    </row>
    <row r="76" spans="1:11" s="19" customFormat="1" ht="12" customHeight="1" x14ac:dyDescent="0.2">
      <c r="A76" s="24"/>
      <c r="B76" s="53"/>
      <c r="C76" s="53">
        <v>4610</v>
      </c>
      <c r="D76" s="80" t="s">
        <v>69</v>
      </c>
      <c r="E76" s="48">
        <v>0</v>
      </c>
      <c r="F76" s="48">
        <v>5000</v>
      </c>
      <c r="G76" s="48"/>
      <c r="H76" s="56">
        <f t="shared" ref="H76:H86" si="15">SUM(E76+F76-G76)</f>
        <v>5000</v>
      </c>
      <c r="I76" s="4"/>
      <c r="J76" s="17"/>
      <c r="K76" s="17"/>
    </row>
    <row r="77" spans="1:11" s="19" customFormat="1" ht="12" customHeight="1" thickBot="1" x14ac:dyDescent="0.25">
      <c r="A77" s="49">
        <v>750</v>
      </c>
      <c r="B77" s="49"/>
      <c r="C77" s="51"/>
      <c r="D77" s="52" t="s">
        <v>35</v>
      </c>
      <c r="E77" s="36">
        <v>82395266.080000013</v>
      </c>
      <c r="F77" s="39">
        <f>SUM(F78)</f>
        <v>76250</v>
      </c>
      <c r="G77" s="39">
        <f>SUM(G78)</f>
        <v>76250</v>
      </c>
      <c r="H77" s="36">
        <f t="shared" si="15"/>
        <v>82395266.080000013</v>
      </c>
      <c r="I77" s="4"/>
      <c r="J77" s="17"/>
      <c r="K77" s="17"/>
    </row>
    <row r="78" spans="1:11" s="19" customFormat="1" ht="12" customHeight="1" thickTop="1" x14ac:dyDescent="0.2">
      <c r="A78" s="54"/>
      <c r="B78" s="32" t="s">
        <v>70</v>
      </c>
      <c r="C78" s="53"/>
      <c r="D78" s="41" t="s">
        <v>40</v>
      </c>
      <c r="E78" s="42">
        <v>35352991.170000002</v>
      </c>
      <c r="F78" s="43">
        <f>SUM(F79,F83)</f>
        <v>76250</v>
      </c>
      <c r="G78" s="43">
        <f>SUM(G79,G83)</f>
        <v>76250</v>
      </c>
      <c r="H78" s="42">
        <f t="shared" si="15"/>
        <v>35352991.170000002</v>
      </c>
      <c r="I78" s="4"/>
      <c r="J78" s="17"/>
      <c r="K78" s="17"/>
    </row>
    <row r="79" spans="1:11" s="19" customFormat="1" ht="26.25" customHeight="1" x14ac:dyDescent="0.2">
      <c r="A79" s="54"/>
      <c r="B79" s="54"/>
      <c r="C79" s="53"/>
      <c r="D79" s="426" t="s">
        <v>71</v>
      </c>
      <c r="E79" s="100">
        <v>671601.91999999993</v>
      </c>
      <c r="F79" s="427">
        <f>SUM(F80:F82)</f>
        <v>71000</v>
      </c>
      <c r="G79" s="427">
        <f>SUM(G80:G82)</f>
        <v>76250</v>
      </c>
      <c r="H79" s="421">
        <f t="shared" si="15"/>
        <v>666351.91999999993</v>
      </c>
      <c r="I79" s="4"/>
      <c r="J79" s="17"/>
      <c r="K79" s="17"/>
    </row>
    <row r="80" spans="1:11" s="19" customFormat="1" ht="12" customHeight="1" x14ac:dyDescent="0.2">
      <c r="A80" s="54"/>
      <c r="B80" s="54"/>
      <c r="C80" s="53">
        <v>3257</v>
      </c>
      <c r="D80" s="72" t="s">
        <v>72</v>
      </c>
      <c r="E80" s="47">
        <v>34380</v>
      </c>
      <c r="F80" s="48">
        <v>71000</v>
      </c>
      <c r="G80" s="48"/>
      <c r="H80" s="56">
        <f t="shared" si="15"/>
        <v>105380</v>
      </c>
      <c r="I80" s="4"/>
      <c r="J80" s="17"/>
      <c r="K80" s="17"/>
    </row>
    <row r="81" spans="1:11" s="19" customFormat="1" ht="12" customHeight="1" x14ac:dyDescent="0.2">
      <c r="A81" s="54"/>
      <c r="B81" s="54"/>
      <c r="C81" s="53">
        <v>4177</v>
      </c>
      <c r="D81" s="72" t="s">
        <v>73</v>
      </c>
      <c r="E81" s="47">
        <v>132920</v>
      </c>
      <c r="F81" s="48"/>
      <c r="G81" s="48">
        <v>5250</v>
      </c>
      <c r="H81" s="56">
        <f t="shared" si="15"/>
        <v>127670</v>
      </c>
      <c r="I81" s="4"/>
      <c r="J81" s="17"/>
      <c r="K81" s="17"/>
    </row>
    <row r="82" spans="1:11" s="19" customFormat="1" ht="12" customHeight="1" x14ac:dyDescent="0.2">
      <c r="A82" s="54"/>
      <c r="B82" s="54"/>
      <c r="C82" s="75">
        <v>4307</v>
      </c>
      <c r="D82" s="77" t="s">
        <v>55</v>
      </c>
      <c r="E82" s="47">
        <v>280520</v>
      </c>
      <c r="F82" s="48"/>
      <c r="G82" s="48">
        <v>71000</v>
      </c>
      <c r="H82" s="56">
        <f t="shared" si="15"/>
        <v>209520</v>
      </c>
      <c r="I82" s="4"/>
      <c r="J82" s="17"/>
      <c r="K82" s="17"/>
    </row>
    <row r="83" spans="1:11" s="19" customFormat="1" ht="33.75" customHeight="1" x14ac:dyDescent="0.2">
      <c r="A83" s="24"/>
      <c r="B83" s="53"/>
      <c r="C83" s="53"/>
      <c r="D83" s="426" t="s">
        <v>74</v>
      </c>
      <c r="E83" s="100">
        <v>0</v>
      </c>
      <c r="F83" s="427">
        <f>SUM(F84:F86)</f>
        <v>5250</v>
      </c>
      <c r="G83" s="427">
        <f>SUM(G84:G86)</f>
        <v>0</v>
      </c>
      <c r="H83" s="421">
        <f t="shared" si="15"/>
        <v>5250</v>
      </c>
      <c r="I83" s="4"/>
      <c r="J83" s="17"/>
      <c r="K83" s="17"/>
    </row>
    <row r="84" spans="1:11" s="19" customFormat="1" ht="12" customHeight="1" x14ac:dyDescent="0.2">
      <c r="A84" s="24"/>
      <c r="B84" s="53"/>
      <c r="C84" s="53">
        <v>4017</v>
      </c>
      <c r="D84" s="72" t="s">
        <v>75</v>
      </c>
      <c r="E84" s="47">
        <v>0</v>
      </c>
      <c r="F84" s="48">
        <v>4360</v>
      </c>
      <c r="G84" s="48"/>
      <c r="H84" s="56">
        <f t="shared" si="15"/>
        <v>4360</v>
      </c>
      <c r="I84" s="4"/>
      <c r="J84" s="17"/>
      <c r="K84" s="17"/>
    </row>
    <row r="85" spans="1:11" s="19" customFormat="1" ht="12" customHeight="1" x14ac:dyDescent="0.2">
      <c r="A85" s="24"/>
      <c r="B85" s="53"/>
      <c r="C85" s="75">
        <v>4117</v>
      </c>
      <c r="D85" s="77" t="s">
        <v>76</v>
      </c>
      <c r="E85" s="47">
        <v>0</v>
      </c>
      <c r="F85" s="48">
        <v>783</v>
      </c>
      <c r="G85" s="48"/>
      <c r="H85" s="56">
        <f t="shared" si="15"/>
        <v>783</v>
      </c>
      <c r="I85" s="4"/>
      <c r="J85" s="17"/>
      <c r="K85" s="17"/>
    </row>
    <row r="86" spans="1:11" s="19" customFormat="1" ht="12" customHeight="1" x14ac:dyDescent="0.2">
      <c r="A86" s="24"/>
      <c r="B86" s="53"/>
      <c r="C86" s="75">
        <v>4127</v>
      </c>
      <c r="D86" s="77" t="s">
        <v>77</v>
      </c>
      <c r="E86" s="47">
        <v>0</v>
      </c>
      <c r="F86" s="48">
        <v>107</v>
      </c>
      <c r="G86" s="48"/>
      <c r="H86" s="56">
        <f t="shared" si="15"/>
        <v>107</v>
      </c>
      <c r="I86" s="4"/>
      <c r="J86" s="17"/>
      <c r="K86" s="17"/>
    </row>
    <row r="87" spans="1:11" s="19" customFormat="1" ht="12" customHeight="1" thickBot="1" x14ac:dyDescent="0.25">
      <c r="A87" s="50">
        <v>758</v>
      </c>
      <c r="B87" s="50"/>
      <c r="C87" s="51"/>
      <c r="D87" s="52" t="s">
        <v>15</v>
      </c>
      <c r="E87" s="36">
        <v>19057763.849999998</v>
      </c>
      <c r="F87" s="39">
        <f>SUM(F88)</f>
        <v>0</v>
      </c>
      <c r="G87" s="39">
        <f>SUM(G88)</f>
        <v>858076.13</v>
      </c>
      <c r="H87" s="36">
        <f>SUM(E87+F87-G87)</f>
        <v>18199687.719999999</v>
      </c>
      <c r="I87" s="4"/>
      <c r="J87" s="17"/>
      <c r="K87" s="17"/>
    </row>
    <row r="88" spans="1:11" s="19" customFormat="1" ht="12" customHeight="1" thickTop="1" x14ac:dyDescent="0.2">
      <c r="A88" s="31"/>
      <c r="B88" s="54">
        <v>75818</v>
      </c>
      <c r="C88" s="32"/>
      <c r="D88" s="81" t="s">
        <v>78</v>
      </c>
      <c r="E88" s="42">
        <v>19057763.849999998</v>
      </c>
      <c r="F88" s="43">
        <f>SUM(F89)</f>
        <v>0</v>
      </c>
      <c r="G88" s="43">
        <f>SUM(G89)</f>
        <v>858076.13</v>
      </c>
      <c r="H88" s="42">
        <f>SUM(E88+F88-G88)</f>
        <v>18199687.719999999</v>
      </c>
      <c r="I88" s="4"/>
      <c r="J88" s="17"/>
      <c r="K88" s="17"/>
    </row>
    <row r="89" spans="1:11" s="19" customFormat="1" ht="12" customHeight="1" x14ac:dyDescent="0.2">
      <c r="A89" s="31"/>
      <c r="B89" s="54"/>
      <c r="C89" s="32" t="s">
        <v>79</v>
      </c>
      <c r="D89" s="60" t="s">
        <v>80</v>
      </c>
      <c r="E89" s="82">
        <v>16815947.539999999</v>
      </c>
      <c r="F89" s="82">
        <f>SUM(F90:F91)</f>
        <v>0</v>
      </c>
      <c r="G89" s="82">
        <f>SUM(G90:G91)</f>
        <v>858076.13</v>
      </c>
      <c r="H89" s="82">
        <f>SUM(E89+F89-G89)</f>
        <v>15957871.409999998</v>
      </c>
      <c r="I89" s="4"/>
      <c r="J89" s="17"/>
      <c r="K89" s="17"/>
    </row>
    <row r="90" spans="1:11" s="19" customFormat="1" ht="12" customHeight="1" x14ac:dyDescent="0.2">
      <c r="A90" s="31"/>
      <c r="B90" s="54"/>
      <c r="C90" s="32"/>
      <c r="D90" s="71" t="s">
        <v>81</v>
      </c>
      <c r="E90" s="48">
        <v>2353900</v>
      </c>
      <c r="F90" s="48"/>
      <c r="G90" s="48">
        <f>59488.13+581418</f>
        <v>640906.13</v>
      </c>
      <c r="H90" s="48">
        <f t="shared" ref="H90:H91" si="16">SUM(E90+F90-G90)</f>
        <v>1712993.87</v>
      </c>
      <c r="I90" s="4"/>
      <c r="J90" s="17"/>
      <c r="K90" s="17"/>
    </row>
    <row r="91" spans="1:11" s="19" customFormat="1" ht="12" customHeight="1" x14ac:dyDescent="0.2">
      <c r="A91" s="83"/>
      <c r="B91" s="63"/>
      <c r="C91" s="84"/>
      <c r="D91" s="85" t="s">
        <v>82</v>
      </c>
      <c r="E91" s="68">
        <v>14462047.539999999</v>
      </c>
      <c r="F91" s="68"/>
      <c r="G91" s="68">
        <v>217170</v>
      </c>
      <c r="H91" s="68">
        <f t="shared" si="16"/>
        <v>14244877.539999999</v>
      </c>
      <c r="I91" s="4"/>
      <c r="J91" s="17"/>
      <c r="K91" s="17"/>
    </row>
    <row r="92" spans="1:11" s="19" customFormat="1" ht="12" customHeight="1" thickBot="1" x14ac:dyDescent="0.25">
      <c r="A92" s="50">
        <v>801</v>
      </c>
      <c r="B92" s="50"/>
      <c r="C92" s="51"/>
      <c r="D92" s="52" t="s">
        <v>83</v>
      </c>
      <c r="E92" s="36">
        <v>297046777.58000004</v>
      </c>
      <c r="F92" s="39">
        <f>SUM(F93,F100,F106,F114,F122,F127,F131,F138,F143,F150,F156,F161,F168,F173,F184,F191,F205,F212)</f>
        <v>1350175.71</v>
      </c>
      <c r="G92" s="39">
        <f>SUM(G93,G100,G106,G114,G122,G127,G131,G138,G143,G150,G156,G161,G168,G173,G184,G191,G205,G212)</f>
        <v>299808.71000000002</v>
      </c>
      <c r="H92" s="36">
        <f>SUM(E92+F92-G92)</f>
        <v>298097144.58000004</v>
      </c>
      <c r="I92" s="4"/>
      <c r="J92" s="17"/>
      <c r="K92" s="17"/>
    </row>
    <row r="93" spans="1:11" s="19" customFormat="1" ht="12" customHeight="1" thickTop="1" x14ac:dyDescent="0.2">
      <c r="A93" s="50"/>
      <c r="B93" s="54">
        <v>80101</v>
      </c>
      <c r="C93" s="32"/>
      <c r="D93" s="41" t="s">
        <v>84</v>
      </c>
      <c r="E93" s="42">
        <v>80314337.539999992</v>
      </c>
      <c r="F93" s="43">
        <f>SUM(F94)</f>
        <v>384624</v>
      </c>
      <c r="G93" s="43">
        <f>SUM(G94)</f>
        <v>59000</v>
      </c>
      <c r="H93" s="42">
        <f>SUM(E93+F93-G93)</f>
        <v>80639961.539999992</v>
      </c>
      <c r="I93" s="4"/>
      <c r="J93" s="17"/>
      <c r="K93" s="17"/>
    </row>
    <row r="94" spans="1:11" s="19" customFormat="1" ht="12" customHeight="1" x14ac:dyDescent="0.2">
      <c r="A94" s="50"/>
      <c r="B94" s="54"/>
      <c r="C94" s="32"/>
      <c r="D94" s="425" t="s">
        <v>85</v>
      </c>
      <c r="E94" s="100">
        <v>71708477.149999991</v>
      </c>
      <c r="F94" s="100">
        <f>SUM(F95:F99)</f>
        <v>384624</v>
      </c>
      <c r="G94" s="100">
        <f>SUM(G95:G99)</f>
        <v>59000</v>
      </c>
      <c r="H94" s="421">
        <f>SUM(E94+F94-G94)</f>
        <v>72034101.149999991</v>
      </c>
      <c r="I94" s="4"/>
      <c r="J94" s="17"/>
      <c r="K94" s="17"/>
    </row>
    <row r="95" spans="1:11" s="19" customFormat="1" ht="12" customHeight="1" x14ac:dyDescent="0.2">
      <c r="A95" s="50"/>
      <c r="B95" s="54"/>
      <c r="C95" s="53">
        <v>3020</v>
      </c>
      <c r="D95" s="72" t="s">
        <v>86</v>
      </c>
      <c r="E95" s="48">
        <v>125103</v>
      </c>
      <c r="F95" s="48">
        <v>330852</v>
      </c>
      <c r="G95" s="48"/>
      <c r="H95" s="56">
        <f t="shared" ref="H95:H99" si="17">SUM(E95+F95-G95)</f>
        <v>455955</v>
      </c>
      <c r="I95" s="4"/>
      <c r="J95" s="17"/>
      <c r="K95" s="17"/>
    </row>
    <row r="96" spans="1:11" s="19" customFormat="1" ht="12" customHeight="1" x14ac:dyDescent="0.2">
      <c r="A96" s="50"/>
      <c r="B96" s="54"/>
      <c r="C96" s="53">
        <v>4040</v>
      </c>
      <c r="D96" s="72" t="s">
        <v>87</v>
      </c>
      <c r="E96" s="48">
        <v>727687</v>
      </c>
      <c r="F96" s="48"/>
      <c r="G96" s="48">
        <v>24000</v>
      </c>
      <c r="H96" s="56">
        <f t="shared" si="17"/>
        <v>703687</v>
      </c>
      <c r="I96" s="4"/>
      <c r="J96" s="17"/>
      <c r="K96" s="17"/>
    </row>
    <row r="97" spans="1:11" s="19" customFormat="1" ht="12" customHeight="1" x14ac:dyDescent="0.2">
      <c r="A97" s="50"/>
      <c r="B97" s="54"/>
      <c r="C97" s="53">
        <v>4260</v>
      </c>
      <c r="D97" s="72" t="s">
        <v>54</v>
      </c>
      <c r="E97" s="48">
        <v>4001286</v>
      </c>
      <c r="F97" s="48">
        <v>38772</v>
      </c>
      <c r="G97" s="48"/>
      <c r="H97" s="56">
        <f t="shared" si="17"/>
        <v>4040058</v>
      </c>
      <c r="I97" s="4"/>
      <c r="J97" s="17"/>
      <c r="K97" s="17"/>
    </row>
    <row r="98" spans="1:11" s="19" customFormat="1" ht="12" customHeight="1" x14ac:dyDescent="0.2">
      <c r="A98" s="50"/>
      <c r="B98" s="54"/>
      <c r="C98" s="54">
        <v>4300</v>
      </c>
      <c r="D98" s="72" t="s">
        <v>55</v>
      </c>
      <c r="E98" s="47">
        <v>824704</v>
      </c>
      <c r="F98" s="47">
        <v>15000</v>
      </c>
      <c r="G98" s="47"/>
      <c r="H98" s="56">
        <f t="shared" si="17"/>
        <v>839704</v>
      </c>
      <c r="I98" s="4"/>
      <c r="J98" s="17"/>
      <c r="K98" s="17"/>
    </row>
    <row r="99" spans="1:11" s="19" customFormat="1" ht="12" customHeight="1" x14ac:dyDescent="0.2">
      <c r="A99" s="50"/>
      <c r="B99" s="54"/>
      <c r="C99" s="53">
        <v>4710</v>
      </c>
      <c r="D99" s="71" t="s">
        <v>64</v>
      </c>
      <c r="E99" s="47">
        <v>225865.18</v>
      </c>
      <c r="F99" s="47"/>
      <c r="G99" s="47">
        <v>35000</v>
      </c>
      <c r="H99" s="56">
        <f t="shared" si="17"/>
        <v>190865.18</v>
      </c>
      <c r="I99" s="4"/>
      <c r="J99" s="17"/>
      <c r="K99" s="17"/>
    </row>
    <row r="100" spans="1:11" s="19" customFormat="1" ht="12" customHeight="1" x14ac:dyDescent="0.2">
      <c r="A100" s="50"/>
      <c r="B100" s="54">
        <v>80102</v>
      </c>
      <c r="C100" s="32"/>
      <c r="D100" s="41" t="s">
        <v>88</v>
      </c>
      <c r="E100" s="43">
        <v>10389182</v>
      </c>
      <c r="F100" s="43">
        <f>SUM(F101)</f>
        <v>6000</v>
      </c>
      <c r="G100" s="43">
        <f>SUM(G101)</f>
        <v>5500</v>
      </c>
      <c r="H100" s="42">
        <f>SUM(E100+F100-G100)</f>
        <v>10389682</v>
      </c>
      <c r="I100" s="4"/>
      <c r="J100" s="17"/>
      <c r="K100" s="17"/>
    </row>
    <row r="101" spans="1:11" s="19" customFormat="1" ht="12" customHeight="1" x14ac:dyDescent="0.2">
      <c r="A101" s="50"/>
      <c r="B101" s="54"/>
      <c r="C101" s="32"/>
      <c r="D101" s="425" t="s">
        <v>85</v>
      </c>
      <c r="E101" s="100">
        <v>10389182</v>
      </c>
      <c r="F101" s="100">
        <f>SUM(F102:F105)</f>
        <v>6000</v>
      </c>
      <c r="G101" s="100">
        <f>SUM(G102:G105)</f>
        <v>5500</v>
      </c>
      <c r="H101" s="421">
        <f>SUM(E101+F101-G101)</f>
        <v>10389682</v>
      </c>
      <c r="I101" s="4"/>
      <c r="J101" s="17"/>
      <c r="K101" s="17"/>
    </row>
    <row r="102" spans="1:11" s="19" customFormat="1" ht="12" customHeight="1" x14ac:dyDescent="0.2">
      <c r="A102" s="50"/>
      <c r="B102" s="54"/>
      <c r="C102" s="53">
        <v>3020</v>
      </c>
      <c r="D102" s="72" t="s">
        <v>86</v>
      </c>
      <c r="E102" s="48">
        <v>4803</v>
      </c>
      <c r="F102" s="48">
        <v>1000</v>
      </c>
      <c r="G102" s="48"/>
      <c r="H102" s="56">
        <f t="shared" ref="H102:H105" si="18">SUM(E102+F102-G102)</f>
        <v>5803</v>
      </c>
      <c r="I102" s="4"/>
      <c r="J102" s="17"/>
      <c r="K102" s="17"/>
    </row>
    <row r="103" spans="1:11" s="19" customFormat="1" ht="12" customHeight="1" x14ac:dyDescent="0.2">
      <c r="A103" s="50"/>
      <c r="B103" s="54"/>
      <c r="C103" s="75">
        <v>4210</v>
      </c>
      <c r="D103" s="71" t="s">
        <v>53</v>
      </c>
      <c r="E103" s="48">
        <v>26558</v>
      </c>
      <c r="F103" s="48">
        <v>5000</v>
      </c>
      <c r="G103" s="48"/>
      <c r="H103" s="56">
        <f t="shared" si="18"/>
        <v>31558</v>
      </c>
      <c r="I103" s="4"/>
      <c r="J103" s="17"/>
      <c r="K103" s="17"/>
    </row>
    <row r="104" spans="1:11" s="19" customFormat="1" ht="12" customHeight="1" x14ac:dyDescent="0.2">
      <c r="A104" s="50"/>
      <c r="B104" s="54"/>
      <c r="C104" s="53">
        <v>4710</v>
      </c>
      <c r="D104" s="71" t="s">
        <v>64</v>
      </c>
      <c r="E104" s="48">
        <v>47904</v>
      </c>
      <c r="F104" s="48"/>
      <c r="G104" s="48">
        <v>4500</v>
      </c>
      <c r="H104" s="56">
        <f t="shared" si="18"/>
        <v>43404</v>
      </c>
      <c r="I104" s="4"/>
      <c r="J104" s="17"/>
      <c r="K104" s="17"/>
    </row>
    <row r="105" spans="1:11" s="19" customFormat="1" ht="12" customHeight="1" x14ac:dyDescent="0.2">
      <c r="A105" s="50"/>
      <c r="B105" s="54"/>
      <c r="C105" s="75">
        <v>4800</v>
      </c>
      <c r="D105" s="86" t="s">
        <v>89</v>
      </c>
      <c r="E105" s="48">
        <v>579151</v>
      </c>
      <c r="F105" s="48"/>
      <c r="G105" s="48">
        <v>1000</v>
      </c>
      <c r="H105" s="56">
        <f t="shared" si="18"/>
        <v>578151</v>
      </c>
      <c r="I105" s="4"/>
      <c r="J105" s="17"/>
      <c r="K105" s="17"/>
    </row>
    <row r="106" spans="1:11" s="19" customFormat="1" ht="12" customHeight="1" x14ac:dyDescent="0.2">
      <c r="A106" s="50"/>
      <c r="B106" s="54">
        <v>80104</v>
      </c>
      <c r="C106" s="32"/>
      <c r="D106" s="41" t="s">
        <v>90</v>
      </c>
      <c r="E106" s="43">
        <v>37958069.460000001</v>
      </c>
      <c r="F106" s="43">
        <f>SUM(F107)</f>
        <v>12947</v>
      </c>
      <c r="G106" s="43">
        <f>SUM(G107)</f>
        <v>25947</v>
      </c>
      <c r="H106" s="42">
        <f>SUM(E106+F106-G106)</f>
        <v>37945069.460000001</v>
      </c>
      <c r="I106" s="4"/>
      <c r="J106" s="17"/>
      <c r="K106" s="17"/>
    </row>
    <row r="107" spans="1:11" s="19" customFormat="1" ht="12" customHeight="1" x14ac:dyDescent="0.2">
      <c r="A107" s="50"/>
      <c r="B107" s="54"/>
      <c r="C107" s="32"/>
      <c r="D107" s="425" t="s">
        <v>85</v>
      </c>
      <c r="E107" s="100">
        <v>28287171</v>
      </c>
      <c r="F107" s="100">
        <f>SUM(F108:F113)</f>
        <v>12947</v>
      </c>
      <c r="G107" s="100">
        <f>SUM(G108:G113)</f>
        <v>25947</v>
      </c>
      <c r="H107" s="421">
        <f>SUM(E107+F107-G107)</f>
        <v>28274171</v>
      </c>
      <c r="I107" s="4"/>
      <c r="J107" s="17"/>
      <c r="K107" s="17"/>
    </row>
    <row r="108" spans="1:11" s="19" customFormat="1" ht="12" customHeight="1" x14ac:dyDescent="0.2">
      <c r="A108" s="50"/>
      <c r="B108" s="54"/>
      <c r="C108" s="53">
        <v>4010</v>
      </c>
      <c r="D108" s="72" t="s">
        <v>75</v>
      </c>
      <c r="E108" s="47">
        <v>8102833</v>
      </c>
      <c r="F108" s="47">
        <v>2880</v>
      </c>
      <c r="G108" s="47"/>
      <c r="H108" s="56">
        <f t="shared" ref="H108:H113" si="19">SUM(E108+F108-G108)</f>
        <v>8105713</v>
      </c>
      <c r="I108" s="4"/>
      <c r="J108" s="17"/>
      <c r="K108" s="17"/>
    </row>
    <row r="109" spans="1:11" s="19" customFormat="1" ht="12" customHeight="1" x14ac:dyDescent="0.2">
      <c r="A109" s="50"/>
      <c r="B109" s="54"/>
      <c r="C109" s="53">
        <v>4110</v>
      </c>
      <c r="D109" s="72" t="s">
        <v>91</v>
      </c>
      <c r="E109" s="47">
        <v>3492777</v>
      </c>
      <c r="F109" s="47">
        <v>6996</v>
      </c>
      <c r="G109" s="47"/>
      <c r="H109" s="56">
        <f t="shared" si="19"/>
        <v>3499773</v>
      </c>
      <c r="I109" s="4"/>
      <c r="J109" s="17"/>
      <c r="K109" s="17"/>
    </row>
    <row r="110" spans="1:11" s="19" customFormat="1" ht="12" customHeight="1" x14ac:dyDescent="0.2">
      <c r="A110" s="50"/>
      <c r="B110" s="54"/>
      <c r="C110" s="53">
        <v>4120</v>
      </c>
      <c r="D110" s="72" t="s">
        <v>92</v>
      </c>
      <c r="E110" s="47">
        <v>493654</v>
      </c>
      <c r="F110" s="47">
        <v>1071</v>
      </c>
      <c r="G110" s="47"/>
      <c r="H110" s="56">
        <f t="shared" si="19"/>
        <v>494725</v>
      </c>
      <c r="I110" s="4"/>
      <c r="J110" s="17"/>
      <c r="K110" s="17"/>
    </row>
    <row r="111" spans="1:11" s="19" customFormat="1" ht="22.5" customHeight="1" x14ac:dyDescent="0.2">
      <c r="A111" s="50"/>
      <c r="B111" s="54"/>
      <c r="C111" s="73">
        <v>4700</v>
      </c>
      <c r="D111" s="76" t="s">
        <v>63</v>
      </c>
      <c r="E111" s="47">
        <v>19522</v>
      </c>
      <c r="F111" s="47">
        <v>2000</v>
      </c>
      <c r="G111" s="47"/>
      <c r="H111" s="56">
        <f t="shared" si="19"/>
        <v>21522</v>
      </c>
      <c r="I111" s="4"/>
      <c r="J111" s="17"/>
      <c r="K111" s="17"/>
    </row>
    <row r="112" spans="1:11" s="19" customFormat="1" ht="12" customHeight="1" x14ac:dyDescent="0.2">
      <c r="A112" s="50"/>
      <c r="B112" s="54"/>
      <c r="C112" s="53">
        <v>4710</v>
      </c>
      <c r="D112" s="71" t="s">
        <v>64</v>
      </c>
      <c r="E112" s="47">
        <v>206635</v>
      </c>
      <c r="F112" s="47"/>
      <c r="G112" s="47">
        <v>23947</v>
      </c>
      <c r="H112" s="56">
        <f t="shared" si="19"/>
        <v>182688</v>
      </c>
      <c r="I112" s="4"/>
      <c r="J112" s="17"/>
      <c r="K112" s="17"/>
    </row>
    <row r="113" spans="1:11" s="19" customFormat="1" ht="12" customHeight="1" x14ac:dyDescent="0.2">
      <c r="A113" s="50"/>
      <c r="B113" s="54"/>
      <c r="C113" s="75">
        <v>4800</v>
      </c>
      <c r="D113" s="86" t="s">
        <v>89</v>
      </c>
      <c r="E113" s="47">
        <v>974568</v>
      </c>
      <c r="F113" s="47"/>
      <c r="G113" s="47">
        <v>2000</v>
      </c>
      <c r="H113" s="56">
        <f t="shared" si="19"/>
        <v>972568</v>
      </c>
      <c r="I113" s="4"/>
      <c r="J113" s="17"/>
      <c r="K113" s="17"/>
    </row>
    <row r="114" spans="1:11" s="19" customFormat="1" ht="12" customHeight="1" x14ac:dyDescent="0.2">
      <c r="A114" s="50"/>
      <c r="B114" s="54">
        <v>80105</v>
      </c>
      <c r="C114" s="32"/>
      <c r="D114" s="41" t="s">
        <v>93</v>
      </c>
      <c r="E114" s="43">
        <v>654476</v>
      </c>
      <c r="F114" s="43">
        <f>SUM(F115)</f>
        <v>37976</v>
      </c>
      <c r="G114" s="43">
        <f>SUM(G115)</f>
        <v>8400</v>
      </c>
      <c r="H114" s="42">
        <f>SUM(E114+F114-G114)</f>
        <v>684052</v>
      </c>
      <c r="I114" s="4"/>
      <c r="J114" s="17"/>
      <c r="K114" s="17"/>
    </row>
    <row r="115" spans="1:11" s="19" customFormat="1" ht="12" customHeight="1" x14ac:dyDescent="0.2">
      <c r="A115" s="50"/>
      <c r="B115" s="53"/>
      <c r="C115" s="32"/>
      <c r="D115" s="425" t="s">
        <v>85</v>
      </c>
      <c r="E115" s="100">
        <v>654476</v>
      </c>
      <c r="F115" s="100">
        <f>SUM(F116:F121)</f>
        <v>37976</v>
      </c>
      <c r="G115" s="100">
        <f>SUM(G116:G121)</f>
        <v>8400</v>
      </c>
      <c r="H115" s="421">
        <f>SUM(E115+F115-G115)</f>
        <v>684052</v>
      </c>
      <c r="I115" s="4"/>
      <c r="J115" s="17"/>
      <c r="K115" s="17"/>
    </row>
    <row r="116" spans="1:11" s="19" customFormat="1" ht="12" customHeight="1" x14ac:dyDescent="0.2">
      <c r="A116" s="50"/>
      <c r="B116" s="53"/>
      <c r="C116" s="53">
        <v>4010</v>
      </c>
      <c r="D116" s="72" t="s">
        <v>75</v>
      </c>
      <c r="E116" s="48">
        <v>106228</v>
      </c>
      <c r="F116" s="48">
        <v>10000</v>
      </c>
      <c r="G116" s="48"/>
      <c r="H116" s="56">
        <f t="shared" ref="H116:H121" si="20">SUM(E116+F116-G116)</f>
        <v>116228</v>
      </c>
      <c r="I116" s="4"/>
      <c r="J116" s="17"/>
      <c r="K116" s="17"/>
    </row>
    <row r="117" spans="1:11" s="19" customFormat="1" ht="12" customHeight="1" x14ac:dyDescent="0.2">
      <c r="A117" s="50"/>
      <c r="B117" s="53"/>
      <c r="C117" s="53">
        <v>4040</v>
      </c>
      <c r="D117" s="72" t="s">
        <v>87</v>
      </c>
      <c r="E117" s="48">
        <v>13200</v>
      </c>
      <c r="F117" s="48"/>
      <c r="G117" s="48">
        <v>1400</v>
      </c>
      <c r="H117" s="56">
        <f t="shared" si="20"/>
        <v>11800</v>
      </c>
      <c r="I117" s="4"/>
      <c r="J117" s="17"/>
      <c r="K117" s="17"/>
    </row>
    <row r="118" spans="1:11" s="19" customFormat="1" ht="12" customHeight="1" x14ac:dyDescent="0.2">
      <c r="A118" s="50"/>
      <c r="B118" s="53"/>
      <c r="C118" s="53">
        <v>4110</v>
      </c>
      <c r="D118" s="72" t="s">
        <v>91</v>
      </c>
      <c r="E118" s="48">
        <v>86087</v>
      </c>
      <c r="F118" s="48">
        <v>5000</v>
      </c>
      <c r="G118" s="48"/>
      <c r="H118" s="56">
        <f t="shared" si="20"/>
        <v>91087</v>
      </c>
      <c r="I118" s="4"/>
      <c r="J118" s="17"/>
      <c r="K118" s="17"/>
    </row>
    <row r="119" spans="1:11" s="19" customFormat="1" ht="12" customHeight="1" x14ac:dyDescent="0.2">
      <c r="A119" s="50"/>
      <c r="B119" s="53"/>
      <c r="C119" s="53">
        <v>4710</v>
      </c>
      <c r="D119" s="71" t="s">
        <v>64</v>
      </c>
      <c r="E119" s="48">
        <v>9861</v>
      </c>
      <c r="F119" s="48"/>
      <c r="G119" s="48">
        <v>4500</v>
      </c>
      <c r="H119" s="56">
        <f t="shared" si="20"/>
        <v>5361</v>
      </c>
      <c r="I119" s="4"/>
      <c r="J119" s="17"/>
      <c r="K119" s="17"/>
    </row>
    <row r="120" spans="1:11" s="19" customFormat="1" ht="12" customHeight="1" x14ac:dyDescent="0.2">
      <c r="A120" s="50"/>
      <c r="B120" s="53"/>
      <c r="C120" s="75">
        <v>4790</v>
      </c>
      <c r="D120" s="86" t="s">
        <v>94</v>
      </c>
      <c r="E120" s="48">
        <v>347936</v>
      </c>
      <c r="F120" s="48">
        <v>22976</v>
      </c>
      <c r="G120" s="48"/>
      <c r="H120" s="56">
        <f t="shared" si="20"/>
        <v>370912</v>
      </c>
      <c r="I120" s="4"/>
      <c r="J120" s="17"/>
      <c r="K120" s="17"/>
    </row>
    <row r="121" spans="1:11" s="19" customFormat="1" ht="12" customHeight="1" x14ac:dyDescent="0.2">
      <c r="A121" s="50"/>
      <c r="B121" s="53"/>
      <c r="C121" s="75">
        <v>4800</v>
      </c>
      <c r="D121" s="86" t="s">
        <v>89</v>
      </c>
      <c r="E121" s="48">
        <v>30500</v>
      </c>
      <c r="F121" s="48"/>
      <c r="G121" s="48">
        <v>2500</v>
      </c>
      <c r="H121" s="56">
        <f t="shared" si="20"/>
        <v>28000</v>
      </c>
      <c r="I121" s="4"/>
      <c r="J121" s="17"/>
      <c r="K121" s="17"/>
    </row>
    <row r="122" spans="1:11" s="19" customFormat="1" ht="12" customHeight="1" x14ac:dyDescent="0.2">
      <c r="A122" s="50"/>
      <c r="B122" s="54">
        <v>80107</v>
      </c>
      <c r="C122" s="32"/>
      <c r="D122" s="79" t="s">
        <v>95</v>
      </c>
      <c r="E122" s="43">
        <v>5580208</v>
      </c>
      <c r="F122" s="43">
        <f>SUM(F123)</f>
        <v>41783</v>
      </c>
      <c r="G122" s="43">
        <f>SUM(G123)</f>
        <v>4293</v>
      </c>
      <c r="H122" s="42">
        <f>SUM(E122+F122-G122)</f>
        <v>5617698</v>
      </c>
      <c r="I122" s="4"/>
      <c r="J122" s="17"/>
      <c r="K122" s="17"/>
    </row>
    <row r="123" spans="1:11" s="19" customFormat="1" ht="12" customHeight="1" x14ac:dyDescent="0.2">
      <c r="A123" s="50"/>
      <c r="B123" s="53"/>
      <c r="C123" s="32"/>
      <c r="D123" s="425" t="s">
        <v>85</v>
      </c>
      <c r="E123" s="100">
        <v>5580208</v>
      </c>
      <c r="F123" s="100">
        <f>SUM(F124:F126)</f>
        <v>41783</v>
      </c>
      <c r="G123" s="100">
        <f>SUM(G124:G126)</f>
        <v>4293</v>
      </c>
      <c r="H123" s="421">
        <f>SUM(E123+F123-G123)</f>
        <v>5617698</v>
      </c>
      <c r="I123" s="4"/>
      <c r="J123" s="17"/>
      <c r="K123" s="17"/>
    </row>
    <row r="124" spans="1:11" s="19" customFormat="1" ht="12" customHeight="1" x14ac:dyDescent="0.2">
      <c r="A124" s="50"/>
      <c r="B124" s="53"/>
      <c r="C124" s="53">
        <v>3020</v>
      </c>
      <c r="D124" s="72" t="s">
        <v>86</v>
      </c>
      <c r="E124" s="48">
        <v>1580</v>
      </c>
      <c r="F124" s="48">
        <v>37490</v>
      </c>
      <c r="G124" s="48"/>
      <c r="H124" s="56">
        <f t="shared" ref="H124:H126" si="21">SUM(E124+F124-G124)</f>
        <v>39070</v>
      </c>
      <c r="I124" s="4"/>
      <c r="J124" s="17"/>
      <c r="K124" s="17"/>
    </row>
    <row r="125" spans="1:11" s="19" customFormat="1" ht="12" customHeight="1" x14ac:dyDescent="0.2">
      <c r="A125" s="50"/>
      <c r="B125" s="53"/>
      <c r="C125" s="75">
        <v>4790</v>
      </c>
      <c r="D125" s="86" t="s">
        <v>94</v>
      </c>
      <c r="E125" s="48">
        <v>4019486</v>
      </c>
      <c r="F125" s="48">
        <v>4293</v>
      </c>
      <c r="G125" s="48"/>
      <c r="H125" s="56">
        <f t="shared" si="21"/>
        <v>4023779</v>
      </c>
      <c r="I125" s="4"/>
      <c r="J125" s="17"/>
      <c r="K125" s="17"/>
    </row>
    <row r="126" spans="1:11" s="19" customFormat="1" ht="12" customHeight="1" x14ac:dyDescent="0.2">
      <c r="A126" s="50"/>
      <c r="B126" s="53"/>
      <c r="C126" s="75">
        <v>4800</v>
      </c>
      <c r="D126" s="86" t="s">
        <v>89</v>
      </c>
      <c r="E126" s="48">
        <v>364196</v>
      </c>
      <c r="F126" s="48"/>
      <c r="G126" s="48">
        <v>4293</v>
      </c>
      <c r="H126" s="56">
        <f t="shared" si="21"/>
        <v>359903</v>
      </c>
      <c r="I126" s="4"/>
      <c r="J126" s="17"/>
      <c r="K126" s="17"/>
    </row>
    <row r="127" spans="1:11" s="19" customFormat="1" ht="12" customHeight="1" x14ac:dyDescent="0.2">
      <c r="A127" s="50"/>
      <c r="B127" s="75" t="s">
        <v>96</v>
      </c>
      <c r="C127" s="78"/>
      <c r="D127" s="79" t="s">
        <v>97</v>
      </c>
      <c r="E127" s="42">
        <v>686055</v>
      </c>
      <c r="F127" s="43">
        <f>SUM(F128)</f>
        <v>2000</v>
      </c>
      <c r="G127" s="43">
        <f>SUM(G128)</f>
        <v>2000</v>
      </c>
      <c r="H127" s="42">
        <f>SUM(E127+F127-G127)</f>
        <v>686055</v>
      </c>
      <c r="I127" s="4"/>
      <c r="J127" s="17"/>
      <c r="K127" s="17"/>
    </row>
    <row r="128" spans="1:11" s="19" customFormat="1" ht="12" customHeight="1" x14ac:dyDescent="0.2">
      <c r="A128" s="50"/>
      <c r="B128" s="50"/>
      <c r="C128" s="32"/>
      <c r="D128" s="425" t="s">
        <v>85</v>
      </c>
      <c r="E128" s="100">
        <v>566055</v>
      </c>
      <c r="F128" s="100">
        <f>SUM(F129:F130)</f>
        <v>2000</v>
      </c>
      <c r="G128" s="100">
        <f>SUM(G129:G130)</f>
        <v>2000</v>
      </c>
      <c r="H128" s="100">
        <f t="shared" ref="H128:H130" si="22">SUM(E128+F128-G128)</f>
        <v>566055</v>
      </c>
      <c r="I128" s="4"/>
      <c r="J128" s="17"/>
      <c r="K128" s="17"/>
    </row>
    <row r="129" spans="1:11" s="19" customFormat="1" ht="12" customHeight="1" x14ac:dyDescent="0.2">
      <c r="A129" s="50"/>
      <c r="B129" s="31"/>
      <c r="C129" s="53">
        <v>4040</v>
      </c>
      <c r="D129" s="72" t="s">
        <v>87</v>
      </c>
      <c r="E129" s="56">
        <v>25592</v>
      </c>
      <c r="F129" s="56"/>
      <c r="G129" s="57">
        <v>2000</v>
      </c>
      <c r="H129" s="57">
        <f t="shared" si="22"/>
        <v>23592</v>
      </c>
      <c r="I129" s="4"/>
      <c r="J129" s="17"/>
      <c r="K129" s="17"/>
    </row>
    <row r="130" spans="1:11" s="19" customFormat="1" ht="12" customHeight="1" x14ac:dyDescent="0.2">
      <c r="A130" s="50"/>
      <c r="B130" s="50"/>
      <c r="C130" s="53">
        <v>4170</v>
      </c>
      <c r="D130" s="72" t="s">
        <v>73</v>
      </c>
      <c r="E130" s="56">
        <v>3600</v>
      </c>
      <c r="F130" s="56">
        <v>2000</v>
      </c>
      <c r="G130" s="56"/>
      <c r="H130" s="57">
        <f t="shared" si="22"/>
        <v>5600</v>
      </c>
      <c r="I130" s="4"/>
      <c r="J130" s="17"/>
      <c r="K130" s="17"/>
    </row>
    <row r="131" spans="1:11" s="19" customFormat="1" ht="12" customHeight="1" x14ac:dyDescent="0.2">
      <c r="A131" s="50"/>
      <c r="B131" s="54">
        <v>80115</v>
      </c>
      <c r="C131" s="32"/>
      <c r="D131" s="41" t="s">
        <v>98</v>
      </c>
      <c r="E131" s="42">
        <v>40914359.149999999</v>
      </c>
      <c r="F131" s="43">
        <f>SUM(F132)</f>
        <v>134066</v>
      </c>
      <c r="G131" s="43">
        <f>SUM(G132)</f>
        <v>22500</v>
      </c>
      <c r="H131" s="42">
        <f>SUM(E131+F131-G131)</f>
        <v>41025925.149999999</v>
      </c>
      <c r="I131" s="4"/>
      <c r="J131" s="17"/>
      <c r="K131" s="17"/>
    </row>
    <row r="132" spans="1:11" s="19" customFormat="1" ht="12" customHeight="1" x14ac:dyDescent="0.2">
      <c r="A132" s="50"/>
      <c r="B132" s="54"/>
      <c r="C132" s="32"/>
      <c r="D132" s="425" t="s">
        <v>85</v>
      </c>
      <c r="E132" s="100">
        <v>37509179.149999999</v>
      </c>
      <c r="F132" s="100">
        <f>SUM(F133:F137)</f>
        <v>134066</v>
      </c>
      <c r="G132" s="100">
        <f>SUM(G133:G137)</f>
        <v>22500</v>
      </c>
      <c r="H132" s="421">
        <f>SUM(E132+F132-G132)</f>
        <v>37620745.149999999</v>
      </c>
      <c r="I132" s="4"/>
      <c r="J132" s="17"/>
      <c r="K132" s="17"/>
    </row>
    <row r="133" spans="1:11" s="19" customFormat="1" ht="12" customHeight="1" x14ac:dyDescent="0.2">
      <c r="A133" s="50"/>
      <c r="B133" s="54"/>
      <c r="C133" s="53">
        <v>3020</v>
      </c>
      <c r="D133" s="72" t="s">
        <v>86</v>
      </c>
      <c r="E133" s="56">
        <v>57850</v>
      </c>
      <c r="F133" s="57">
        <v>133566</v>
      </c>
      <c r="G133" s="57"/>
      <c r="H133" s="57">
        <f t="shared" ref="H133:H137" si="23">SUM(E133+F133-G133)</f>
        <v>191416</v>
      </c>
      <c r="I133" s="4"/>
      <c r="J133" s="17"/>
      <c r="K133" s="17"/>
    </row>
    <row r="134" spans="1:11" s="19" customFormat="1" ht="12" customHeight="1" x14ac:dyDescent="0.2">
      <c r="A134" s="50"/>
      <c r="B134" s="54"/>
      <c r="C134" s="53">
        <v>4040</v>
      </c>
      <c r="D134" s="72" t="s">
        <v>87</v>
      </c>
      <c r="E134" s="56">
        <v>382170</v>
      </c>
      <c r="F134" s="57"/>
      <c r="G134" s="57">
        <v>7000</v>
      </c>
      <c r="H134" s="57">
        <f t="shared" si="23"/>
        <v>375170</v>
      </c>
      <c r="I134" s="4"/>
      <c r="J134" s="17"/>
      <c r="K134" s="17"/>
    </row>
    <row r="135" spans="1:11" s="19" customFormat="1" ht="12" customHeight="1" x14ac:dyDescent="0.2">
      <c r="A135" s="50"/>
      <c r="B135" s="54"/>
      <c r="C135" s="54">
        <v>4300</v>
      </c>
      <c r="D135" s="72" t="s">
        <v>55</v>
      </c>
      <c r="E135" s="56">
        <v>355658</v>
      </c>
      <c r="F135" s="48"/>
      <c r="G135" s="48">
        <v>500</v>
      </c>
      <c r="H135" s="47">
        <f t="shared" si="23"/>
        <v>355158</v>
      </c>
      <c r="I135" s="4"/>
      <c r="J135" s="17"/>
      <c r="K135" s="17"/>
    </row>
    <row r="136" spans="1:11" s="19" customFormat="1" ht="12" customHeight="1" x14ac:dyDescent="0.2">
      <c r="A136" s="50"/>
      <c r="B136" s="54"/>
      <c r="C136" s="53">
        <v>4430</v>
      </c>
      <c r="D136" s="72" t="s">
        <v>57</v>
      </c>
      <c r="E136" s="56">
        <v>22538</v>
      </c>
      <c r="F136" s="48">
        <v>500</v>
      </c>
      <c r="G136" s="48"/>
      <c r="H136" s="47">
        <f t="shared" si="23"/>
        <v>23038</v>
      </c>
      <c r="I136" s="4"/>
      <c r="J136" s="17"/>
      <c r="K136" s="17"/>
    </row>
    <row r="137" spans="1:11" s="19" customFormat="1" ht="12" customHeight="1" x14ac:dyDescent="0.2">
      <c r="A137" s="50"/>
      <c r="B137" s="54"/>
      <c r="C137" s="53">
        <v>4710</v>
      </c>
      <c r="D137" s="71" t="s">
        <v>64</v>
      </c>
      <c r="E137" s="56">
        <v>124749.16</v>
      </c>
      <c r="F137" s="48"/>
      <c r="G137" s="48">
        <v>15000</v>
      </c>
      <c r="H137" s="47">
        <f t="shared" si="23"/>
        <v>109749.16</v>
      </c>
      <c r="I137" s="4"/>
      <c r="J137" s="17"/>
      <c r="K137" s="17"/>
    </row>
    <row r="138" spans="1:11" s="19" customFormat="1" ht="12" customHeight="1" x14ac:dyDescent="0.2">
      <c r="A138" s="50"/>
      <c r="B138" s="54">
        <v>80116</v>
      </c>
      <c r="C138" s="32"/>
      <c r="D138" s="41" t="s">
        <v>99</v>
      </c>
      <c r="E138" s="42">
        <v>6015375</v>
      </c>
      <c r="F138" s="43">
        <f>SUM(F139,F141)</f>
        <v>13350</v>
      </c>
      <c r="G138" s="43">
        <f>SUM(G139,G141)</f>
        <v>50000</v>
      </c>
      <c r="H138" s="42">
        <f>SUM(E138+F138-G138)</f>
        <v>5978725</v>
      </c>
      <c r="I138" s="4"/>
      <c r="J138" s="17"/>
      <c r="K138" s="17"/>
    </row>
    <row r="139" spans="1:11" s="19" customFormat="1" ht="12" customHeight="1" x14ac:dyDescent="0.2">
      <c r="A139" s="50"/>
      <c r="B139" s="54"/>
      <c r="C139" s="32"/>
      <c r="D139" s="428" t="s">
        <v>100</v>
      </c>
      <c r="E139" s="100">
        <v>5272240</v>
      </c>
      <c r="F139" s="100">
        <f>SUM(F140:F140)</f>
        <v>0</v>
      </c>
      <c r="G139" s="100">
        <f>SUM(G140:G140)</f>
        <v>50000</v>
      </c>
      <c r="H139" s="100">
        <f t="shared" ref="H139:H140" si="24">SUM(E139+F139-G139)</f>
        <v>5222240</v>
      </c>
      <c r="I139" s="4"/>
      <c r="J139" s="17"/>
      <c r="K139" s="17"/>
    </row>
    <row r="140" spans="1:11" s="19" customFormat="1" ht="22.5" customHeight="1" x14ac:dyDescent="0.2">
      <c r="A140" s="50"/>
      <c r="B140" s="54"/>
      <c r="C140" s="73">
        <v>2540</v>
      </c>
      <c r="D140" s="74" t="s">
        <v>101</v>
      </c>
      <c r="E140" s="57">
        <v>5272240</v>
      </c>
      <c r="F140" s="57"/>
      <c r="G140" s="57">
        <v>50000</v>
      </c>
      <c r="H140" s="57">
        <f t="shared" si="24"/>
        <v>5222240</v>
      </c>
      <c r="I140" s="4"/>
      <c r="J140" s="17"/>
      <c r="K140" s="17"/>
    </row>
    <row r="141" spans="1:11" s="19" customFormat="1" ht="12" customHeight="1" x14ac:dyDescent="0.2">
      <c r="A141" s="50"/>
      <c r="B141" s="54"/>
      <c r="C141" s="32"/>
      <c r="D141" s="425" t="s">
        <v>85</v>
      </c>
      <c r="E141" s="100">
        <v>743135</v>
      </c>
      <c r="F141" s="100">
        <f>SUM(F142)</f>
        <v>13350</v>
      </c>
      <c r="G141" s="100">
        <f>SUM(G142)</f>
        <v>0</v>
      </c>
      <c r="H141" s="421">
        <f>SUM(E141+F141-G141)</f>
        <v>756485</v>
      </c>
      <c r="I141" s="4"/>
      <c r="J141" s="17"/>
      <c r="K141" s="17"/>
    </row>
    <row r="142" spans="1:11" s="19" customFormat="1" ht="12" customHeight="1" x14ac:dyDescent="0.2">
      <c r="A142" s="50"/>
      <c r="B142" s="54"/>
      <c r="C142" s="53">
        <v>3020</v>
      </c>
      <c r="D142" s="72" t="s">
        <v>86</v>
      </c>
      <c r="E142" s="56">
        <v>600</v>
      </c>
      <c r="F142" s="57">
        <v>13350</v>
      </c>
      <c r="G142" s="57"/>
      <c r="H142" s="57">
        <f t="shared" ref="H142" si="25">SUM(E142+F142-G142)</f>
        <v>13950</v>
      </c>
      <c r="I142" s="4"/>
      <c r="J142" s="17"/>
      <c r="K142" s="17"/>
    </row>
    <row r="143" spans="1:11" s="19" customFormat="1" ht="12" customHeight="1" x14ac:dyDescent="0.2">
      <c r="A143" s="50"/>
      <c r="B143" s="54">
        <v>80117</v>
      </c>
      <c r="C143" s="32"/>
      <c r="D143" s="41" t="s">
        <v>102</v>
      </c>
      <c r="E143" s="68">
        <v>8470072.2400000002</v>
      </c>
      <c r="F143" s="43">
        <f>SUM(F144)</f>
        <v>45375</v>
      </c>
      <c r="G143" s="43">
        <f>SUM(G144)</f>
        <v>4922</v>
      </c>
      <c r="H143" s="42">
        <f>SUM(E143+F143-G143)</f>
        <v>8510525.2400000002</v>
      </c>
      <c r="I143" s="4"/>
      <c r="J143" s="17"/>
      <c r="K143" s="17"/>
    </row>
    <row r="144" spans="1:11" s="19" customFormat="1" ht="12" customHeight="1" x14ac:dyDescent="0.2">
      <c r="A144" s="50"/>
      <c r="B144" s="50"/>
      <c r="C144" s="32"/>
      <c r="D144" s="425" t="s">
        <v>85</v>
      </c>
      <c r="E144" s="100">
        <v>5813088.2400000002</v>
      </c>
      <c r="F144" s="100">
        <f>SUM(F145:F149)</f>
        <v>45375</v>
      </c>
      <c r="G144" s="100">
        <f>SUM(G145:G149)</f>
        <v>4922</v>
      </c>
      <c r="H144" s="100">
        <f t="shared" ref="H144:H149" si="26">SUM(E144+F144-G144)</f>
        <v>5853541.2400000002</v>
      </c>
      <c r="I144" s="4"/>
      <c r="J144" s="17"/>
      <c r="K144" s="17"/>
    </row>
    <row r="145" spans="1:11" s="19" customFormat="1" ht="12" customHeight="1" x14ac:dyDescent="0.2">
      <c r="A145" s="50"/>
      <c r="B145" s="54"/>
      <c r="C145" s="53">
        <v>3020</v>
      </c>
      <c r="D145" s="72" t="s">
        <v>86</v>
      </c>
      <c r="E145" s="47">
        <v>12199</v>
      </c>
      <c r="F145" s="48">
        <v>44560</v>
      </c>
      <c r="G145" s="48"/>
      <c r="H145" s="47">
        <f t="shared" si="26"/>
        <v>56759</v>
      </c>
      <c r="I145" s="4"/>
      <c r="J145" s="17"/>
      <c r="K145" s="17"/>
    </row>
    <row r="146" spans="1:11" s="19" customFormat="1" ht="12" customHeight="1" x14ac:dyDescent="0.2">
      <c r="A146" s="50"/>
      <c r="B146" s="54"/>
      <c r="C146" s="53">
        <v>4110</v>
      </c>
      <c r="D146" s="72" t="s">
        <v>91</v>
      </c>
      <c r="E146" s="47">
        <v>706588.95</v>
      </c>
      <c r="F146" s="48"/>
      <c r="G146" s="48">
        <v>588</v>
      </c>
      <c r="H146" s="47">
        <f t="shared" si="26"/>
        <v>706000.95</v>
      </c>
      <c r="I146" s="4"/>
      <c r="J146" s="17"/>
      <c r="K146" s="17"/>
    </row>
    <row r="147" spans="1:11" s="19" customFormat="1" ht="12" customHeight="1" x14ac:dyDescent="0.2">
      <c r="A147" s="50"/>
      <c r="B147" s="54"/>
      <c r="C147" s="53">
        <v>4120</v>
      </c>
      <c r="D147" s="72" t="s">
        <v>92</v>
      </c>
      <c r="E147" s="47">
        <v>105546.57</v>
      </c>
      <c r="F147" s="48"/>
      <c r="G147" s="48">
        <v>85</v>
      </c>
      <c r="H147" s="47">
        <f t="shared" si="26"/>
        <v>105461.57</v>
      </c>
      <c r="I147" s="4"/>
      <c r="J147" s="17"/>
      <c r="K147" s="17"/>
    </row>
    <row r="148" spans="1:11" s="19" customFormat="1" ht="12" customHeight="1" x14ac:dyDescent="0.2">
      <c r="A148" s="50"/>
      <c r="B148" s="54"/>
      <c r="C148" s="53">
        <v>4710</v>
      </c>
      <c r="D148" s="71" t="s">
        <v>64</v>
      </c>
      <c r="E148" s="47">
        <v>35842.03</v>
      </c>
      <c r="F148" s="48"/>
      <c r="G148" s="48">
        <v>815</v>
      </c>
      <c r="H148" s="47">
        <f t="shared" si="26"/>
        <v>35027.03</v>
      </c>
      <c r="I148" s="4"/>
      <c r="J148" s="17"/>
      <c r="K148" s="17"/>
    </row>
    <row r="149" spans="1:11" s="19" customFormat="1" ht="12" customHeight="1" x14ac:dyDescent="0.2">
      <c r="A149" s="87"/>
      <c r="B149" s="63"/>
      <c r="C149" s="88">
        <v>4790</v>
      </c>
      <c r="D149" s="89" t="s">
        <v>94</v>
      </c>
      <c r="E149" s="90">
        <v>3370009.69</v>
      </c>
      <c r="F149" s="68">
        <v>815</v>
      </c>
      <c r="G149" s="68">
        <v>3434</v>
      </c>
      <c r="H149" s="90">
        <f t="shared" si="26"/>
        <v>3367390.69</v>
      </c>
      <c r="I149" s="4"/>
      <c r="J149" s="17"/>
      <c r="K149" s="17"/>
    </row>
    <row r="150" spans="1:11" s="19" customFormat="1" ht="12" customHeight="1" x14ac:dyDescent="0.2">
      <c r="A150" s="50"/>
      <c r="B150" s="75">
        <v>80120</v>
      </c>
      <c r="C150" s="78"/>
      <c r="D150" s="79" t="s">
        <v>103</v>
      </c>
      <c r="E150" s="68">
        <v>28625101.709999997</v>
      </c>
      <c r="F150" s="43">
        <f>SUM(F151)</f>
        <v>49652</v>
      </c>
      <c r="G150" s="43">
        <f>SUM(G151)</f>
        <v>37000</v>
      </c>
      <c r="H150" s="42">
        <f>SUM(E150+F150-G150)</f>
        <v>28637753.709999997</v>
      </c>
      <c r="I150" s="4"/>
      <c r="J150" s="17"/>
      <c r="K150" s="17"/>
    </row>
    <row r="151" spans="1:11" s="19" customFormat="1" ht="12" customHeight="1" x14ac:dyDescent="0.2">
      <c r="A151" s="50"/>
      <c r="B151" s="50"/>
      <c r="C151" s="32"/>
      <c r="D151" s="425" t="s">
        <v>85</v>
      </c>
      <c r="E151" s="100">
        <v>21447202.25</v>
      </c>
      <c r="F151" s="100">
        <f>SUM(F152:F155)</f>
        <v>49652</v>
      </c>
      <c r="G151" s="100">
        <f>SUM(G152:G155)</f>
        <v>37000</v>
      </c>
      <c r="H151" s="100">
        <f t="shared" ref="H151:H155" si="27">SUM(E151+F151-G151)</f>
        <v>21459854.25</v>
      </c>
      <c r="I151" s="4"/>
      <c r="J151" s="17"/>
      <c r="K151" s="17"/>
    </row>
    <row r="152" spans="1:11" s="19" customFormat="1" ht="11.45" customHeight="1" x14ac:dyDescent="0.2">
      <c r="A152" s="50"/>
      <c r="B152" s="54"/>
      <c r="C152" s="53">
        <v>4240</v>
      </c>
      <c r="D152" s="72" t="s">
        <v>104</v>
      </c>
      <c r="E152" s="56">
        <v>117153</v>
      </c>
      <c r="F152" s="57"/>
      <c r="G152" s="57">
        <v>17000</v>
      </c>
      <c r="H152" s="57">
        <f t="shared" si="27"/>
        <v>100153</v>
      </c>
      <c r="I152" s="4"/>
      <c r="J152" s="17"/>
      <c r="K152" s="17"/>
    </row>
    <row r="153" spans="1:11" s="19" customFormat="1" ht="11.45" customHeight="1" x14ac:dyDescent="0.2">
      <c r="A153" s="50"/>
      <c r="B153" s="54"/>
      <c r="C153" s="53">
        <v>4260</v>
      </c>
      <c r="D153" s="72" t="s">
        <v>54</v>
      </c>
      <c r="E153" s="56">
        <v>1304017</v>
      </c>
      <c r="F153" s="57">
        <v>49000</v>
      </c>
      <c r="G153" s="57"/>
      <c r="H153" s="57">
        <f t="shared" si="27"/>
        <v>1353017</v>
      </c>
      <c r="I153" s="4"/>
      <c r="J153" s="17"/>
      <c r="K153" s="17"/>
    </row>
    <row r="154" spans="1:11" s="19" customFormat="1" ht="11.45" customHeight="1" x14ac:dyDescent="0.2">
      <c r="A154" s="50"/>
      <c r="B154" s="54"/>
      <c r="C154" s="53">
        <v>4710</v>
      </c>
      <c r="D154" s="71" t="s">
        <v>64</v>
      </c>
      <c r="E154" s="56">
        <v>99779.96</v>
      </c>
      <c r="F154" s="48"/>
      <c r="G154" s="48">
        <v>20000</v>
      </c>
      <c r="H154" s="47">
        <f t="shared" si="27"/>
        <v>79779.960000000006</v>
      </c>
      <c r="I154" s="4"/>
      <c r="J154" s="17"/>
      <c r="K154" s="17"/>
    </row>
    <row r="155" spans="1:11" s="19" customFormat="1" ht="11.45" customHeight="1" x14ac:dyDescent="0.2">
      <c r="A155" s="50"/>
      <c r="B155" s="54"/>
      <c r="C155" s="75">
        <v>4790</v>
      </c>
      <c r="D155" s="86" t="s">
        <v>94</v>
      </c>
      <c r="E155" s="56">
        <v>12086179.560000001</v>
      </c>
      <c r="F155" s="48">
        <v>652</v>
      </c>
      <c r="G155" s="48"/>
      <c r="H155" s="47">
        <f t="shared" si="27"/>
        <v>12086831.560000001</v>
      </c>
      <c r="I155" s="4"/>
      <c r="J155" s="17"/>
      <c r="K155" s="17"/>
    </row>
    <row r="156" spans="1:11" s="19" customFormat="1" ht="12" customHeight="1" x14ac:dyDescent="0.2">
      <c r="A156" s="50"/>
      <c r="B156" s="53">
        <v>80132</v>
      </c>
      <c r="C156" s="32"/>
      <c r="D156" s="41" t="s">
        <v>105</v>
      </c>
      <c r="E156" s="42">
        <v>14431811.710000001</v>
      </c>
      <c r="F156" s="43">
        <f>SUM(F157)</f>
        <v>7000</v>
      </c>
      <c r="G156" s="43">
        <f>SUM(G157)</f>
        <v>7000</v>
      </c>
      <c r="H156" s="42">
        <f>SUM(E156+F156-G156)</f>
        <v>14431811.710000001</v>
      </c>
      <c r="I156" s="4"/>
      <c r="J156" s="17"/>
      <c r="K156" s="17"/>
    </row>
    <row r="157" spans="1:11" s="19" customFormat="1" ht="12" customHeight="1" x14ac:dyDescent="0.2">
      <c r="A157" s="50"/>
      <c r="B157" s="53"/>
      <c r="C157" s="32"/>
      <c r="D157" s="425" t="s">
        <v>85</v>
      </c>
      <c r="E157" s="100">
        <v>5781811.71</v>
      </c>
      <c r="F157" s="100">
        <f>SUM(F158:F160)</f>
        <v>7000</v>
      </c>
      <c r="G157" s="100">
        <f>SUM(G158:G160)</f>
        <v>7000</v>
      </c>
      <c r="H157" s="421">
        <f>SUM(E157+F157-G157)</f>
        <v>5781811.71</v>
      </c>
      <c r="I157" s="4"/>
      <c r="J157" s="17"/>
      <c r="K157" s="17"/>
    </row>
    <row r="158" spans="1:11" s="19" customFormat="1" ht="11.45" customHeight="1" x14ac:dyDescent="0.2">
      <c r="A158" s="50"/>
      <c r="B158" s="53"/>
      <c r="C158" s="53">
        <v>4270</v>
      </c>
      <c r="D158" s="72" t="s">
        <v>106</v>
      </c>
      <c r="E158" s="48">
        <v>5000</v>
      </c>
      <c r="F158" s="48">
        <v>3000</v>
      </c>
      <c r="G158" s="48"/>
      <c r="H158" s="56">
        <f t="shared" ref="H158:H160" si="28">SUM(E158+F158-G158)</f>
        <v>8000</v>
      </c>
      <c r="I158" s="4"/>
      <c r="J158" s="17"/>
      <c r="K158" s="17"/>
    </row>
    <row r="159" spans="1:11" s="19" customFormat="1" ht="11.45" customHeight="1" x14ac:dyDescent="0.2">
      <c r="A159" s="50"/>
      <c r="B159" s="53"/>
      <c r="C159" s="53">
        <v>4300</v>
      </c>
      <c r="D159" s="72" t="s">
        <v>55</v>
      </c>
      <c r="E159" s="48">
        <v>18500</v>
      </c>
      <c r="F159" s="48">
        <v>4000</v>
      </c>
      <c r="G159" s="48"/>
      <c r="H159" s="56">
        <f t="shared" si="28"/>
        <v>22500</v>
      </c>
      <c r="I159" s="4"/>
      <c r="J159" s="17"/>
      <c r="K159" s="17"/>
    </row>
    <row r="160" spans="1:11" s="19" customFormat="1" ht="11.45" customHeight="1" x14ac:dyDescent="0.2">
      <c r="A160" s="50"/>
      <c r="B160" s="53"/>
      <c r="C160" s="53">
        <v>4710</v>
      </c>
      <c r="D160" s="71" t="s">
        <v>64</v>
      </c>
      <c r="E160" s="48">
        <v>23897.88</v>
      </c>
      <c r="F160" s="48"/>
      <c r="G160" s="48">
        <v>7000</v>
      </c>
      <c r="H160" s="56">
        <f t="shared" si="28"/>
        <v>16897.88</v>
      </c>
      <c r="I160" s="4"/>
      <c r="J160" s="17"/>
      <c r="K160" s="17"/>
    </row>
    <row r="161" spans="1:11" s="19" customFormat="1" ht="12" customHeight="1" x14ac:dyDescent="0.2">
      <c r="A161" s="50"/>
      <c r="B161" s="54">
        <v>80134</v>
      </c>
      <c r="C161" s="32"/>
      <c r="D161" s="81" t="s">
        <v>107</v>
      </c>
      <c r="E161" s="68">
        <v>9270896</v>
      </c>
      <c r="F161" s="43">
        <f>SUM(F162)</f>
        <v>10400</v>
      </c>
      <c r="G161" s="43">
        <f>SUM(G162)</f>
        <v>10400</v>
      </c>
      <c r="H161" s="42">
        <f>SUM(E161+F161-G161)</f>
        <v>9270896</v>
      </c>
      <c r="I161" s="4"/>
      <c r="J161" s="17"/>
      <c r="K161" s="17"/>
    </row>
    <row r="162" spans="1:11" s="19" customFormat="1" ht="12" customHeight="1" x14ac:dyDescent="0.2">
      <c r="A162" s="50"/>
      <c r="B162" s="50"/>
      <c r="C162" s="32"/>
      <c r="D162" s="425" t="s">
        <v>85</v>
      </c>
      <c r="E162" s="100">
        <v>8970896</v>
      </c>
      <c r="F162" s="100">
        <f>SUM(F163:F166)</f>
        <v>10400</v>
      </c>
      <c r="G162" s="100">
        <f>SUM(G163:G166)</f>
        <v>10400</v>
      </c>
      <c r="H162" s="100">
        <f t="shared" ref="H162:H166" si="29">SUM(E162+F162-G162)</f>
        <v>8970896</v>
      </c>
      <c r="I162" s="4"/>
      <c r="J162" s="17"/>
      <c r="K162" s="17"/>
    </row>
    <row r="163" spans="1:11" s="19" customFormat="1" ht="11.45" customHeight="1" x14ac:dyDescent="0.2">
      <c r="A163" s="50"/>
      <c r="B163" s="50"/>
      <c r="C163" s="53">
        <v>4010</v>
      </c>
      <c r="D163" s="72" t="s">
        <v>75</v>
      </c>
      <c r="E163" s="48">
        <v>406757</v>
      </c>
      <c r="F163" s="48">
        <v>10000</v>
      </c>
      <c r="G163" s="48"/>
      <c r="H163" s="57">
        <f t="shared" si="29"/>
        <v>416757</v>
      </c>
      <c r="I163" s="4"/>
      <c r="J163" s="17"/>
      <c r="K163" s="17"/>
    </row>
    <row r="164" spans="1:11" s="19" customFormat="1" ht="11.45" customHeight="1" x14ac:dyDescent="0.2">
      <c r="A164" s="50"/>
      <c r="B164" s="50"/>
      <c r="C164" s="53">
        <v>4040</v>
      </c>
      <c r="D164" s="72" t="s">
        <v>87</v>
      </c>
      <c r="E164" s="48">
        <v>39773</v>
      </c>
      <c r="F164" s="48"/>
      <c r="G164" s="48">
        <v>4900</v>
      </c>
      <c r="H164" s="57">
        <f t="shared" si="29"/>
        <v>34873</v>
      </c>
      <c r="I164" s="4"/>
      <c r="J164" s="17"/>
      <c r="K164" s="17"/>
    </row>
    <row r="165" spans="1:11" s="19" customFormat="1" ht="11.45" customHeight="1" x14ac:dyDescent="0.2">
      <c r="A165" s="50"/>
      <c r="B165" s="50"/>
      <c r="C165" s="53">
        <v>4240</v>
      </c>
      <c r="D165" s="72" t="s">
        <v>104</v>
      </c>
      <c r="E165" s="48">
        <v>8499</v>
      </c>
      <c r="F165" s="48">
        <v>400</v>
      </c>
      <c r="G165" s="48"/>
      <c r="H165" s="57">
        <f t="shared" si="29"/>
        <v>8899</v>
      </c>
      <c r="I165" s="4"/>
      <c r="J165" s="17"/>
      <c r="K165" s="17"/>
    </row>
    <row r="166" spans="1:11" s="19" customFormat="1" ht="11.45" customHeight="1" x14ac:dyDescent="0.2">
      <c r="A166" s="50"/>
      <c r="B166" s="54"/>
      <c r="C166" s="53">
        <v>4710</v>
      </c>
      <c r="D166" s="71" t="s">
        <v>64</v>
      </c>
      <c r="E166" s="56">
        <v>46878</v>
      </c>
      <c r="F166" s="57"/>
      <c r="G166" s="57">
        <v>5500</v>
      </c>
      <c r="H166" s="57">
        <f t="shared" si="29"/>
        <v>41378</v>
      </c>
      <c r="I166" s="4"/>
      <c r="J166" s="17"/>
      <c r="K166" s="17"/>
    </row>
    <row r="167" spans="1:11" s="19" customFormat="1" ht="12" customHeight="1" x14ac:dyDescent="0.2">
      <c r="A167" s="50"/>
      <c r="B167" s="53">
        <v>80140</v>
      </c>
      <c r="C167" s="70"/>
      <c r="D167" s="91" t="s">
        <v>108</v>
      </c>
      <c r="E167" s="56"/>
      <c r="F167" s="57"/>
      <c r="G167" s="57"/>
      <c r="H167" s="57"/>
      <c r="I167" s="4"/>
      <c r="J167" s="17"/>
      <c r="K167" s="17"/>
    </row>
    <row r="168" spans="1:11" s="19" customFormat="1" ht="12" customHeight="1" x14ac:dyDescent="0.2">
      <c r="A168" s="50"/>
      <c r="B168" s="53"/>
      <c r="C168" s="32"/>
      <c r="D168" s="41" t="s">
        <v>109</v>
      </c>
      <c r="E168" s="42">
        <v>3106969</v>
      </c>
      <c r="F168" s="43">
        <f>SUM(F169,F189)</f>
        <v>21600</v>
      </c>
      <c r="G168" s="43">
        <f>SUM(G169,G189)</f>
        <v>9500</v>
      </c>
      <c r="H168" s="42">
        <f>SUM(E168+F168-G168)</f>
        <v>3119069</v>
      </c>
      <c r="I168" s="4"/>
      <c r="J168" s="17"/>
      <c r="K168" s="17"/>
    </row>
    <row r="169" spans="1:11" s="19" customFormat="1" ht="12" customHeight="1" x14ac:dyDescent="0.2">
      <c r="A169" s="50"/>
      <c r="B169" s="54"/>
      <c r="C169" s="32"/>
      <c r="D169" s="425" t="s">
        <v>85</v>
      </c>
      <c r="E169" s="421">
        <v>3106969</v>
      </c>
      <c r="F169" s="427">
        <f>SUM(F170:F172)</f>
        <v>21600</v>
      </c>
      <c r="G169" s="427">
        <f>SUM(G170:G172)</f>
        <v>9500</v>
      </c>
      <c r="H169" s="100">
        <f t="shared" ref="H169:H172" si="30">SUM(E169+F169-G169)</f>
        <v>3119069</v>
      </c>
      <c r="I169" s="4"/>
      <c r="J169" s="17"/>
      <c r="K169" s="17"/>
    </row>
    <row r="170" spans="1:11" s="19" customFormat="1" ht="12" customHeight="1" x14ac:dyDescent="0.2">
      <c r="A170" s="50"/>
      <c r="B170" s="54"/>
      <c r="C170" s="53">
        <v>3020</v>
      </c>
      <c r="D170" s="72" t="s">
        <v>86</v>
      </c>
      <c r="E170" s="56">
        <v>8000</v>
      </c>
      <c r="F170" s="47">
        <v>21600</v>
      </c>
      <c r="G170" s="47"/>
      <c r="H170" s="57">
        <f t="shared" si="30"/>
        <v>29600</v>
      </c>
      <c r="I170" s="4"/>
      <c r="J170" s="17"/>
      <c r="K170" s="17"/>
    </row>
    <row r="171" spans="1:11" s="19" customFormat="1" ht="12" customHeight="1" x14ac:dyDescent="0.2">
      <c r="A171" s="50"/>
      <c r="B171" s="54"/>
      <c r="C171" s="53">
        <v>4040</v>
      </c>
      <c r="D171" s="72" t="s">
        <v>87</v>
      </c>
      <c r="E171" s="56">
        <v>77005</v>
      </c>
      <c r="F171" s="47"/>
      <c r="G171" s="47">
        <v>5500</v>
      </c>
      <c r="H171" s="57">
        <f t="shared" si="30"/>
        <v>71505</v>
      </c>
      <c r="I171" s="4"/>
      <c r="J171" s="17"/>
      <c r="K171" s="17"/>
    </row>
    <row r="172" spans="1:11" s="19" customFormat="1" ht="12" customHeight="1" x14ac:dyDescent="0.2">
      <c r="A172" s="50"/>
      <c r="B172" s="54"/>
      <c r="C172" s="53">
        <v>4710</v>
      </c>
      <c r="D172" s="71" t="s">
        <v>64</v>
      </c>
      <c r="E172" s="56">
        <v>13695</v>
      </c>
      <c r="F172" s="47"/>
      <c r="G172" s="47">
        <v>4000</v>
      </c>
      <c r="H172" s="57">
        <f t="shared" si="30"/>
        <v>9695</v>
      </c>
      <c r="I172" s="4"/>
      <c r="J172" s="17"/>
      <c r="K172" s="17"/>
    </row>
    <row r="173" spans="1:11" s="19" customFormat="1" ht="12" customHeight="1" x14ac:dyDescent="0.2">
      <c r="A173" s="50"/>
      <c r="B173" s="54">
        <v>80148</v>
      </c>
      <c r="C173" s="32"/>
      <c r="D173" s="41" t="s">
        <v>110</v>
      </c>
      <c r="E173" s="68">
        <v>3219147</v>
      </c>
      <c r="F173" s="43">
        <f>SUM(F174)</f>
        <v>8500</v>
      </c>
      <c r="G173" s="43">
        <f>SUM(G174)</f>
        <v>1500</v>
      </c>
      <c r="H173" s="42">
        <f>SUM(E173+F173-G173)</f>
        <v>3226147</v>
      </c>
      <c r="I173" s="4"/>
      <c r="J173" s="17"/>
      <c r="K173" s="17"/>
    </row>
    <row r="174" spans="1:11" s="19" customFormat="1" ht="12" customHeight="1" x14ac:dyDescent="0.2">
      <c r="A174" s="50"/>
      <c r="B174" s="50"/>
      <c r="C174" s="32"/>
      <c r="D174" s="425" t="s">
        <v>85</v>
      </c>
      <c r="E174" s="100">
        <v>3219147</v>
      </c>
      <c r="F174" s="100">
        <f>SUM(F175:F180)</f>
        <v>8500</v>
      </c>
      <c r="G174" s="100">
        <f>SUM(G175:G180)</f>
        <v>1500</v>
      </c>
      <c r="H174" s="100">
        <f t="shared" ref="H174:H180" si="31">SUM(E174+F174-G174)</f>
        <v>3226147</v>
      </c>
      <c r="I174" s="4"/>
      <c r="J174" s="17"/>
      <c r="K174" s="17"/>
    </row>
    <row r="175" spans="1:11" s="19" customFormat="1" ht="11.45" customHeight="1" x14ac:dyDescent="0.2">
      <c r="A175" s="50"/>
      <c r="B175" s="54"/>
      <c r="C175" s="53">
        <v>4110</v>
      </c>
      <c r="D175" s="72" t="s">
        <v>91</v>
      </c>
      <c r="E175" s="47">
        <v>420730</v>
      </c>
      <c r="F175" s="57">
        <v>1500</v>
      </c>
      <c r="G175" s="57"/>
      <c r="H175" s="57">
        <f t="shared" si="31"/>
        <v>422230</v>
      </c>
      <c r="I175" s="4"/>
      <c r="J175" s="17"/>
      <c r="K175" s="17"/>
    </row>
    <row r="176" spans="1:11" s="19" customFormat="1" ht="11.45" customHeight="1" x14ac:dyDescent="0.2">
      <c r="A176" s="50"/>
      <c r="B176" s="54"/>
      <c r="C176" s="53">
        <v>4120</v>
      </c>
      <c r="D176" s="72" t="s">
        <v>92</v>
      </c>
      <c r="E176" s="56">
        <v>52911</v>
      </c>
      <c r="F176" s="47">
        <v>1000</v>
      </c>
      <c r="G176" s="47"/>
      <c r="H176" s="57">
        <f t="shared" si="31"/>
        <v>53911</v>
      </c>
      <c r="I176" s="4"/>
      <c r="J176" s="17"/>
      <c r="K176" s="17"/>
    </row>
    <row r="177" spans="1:11" s="19" customFormat="1" ht="11.45" customHeight="1" x14ac:dyDescent="0.2">
      <c r="A177" s="50"/>
      <c r="B177" s="54"/>
      <c r="C177" s="70" t="s">
        <v>52</v>
      </c>
      <c r="D177" s="71" t="s">
        <v>53</v>
      </c>
      <c r="E177" s="56">
        <v>57941</v>
      </c>
      <c r="F177" s="47">
        <v>2000</v>
      </c>
      <c r="G177" s="47">
        <v>1500</v>
      </c>
      <c r="H177" s="57">
        <f t="shared" si="31"/>
        <v>58441</v>
      </c>
      <c r="I177" s="4"/>
      <c r="J177" s="17"/>
      <c r="K177" s="17"/>
    </row>
    <row r="178" spans="1:11" s="19" customFormat="1" ht="11.45" customHeight="1" x14ac:dyDescent="0.2">
      <c r="A178" s="50"/>
      <c r="B178" s="54"/>
      <c r="C178" s="53">
        <v>4260</v>
      </c>
      <c r="D178" s="72" t="s">
        <v>54</v>
      </c>
      <c r="E178" s="56">
        <v>84969</v>
      </c>
      <c r="F178" s="47">
        <v>1500</v>
      </c>
      <c r="G178" s="47"/>
      <c r="H178" s="57">
        <f t="shared" si="31"/>
        <v>86469</v>
      </c>
      <c r="I178" s="4"/>
      <c r="J178" s="17"/>
      <c r="K178" s="17"/>
    </row>
    <row r="179" spans="1:11" s="19" customFormat="1" ht="11.45" customHeight="1" x14ac:dyDescent="0.2">
      <c r="A179" s="50"/>
      <c r="B179" s="54"/>
      <c r="C179" s="53">
        <v>4270</v>
      </c>
      <c r="D179" s="72" t="s">
        <v>106</v>
      </c>
      <c r="E179" s="56">
        <v>29631</v>
      </c>
      <c r="F179" s="47">
        <v>1500</v>
      </c>
      <c r="G179" s="47"/>
      <c r="H179" s="57">
        <f t="shared" si="31"/>
        <v>31131</v>
      </c>
      <c r="I179" s="4"/>
      <c r="J179" s="17"/>
      <c r="K179" s="17"/>
    </row>
    <row r="180" spans="1:11" s="19" customFormat="1" ht="11.45" customHeight="1" x14ac:dyDescent="0.2">
      <c r="A180" s="50"/>
      <c r="B180" s="54"/>
      <c r="C180" s="54">
        <v>4300</v>
      </c>
      <c r="D180" s="72" t="s">
        <v>55</v>
      </c>
      <c r="E180" s="56">
        <v>25260</v>
      </c>
      <c r="F180" s="47">
        <v>1000</v>
      </c>
      <c r="G180" s="47"/>
      <c r="H180" s="57">
        <f t="shared" si="31"/>
        <v>26260</v>
      </c>
      <c r="I180" s="4"/>
      <c r="J180" s="17"/>
      <c r="K180" s="17"/>
    </row>
    <row r="181" spans="1:11" s="19" customFormat="1" ht="12" customHeight="1" x14ac:dyDescent="0.2">
      <c r="A181" s="50"/>
      <c r="B181" s="54">
        <v>80149</v>
      </c>
      <c r="C181" s="70"/>
      <c r="D181" s="71" t="s">
        <v>111</v>
      </c>
      <c r="E181" s="57"/>
      <c r="F181" s="57"/>
      <c r="G181" s="57"/>
      <c r="H181" s="57"/>
      <c r="I181" s="4"/>
      <c r="J181" s="17"/>
      <c r="K181" s="17"/>
    </row>
    <row r="182" spans="1:11" s="19" customFormat="1" ht="12" customHeight="1" x14ac:dyDescent="0.2">
      <c r="A182" s="50"/>
      <c r="B182" s="54"/>
      <c r="C182" s="70"/>
      <c r="D182" s="71" t="s">
        <v>112</v>
      </c>
      <c r="E182" s="57"/>
      <c r="F182" s="57"/>
      <c r="G182" s="57"/>
      <c r="H182" s="57"/>
      <c r="I182" s="4"/>
      <c r="J182" s="17"/>
      <c r="K182" s="17"/>
    </row>
    <row r="183" spans="1:11" s="19" customFormat="1" ht="12" customHeight="1" x14ac:dyDescent="0.2">
      <c r="A183" s="50"/>
      <c r="B183" s="54"/>
      <c r="C183" s="70"/>
      <c r="D183" s="71" t="s">
        <v>113</v>
      </c>
      <c r="E183" s="57"/>
      <c r="F183" s="57"/>
      <c r="G183" s="57"/>
      <c r="H183" s="57"/>
      <c r="I183" s="4"/>
      <c r="J183" s="17"/>
      <c r="K183" s="17"/>
    </row>
    <row r="184" spans="1:11" s="19" customFormat="1" ht="12" customHeight="1" x14ac:dyDescent="0.2">
      <c r="A184" s="50"/>
      <c r="B184" s="54"/>
      <c r="C184" s="32"/>
      <c r="D184" s="41" t="s">
        <v>114</v>
      </c>
      <c r="E184" s="42">
        <v>4685648</v>
      </c>
      <c r="F184" s="43">
        <f>SUM(F185)</f>
        <v>33500</v>
      </c>
      <c r="G184" s="43">
        <f>SUM(G185)</f>
        <v>0</v>
      </c>
      <c r="H184" s="42">
        <f>SUM(E184+F184-G184)</f>
        <v>4719148</v>
      </c>
      <c r="I184" s="4"/>
      <c r="J184" s="17"/>
      <c r="K184" s="17"/>
    </row>
    <row r="185" spans="1:11" s="19" customFormat="1" ht="12" customHeight="1" x14ac:dyDescent="0.2">
      <c r="A185" s="50"/>
      <c r="B185" s="50"/>
      <c r="C185" s="32"/>
      <c r="D185" s="425" t="s">
        <v>85</v>
      </c>
      <c r="E185" s="100">
        <v>1978568</v>
      </c>
      <c r="F185" s="100">
        <f>SUM(F186:F188)</f>
        <v>33500</v>
      </c>
      <c r="G185" s="100">
        <f>SUM(G186:G188)</f>
        <v>0</v>
      </c>
      <c r="H185" s="100">
        <f t="shared" ref="H185:H188" si="32">SUM(E185+F185-G185)</f>
        <v>2012068</v>
      </c>
      <c r="I185" s="4"/>
      <c r="J185" s="17"/>
      <c r="K185" s="17"/>
    </row>
    <row r="186" spans="1:11" s="19" customFormat="1" ht="11.45" customHeight="1" x14ac:dyDescent="0.2">
      <c r="A186" s="50"/>
      <c r="B186" s="50"/>
      <c r="C186" s="53">
        <v>4110</v>
      </c>
      <c r="D186" s="72" t="s">
        <v>91</v>
      </c>
      <c r="E186" s="56">
        <v>263352</v>
      </c>
      <c r="F186" s="57">
        <v>7000</v>
      </c>
      <c r="G186" s="57"/>
      <c r="H186" s="57">
        <f t="shared" si="32"/>
        <v>270352</v>
      </c>
      <c r="I186" s="4"/>
      <c r="J186" s="17"/>
      <c r="K186" s="17"/>
    </row>
    <row r="187" spans="1:11" s="19" customFormat="1" ht="11.45" customHeight="1" x14ac:dyDescent="0.2">
      <c r="A187" s="50"/>
      <c r="B187" s="54"/>
      <c r="C187" s="53">
        <v>4120</v>
      </c>
      <c r="D187" s="72" t="s">
        <v>92</v>
      </c>
      <c r="E187" s="56">
        <v>37352</v>
      </c>
      <c r="F187" s="57">
        <v>1500</v>
      </c>
      <c r="G187" s="57"/>
      <c r="H187" s="57">
        <f t="shared" si="32"/>
        <v>38852</v>
      </c>
      <c r="I187" s="4"/>
      <c r="J187" s="17"/>
      <c r="K187" s="17"/>
    </row>
    <row r="188" spans="1:11" s="19" customFormat="1" ht="11.45" customHeight="1" x14ac:dyDescent="0.2">
      <c r="A188" s="50"/>
      <c r="B188" s="54"/>
      <c r="C188" s="75">
        <v>4790</v>
      </c>
      <c r="D188" s="86" t="s">
        <v>94</v>
      </c>
      <c r="E188" s="56">
        <v>1399521</v>
      </c>
      <c r="F188" s="48">
        <v>25000</v>
      </c>
      <c r="G188" s="48"/>
      <c r="H188" s="47">
        <f t="shared" si="32"/>
        <v>1424521</v>
      </c>
      <c r="I188" s="4"/>
      <c r="J188" s="17"/>
      <c r="K188" s="17"/>
    </row>
    <row r="189" spans="1:11" s="19" customFormat="1" ht="12" customHeight="1" x14ac:dyDescent="0.2">
      <c r="A189" s="50"/>
      <c r="B189" s="54">
        <v>80150</v>
      </c>
      <c r="C189" s="70"/>
      <c r="D189" s="71" t="s">
        <v>111</v>
      </c>
      <c r="E189" s="57"/>
      <c r="F189" s="57"/>
      <c r="G189" s="57"/>
      <c r="H189" s="57"/>
      <c r="I189" s="4"/>
      <c r="J189" s="17"/>
      <c r="K189" s="17"/>
    </row>
    <row r="190" spans="1:11" s="19" customFormat="1" ht="12" customHeight="1" x14ac:dyDescent="0.2">
      <c r="A190" s="50"/>
      <c r="B190" s="54"/>
      <c r="C190" s="70"/>
      <c r="D190" s="71" t="s">
        <v>115</v>
      </c>
      <c r="E190" s="57"/>
      <c r="F190" s="57"/>
      <c r="G190" s="57"/>
      <c r="H190" s="57"/>
      <c r="I190" s="4"/>
      <c r="J190" s="17"/>
      <c r="K190" s="17"/>
    </row>
    <row r="191" spans="1:11" s="19" customFormat="1" ht="12" customHeight="1" x14ac:dyDescent="0.2">
      <c r="A191" s="50"/>
      <c r="B191" s="54"/>
      <c r="C191" s="32"/>
      <c r="D191" s="41" t="s">
        <v>116</v>
      </c>
      <c r="E191" s="42">
        <v>9328711</v>
      </c>
      <c r="F191" s="43">
        <f>SUM(F192,F194)</f>
        <v>166609</v>
      </c>
      <c r="G191" s="43">
        <f>SUM(G192,G194)</f>
        <v>0</v>
      </c>
      <c r="H191" s="42">
        <f>SUM(E191+F191-G191)</f>
        <v>9495320</v>
      </c>
      <c r="I191" s="4"/>
      <c r="J191" s="17"/>
      <c r="K191" s="17"/>
    </row>
    <row r="192" spans="1:11" s="19" customFormat="1" ht="12" customHeight="1" x14ac:dyDescent="0.2">
      <c r="A192" s="50"/>
      <c r="B192" s="54"/>
      <c r="C192" s="32"/>
      <c r="D192" s="428" t="s">
        <v>100</v>
      </c>
      <c r="E192" s="100">
        <v>165299</v>
      </c>
      <c r="F192" s="100">
        <f>SUM(F193:F193)</f>
        <v>20000</v>
      </c>
      <c r="G192" s="100">
        <f>SUM(G193:G193)</f>
        <v>0</v>
      </c>
      <c r="H192" s="100">
        <f t="shared" ref="H192:H197" si="33">SUM(E192+F192-G192)</f>
        <v>185299</v>
      </c>
      <c r="I192" s="4"/>
      <c r="J192" s="17"/>
      <c r="K192" s="17"/>
    </row>
    <row r="193" spans="1:11" s="19" customFormat="1" ht="39.75" customHeight="1" x14ac:dyDescent="0.2">
      <c r="A193" s="50"/>
      <c r="B193" s="54"/>
      <c r="C193" s="73">
        <v>2590</v>
      </c>
      <c r="D193" s="92" t="s">
        <v>117</v>
      </c>
      <c r="E193" s="57">
        <v>64345</v>
      </c>
      <c r="F193" s="57">
        <v>20000</v>
      </c>
      <c r="G193" s="57"/>
      <c r="H193" s="57">
        <f t="shared" si="33"/>
        <v>84345</v>
      </c>
      <c r="I193" s="4"/>
      <c r="J193" s="17"/>
      <c r="K193" s="17"/>
    </row>
    <row r="194" spans="1:11" s="19" customFormat="1" ht="12" customHeight="1" x14ac:dyDescent="0.2">
      <c r="A194" s="50"/>
      <c r="B194" s="50"/>
      <c r="C194" s="32"/>
      <c r="D194" s="425" t="s">
        <v>85</v>
      </c>
      <c r="E194" s="100">
        <v>9163412</v>
      </c>
      <c r="F194" s="100">
        <f>SUM(F195:F197)</f>
        <v>146609</v>
      </c>
      <c r="G194" s="100">
        <f>SUM(G195:G197)</f>
        <v>0</v>
      </c>
      <c r="H194" s="100">
        <f t="shared" si="33"/>
        <v>9310021</v>
      </c>
      <c r="I194" s="4"/>
      <c r="J194" s="17"/>
      <c r="K194" s="17"/>
    </row>
    <row r="195" spans="1:11" s="19" customFormat="1" ht="11.45" customHeight="1" x14ac:dyDescent="0.2">
      <c r="A195" s="50"/>
      <c r="B195" s="50"/>
      <c r="C195" s="53">
        <v>4110</v>
      </c>
      <c r="D195" s="72" t="s">
        <v>91</v>
      </c>
      <c r="E195" s="56">
        <v>1258753</v>
      </c>
      <c r="F195" s="56">
        <v>22932</v>
      </c>
      <c r="G195" s="57"/>
      <c r="H195" s="57">
        <f t="shared" si="33"/>
        <v>1281685</v>
      </c>
      <c r="I195" s="4"/>
      <c r="J195" s="17"/>
      <c r="K195" s="17"/>
    </row>
    <row r="196" spans="1:11" s="19" customFormat="1" ht="11.45" customHeight="1" x14ac:dyDescent="0.2">
      <c r="A196" s="50"/>
      <c r="B196" s="54"/>
      <c r="C196" s="53">
        <v>4120</v>
      </c>
      <c r="D196" s="72" t="s">
        <v>92</v>
      </c>
      <c r="E196" s="47">
        <v>171969</v>
      </c>
      <c r="F196" s="57">
        <v>2957</v>
      </c>
      <c r="G196" s="57"/>
      <c r="H196" s="57">
        <f t="shared" si="33"/>
        <v>174926</v>
      </c>
      <c r="I196" s="4"/>
      <c r="J196" s="17"/>
      <c r="K196" s="17"/>
    </row>
    <row r="197" spans="1:11" s="19" customFormat="1" ht="11.45" customHeight="1" x14ac:dyDescent="0.2">
      <c r="A197" s="50"/>
      <c r="B197" s="54"/>
      <c r="C197" s="75">
        <v>4790</v>
      </c>
      <c r="D197" s="86" t="s">
        <v>94</v>
      </c>
      <c r="E197" s="47">
        <v>6678428</v>
      </c>
      <c r="F197" s="57">
        <v>120720</v>
      </c>
      <c r="G197" s="57"/>
      <c r="H197" s="57">
        <f t="shared" si="33"/>
        <v>6799148</v>
      </c>
      <c r="I197" s="4"/>
      <c r="J197" s="17"/>
      <c r="K197" s="17"/>
    </row>
    <row r="198" spans="1:11" s="19" customFormat="1" ht="11.45" customHeight="1" x14ac:dyDescent="0.2">
      <c r="A198" s="50"/>
      <c r="B198" s="54">
        <v>80152</v>
      </c>
      <c r="C198" s="70"/>
      <c r="D198" s="71" t="s">
        <v>111</v>
      </c>
      <c r="E198" s="57"/>
      <c r="F198" s="57"/>
      <c r="G198" s="57"/>
      <c r="H198" s="57"/>
      <c r="I198" s="4"/>
      <c r="J198" s="17"/>
      <c r="K198" s="17"/>
    </row>
    <row r="199" spans="1:11" s="19" customFormat="1" ht="11.45" customHeight="1" x14ac:dyDescent="0.2">
      <c r="A199" s="50"/>
      <c r="B199" s="54"/>
      <c r="C199" s="70"/>
      <c r="D199" s="71" t="s">
        <v>115</v>
      </c>
      <c r="E199" s="57"/>
      <c r="F199" s="57"/>
      <c r="G199" s="57"/>
      <c r="H199" s="57"/>
      <c r="I199" s="4"/>
      <c r="J199" s="17"/>
      <c r="K199" s="17"/>
    </row>
    <row r="200" spans="1:11" s="19" customFormat="1" ht="11.45" customHeight="1" x14ac:dyDescent="0.2">
      <c r="A200" s="50"/>
      <c r="B200" s="54"/>
      <c r="C200" s="70"/>
      <c r="D200" s="71" t="s">
        <v>118</v>
      </c>
      <c r="E200" s="57"/>
      <c r="F200" s="57"/>
      <c r="G200" s="57"/>
      <c r="H200" s="57"/>
      <c r="I200" s="4"/>
      <c r="J200" s="17"/>
      <c r="K200" s="17"/>
    </row>
    <row r="201" spans="1:11" s="19" customFormat="1" ht="11.45" customHeight="1" x14ac:dyDescent="0.2">
      <c r="A201" s="50"/>
      <c r="B201" s="54"/>
      <c r="C201" s="70"/>
      <c r="D201" s="77" t="s">
        <v>119</v>
      </c>
      <c r="E201" s="57"/>
      <c r="F201" s="57"/>
      <c r="G201" s="57"/>
      <c r="H201" s="57"/>
      <c r="I201" s="4"/>
      <c r="J201" s="17"/>
      <c r="K201" s="17"/>
    </row>
    <row r="202" spans="1:11" s="19" customFormat="1" ht="11.45" customHeight="1" x14ac:dyDescent="0.2">
      <c r="A202" s="50"/>
      <c r="B202" s="54"/>
      <c r="C202" s="70"/>
      <c r="D202" s="77" t="s">
        <v>120</v>
      </c>
      <c r="E202" s="57"/>
      <c r="F202" s="57"/>
      <c r="G202" s="57"/>
      <c r="H202" s="57"/>
      <c r="I202" s="4"/>
      <c r="J202" s="17"/>
      <c r="K202" s="17"/>
    </row>
    <row r="203" spans="1:11" s="19" customFormat="1" ht="11.45" customHeight="1" x14ac:dyDescent="0.2">
      <c r="A203" s="50"/>
      <c r="B203" s="54"/>
      <c r="C203" s="70"/>
      <c r="D203" s="71" t="s">
        <v>121</v>
      </c>
      <c r="E203" s="57"/>
      <c r="F203" s="57"/>
      <c r="G203" s="57"/>
      <c r="H203" s="57"/>
      <c r="I203" s="4"/>
      <c r="J203" s="17"/>
      <c r="K203" s="17"/>
    </row>
    <row r="204" spans="1:11" s="19" customFormat="1" ht="11.45" customHeight="1" x14ac:dyDescent="0.2">
      <c r="A204" s="50"/>
      <c r="B204" s="54"/>
      <c r="C204" s="70"/>
      <c r="D204" s="77" t="s">
        <v>122</v>
      </c>
      <c r="E204" s="57"/>
      <c r="F204" s="57"/>
      <c r="G204" s="57"/>
      <c r="H204" s="57"/>
      <c r="I204" s="4"/>
      <c r="J204" s="17"/>
      <c r="K204" s="17"/>
    </row>
    <row r="205" spans="1:11" s="19" customFormat="1" ht="12" customHeight="1" x14ac:dyDescent="0.2">
      <c r="A205" s="50"/>
      <c r="B205" s="54"/>
      <c r="C205" s="32"/>
      <c r="D205" s="79" t="s">
        <v>123</v>
      </c>
      <c r="E205" s="42">
        <v>3300106</v>
      </c>
      <c r="F205" s="43">
        <f>SUM(F206,F208)</f>
        <v>71168</v>
      </c>
      <c r="G205" s="43">
        <f>SUM(G206,G208)</f>
        <v>0</v>
      </c>
      <c r="H205" s="42">
        <f>SUM(E205+F205-G205)</f>
        <v>3371274</v>
      </c>
      <c r="I205" s="4"/>
      <c r="J205" s="17"/>
      <c r="K205" s="17"/>
    </row>
    <row r="206" spans="1:11" s="19" customFormat="1" ht="12" customHeight="1" x14ac:dyDescent="0.2">
      <c r="A206" s="50"/>
      <c r="B206" s="50"/>
      <c r="C206" s="32"/>
      <c r="D206" s="428" t="s">
        <v>100</v>
      </c>
      <c r="E206" s="100">
        <v>413835</v>
      </c>
      <c r="F206" s="100">
        <f>SUM(F207:F207)</f>
        <v>30000</v>
      </c>
      <c r="G206" s="100">
        <f>SUM(G207:G207)</f>
        <v>0</v>
      </c>
      <c r="H206" s="100">
        <f t="shared" ref="H206:H211" si="34">SUM(E206+F206-G206)</f>
        <v>443835</v>
      </c>
      <c r="I206" s="4"/>
      <c r="J206" s="17"/>
      <c r="K206" s="17"/>
    </row>
    <row r="207" spans="1:11" s="19" customFormat="1" ht="39" customHeight="1" x14ac:dyDescent="0.2">
      <c r="A207" s="87"/>
      <c r="B207" s="87"/>
      <c r="C207" s="93">
        <v>2590</v>
      </c>
      <c r="D207" s="94" t="s">
        <v>117</v>
      </c>
      <c r="E207" s="68">
        <v>209581</v>
      </c>
      <c r="F207" s="68">
        <v>30000</v>
      </c>
      <c r="G207" s="68"/>
      <c r="H207" s="90">
        <f t="shared" si="34"/>
        <v>239581</v>
      </c>
      <c r="I207" s="4"/>
      <c r="J207" s="17"/>
      <c r="K207" s="17"/>
    </row>
    <row r="208" spans="1:11" s="19" customFormat="1" ht="12" customHeight="1" x14ac:dyDescent="0.2">
      <c r="A208" s="50"/>
      <c r="B208" s="50"/>
      <c r="C208" s="32"/>
      <c r="D208" s="425" t="s">
        <v>85</v>
      </c>
      <c r="E208" s="100">
        <v>2886271</v>
      </c>
      <c r="F208" s="100">
        <f>SUM(F209:F211)</f>
        <v>41168</v>
      </c>
      <c r="G208" s="100">
        <f>SUM(G209:G211)</f>
        <v>0</v>
      </c>
      <c r="H208" s="100">
        <f t="shared" si="34"/>
        <v>2927439</v>
      </c>
      <c r="I208" s="4"/>
      <c r="J208" s="17"/>
      <c r="K208" s="17"/>
    </row>
    <row r="209" spans="1:11" s="19" customFormat="1" ht="12" customHeight="1" x14ac:dyDescent="0.2">
      <c r="A209" s="50"/>
      <c r="B209" s="50"/>
      <c r="C209" s="53">
        <v>4110</v>
      </c>
      <c r="D209" s="72" t="s">
        <v>91</v>
      </c>
      <c r="E209" s="56">
        <v>371193</v>
      </c>
      <c r="F209" s="56">
        <f>588+5301</f>
        <v>5889</v>
      </c>
      <c r="G209" s="57"/>
      <c r="H209" s="57">
        <f t="shared" si="34"/>
        <v>377082</v>
      </c>
      <c r="I209" s="4"/>
      <c r="J209" s="17"/>
      <c r="K209" s="17"/>
    </row>
    <row r="210" spans="1:11" s="19" customFormat="1" ht="12" customHeight="1" x14ac:dyDescent="0.2">
      <c r="A210" s="50"/>
      <c r="B210" s="50"/>
      <c r="C210" s="53">
        <v>4120</v>
      </c>
      <c r="D210" s="72" t="s">
        <v>92</v>
      </c>
      <c r="E210" s="56">
        <v>52914</v>
      </c>
      <c r="F210" s="56">
        <f>85+760</f>
        <v>845</v>
      </c>
      <c r="G210" s="57"/>
      <c r="H210" s="57">
        <f t="shared" si="34"/>
        <v>53759</v>
      </c>
      <c r="I210" s="4"/>
      <c r="J210" s="17"/>
      <c r="K210" s="17"/>
    </row>
    <row r="211" spans="1:11" s="19" customFormat="1" ht="12" customHeight="1" x14ac:dyDescent="0.2">
      <c r="A211" s="50"/>
      <c r="B211" s="50"/>
      <c r="C211" s="75">
        <v>4790</v>
      </c>
      <c r="D211" s="86" t="s">
        <v>94</v>
      </c>
      <c r="E211" s="56">
        <v>2111167</v>
      </c>
      <c r="F211" s="56">
        <f>3434+31000</f>
        <v>34434</v>
      </c>
      <c r="G211" s="57"/>
      <c r="H211" s="57">
        <f t="shared" si="34"/>
        <v>2145601</v>
      </c>
      <c r="I211" s="4"/>
      <c r="J211" s="17"/>
      <c r="K211" s="17"/>
    </row>
    <row r="212" spans="1:11" s="19" customFormat="1" ht="12" customHeight="1" x14ac:dyDescent="0.2">
      <c r="A212" s="50"/>
      <c r="B212" s="54">
        <v>80195</v>
      </c>
      <c r="C212" s="32"/>
      <c r="D212" s="41" t="s">
        <v>40</v>
      </c>
      <c r="E212" s="42">
        <v>27173116.769999992</v>
      </c>
      <c r="F212" s="43">
        <f>SUM(F213,F218,F226,F228)</f>
        <v>303625.71000000002</v>
      </c>
      <c r="G212" s="43">
        <f>SUM(G213,G218,G226,G228)</f>
        <v>51846.710000000006</v>
      </c>
      <c r="H212" s="42">
        <f>SUM(E212+F212-G212)</f>
        <v>27424895.769999992</v>
      </c>
      <c r="I212" s="4"/>
      <c r="J212" s="17"/>
      <c r="K212" s="17"/>
    </row>
    <row r="213" spans="1:11" s="19" customFormat="1" ht="12" customHeight="1" x14ac:dyDescent="0.2">
      <c r="A213" s="50"/>
      <c r="B213" s="54"/>
      <c r="C213" s="32"/>
      <c r="D213" s="426" t="s">
        <v>100</v>
      </c>
      <c r="E213" s="421">
        <v>1373482</v>
      </c>
      <c r="F213" s="422">
        <f>SUM(F214:F216)</f>
        <v>7920</v>
      </c>
      <c r="G213" s="422">
        <f>SUM(G214:G216)</f>
        <v>7920</v>
      </c>
      <c r="H213" s="422">
        <f t="shared" ref="H213:H216" si="35">SUM(E213+F213-G213)</f>
        <v>1373482</v>
      </c>
      <c r="I213" s="4"/>
      <c r="J213" s="17"/>
      <c r="K213" s="17"/>
    </row>
    <row r="214" spans="1:11" s="19" customFormat="1" ht="21.75" customHeight="1" x14ac:dyDescent="0.2">
      <c r="A214" s="50"/>
      <c r="B214" s="54"/>
      <c r="C214" s="73">
        <v>3040</v>
      </c>
      <c r="D214" s="74" t="s">
        <v>124</v>
      </c>
      <c r="E214" s="48">
        <v>40000</v>
      </c>
      <c r="F214" s="47"/>
      <c r="G214" s="47">
        <v>7920</v>
      </c>
      <c r="H214" s="57">
        <f t="shared" si="35"/>
        <v>32080</v>
      </c>
      <c r="I214" s="4"/>
      <c r="J214" s="17"/>
      <c r="K214" s="17"/>
    </row>
    <row r="215" spans="1:11" s="19" customFormat="1" ht="12" customHeight="1" x14ac:dyDescent="0.2">
      <c r="A215" s="50"/>
      <c r="B215" s="54"/>
      <c r="C215" s="53">
        <v>4580</v>
      </c>
      <c r="D215" s="72" t="s">
        <v>125</v>
      </c>
      <c r="E215" s="48">
        <v>0</v>
      </c>
      <c r="F215" s="47">
        <v>1400</v>
      </c>
      <c r="G215" s="47"/>
      <c r="H215" s="57">
        <f t="shared" si="35"/>
        <v>1400</v>
      </c>
      <c r="I215" s="4"/>
      <c r="J215" s="17"/>
      <c r="K215" s="17"/>
    </row>
    <row r="216" spans="1:11" s="19" customFormat="1" ht="23.25" customHeight="1" x14ac:dyDescent="0.2">
      <c r="A216" s="50"/>
      <c r="B216" s="54"/>
      <c r="C216" s="73">
        <v>4600</v>
      </c>
      <c r="D216" s="74" t="s">
        <v>58</v>
      </c>
      <c r="E216" s="48">
        <v>51000</v>
      </c>
      <c r="F216" s="47">
        <v>6520</v>
      </c>
      <c r="G216" s="47"/>
      <c r="H216" s="57">
        <f t="shared" si="35"/>
        <v>57520</v>
      </c>
      <c r="I216" s="4"/>
      <c r="J216" s="17"/>
      <c r="K216" s="17"/>
    </row>
    <row r="217" spans="1:11" s="19" customFormat="1" ht="12" customHeight="1" x14ac:dyDescent="0.2">
      <c r="A217" s="50"/>
      <c r="B217" s="54"/>
      <c r="C217" s="32"/>
      <c r="D217" s="429" t="s">
        <v>126</v>
      </c>
      <c r="E217" s="56"/>
      <c r="F217" s="57"/>
      <c r="G217" s="57"/>
      <c r="H217" s="56"/>
      <c r="I217" s="4"/>
      <c r="J217" s="17"/>
      <c r="K217" s="17"/>
    </row>
    <row r="218" spans="1:11" s="19" customFormat="1" ht="12" customHeight="1" x14ac:dyDescent="0.2">
      <c r="A218" s="50"/>
      <c r="B218" s="54"/>
      <c r="C218" s="70"/>
      <c r="D218" s="423" t="s">
        <v>127</v>
      </c>
      <c r="E218" s="421">
        <v>248915</v>
      </c>
      <c r="F218" s="422">
        <f>SUM(F219:F225)</f>
        <v>9048.9399999999987</v>
      </c>
      <c r="G218" s="422">
        <f>SUM(G219:G225)</f>
        <v>9048.94</v>
      </c>
      <c r="H218" s="100">
        <f t="shared" ref="H218:H263" si="36">SUM(E218+F218-G218)</f>
        <v>248915</v>
      </c>
      <c r="I218" s="4"/>
      <c r="J218" s="17"/>
      <c r="K218" s="17"/>
    </row>
    <row r="219" spans="1:11" s="19" customFormat="1" ht="12" customHeight="1" x14ac:dyDescent="0.2">
      <c r="A219" s="50"/>
      <c r="B219" s="54"/>
      <c r="C219" s="75">
        <v>4117</v>
      </c>
      <c r="D219" s="77" t="s">
        <v>76</v>
      </c>
      <c r="E219" s="48">
        <v>15008.589999999998</v>
      </c>
      <c r="F219" s="47"/>
      <c r="G219" s="47">
        <v>676.99</v>
      </c>
      <c r="H219" s="57">
        <f t="shared" si="36"/>
        <v>14331.599999999999</v>
      </c>
      <c r="I219" s="4"/>
      <c r="J219" s="17"/>
      <c r="K219" s="17"/>
    </row>
    <row r="220" spans="1:11" s="19" customFormat="1" ht="12" customHeight="1" x14ac:dyDescent="0.2">
      <c r="A220" s="50"/>
      <c r="B220" s="54"/>
      <c r="C220" s="75">
        <v>4127</v>
      </c>
      <c r="D220" s="77" t="s">
        <v>77</v>
      </c>
      <c r="E220" s="48">
        <v>2058.33</v>
      </c>
      <c r="F220" s="47"/>
      <c r="G220" s="47">
        <v>89.89</v>
      </c>
      <c r="H220" s="57">
        <f t="shared" si="36"/>
        <v>1968.4399999999998</v>
      </c>
      <c r="I220" s="4"/>
      <c r="J220" s="17"/>
      <c r="K220" s="17"/>
    </row>
    <row r="221" spans="1:11" s="19" customFormat="1" ht="12" customHeight="1" x14ac:dyDescent="0.2">
      <c r="A221" s="50"/>
      <c r="B221" s="54"/>
      <c r="C221" s="53">
        <v>4177</v>
      </c>
      <c r="D221" s="72" t="s">
        <v>73</v>
      </c>
      <c r="E221" s="48">
        <v>76237.26999999999</v>
      </c>
      <c r="F221" s="47">
        <v>806.48</v>
      </c>
      <c r="G221" s="47"/>
      <c r="H221" s="57">
        <f t="shared" si="36"/>
        <v>77043.749999999985</v>
      </c>
      <c r="I221" s="4"/>
      <c r="J221" s="17"/>
      <c r="K221" s="17"/>
    </row>
    <row r="222" spans="1:11" s="19" customFormat="1" ht="12" customHeight="1" x14ac:dyDescent="0.2">
      <c r="A222" s="50"/>
      <c r="B222" s="54"/>
      <c r="C222" s="75">
        <v>4217</v>
      </c>
      <c r="D222" s="77" t="s">
        <v>128</v>
      </c>
      <c r="E222" s="48">
        <v>49898.87</v>
      </c>
      <c r="F222" s="47">
        <v>8242.4599999999991</v>
      </c>
      <c r="G222" s="47"/>
      <c r="H222" s="57">
        <f t="shared" si="36"/>
        <v>58141.33</v>
      </c>
      <c r="I222" s="4"/>
      <c r="J222" s="17"/>
      <c r="K222" s="17"/>
    </row>
    <row r="223" spans="1:11" s="19" customFormat="1" ht="12" customHeight="1" x14ac:dyDescent="0.2">
      <c r="A223" s="50"/>
      <c r="B223" s="54"/>
      <c r="C223" s="53">
        <v>4247</v>
      </c>
      <c r="D223" s="72" t="s">
        <v>104</v>
      </c>
      <c r="E223" s="48">
        <v>57712.53</v>
      </c>
      <c r="F223" s="47"/>
      <c r="G223" s="47">
        <v>7179.39</v>
      </c>
      <c r="H223" s="57">
        <f t="shared" si="36"/>
        <v>50533.14</v>
      </c>
      <c r="I223" s="4"/>
      <c r="J223" s="17"/>
      <c r="K223" s="17"/>
    </row>
    <row r="224" spans="1:11" s="19" customFormat="1" ht="12" customHeight="1" x14ac:dyDescent="0.2">
      <c r="A224" s="50"/>
      <c r="B224" s="54"/>
      <c r="C224" s="75">
        <v>4307</v>
      </c>
      <c r="D224" s="77" t="s">
        <v>55</v>
      </c>
      <c r="E224" s="48">
        <v>4131.369999999999</v>
      </c>
      <c r="F224" s="47"/>
      <c r="G224" s="47">
        <v>1063.07</v>
      </c>
      <c r="H224" s="57">
        <f t="shared" si="36"/>
        <v>3068.2999999999993</v>
      </c>
      <c r="I224" s="4"/>
      <c r="J224" s="17"/>
      <c r="K224" s="17"/>
    </row>
    <row r="225" spans="1:11" s="19" customFormat="1" ht="12" customHeight="1" x14ac:dyDescent="0.2">
      <c r="A225" s="50"/>
      <c r="B225" s="54"/>
      <c r="C225" s="75">
        <v>4717</v>
      </c>
      <c r="D225" s="86" t="s">
        <v>64</v>
      </c>
      <c r="E225" s="48">
        <v>223.81</v>
      </c>
      <c r="F225" s="47"/>
      <c r="G225" s="47">
        <v>39.6</v>
      </c>
      <c r="H225" s="57">
        <f t="shared" si="36"/>
        <v>184.21</v>
      </c>
      <c r="I225" s="4"/>
      <c r="J225" s="17"/>
      <c r="K225" s="17"/>
    </row>
    <row r="226" spans="1:11" s="19" customFormat="1" ht="25.5" customHeight="1" x14ac:dyDescent="0.2">
      <c r="A226" s="50"/>
      <c r="B226" s="40"/>
      <c r="C226" s="32"/>
      <c r="D226" s="420" t="s">
        <v>129</v>
      </c>
      <c r="E226" s="421">
        <v>4988.16</v>
      </c>
      <c r="F226" s="422">
        <f>SUM(F227:F227)</f>
        <v>0</v>
      </c>
      <c r="G226" s="422">
        <f>SUM(G227:G227)</f>
        <v>4988.16</v>
      </c>
      <c r="H226" s="100">
        <f t="shared" si="36"/>
        <v>0</v>
      </c>
      <c r="I226" s="4"/>
      <c r="J226" s="17"/>
      <c r="K226" s="17"/>
    </row>
    <row r="227" spans="1:11" s="19" customFormat="1" ht="33" customHeight="1" x14ac:dyDescent="0.2">
      <c r="A227" s="50"/>
      <c r="B227" s="40"/>
      <c r="C227" s="73">
        <v>2830</v>
      </c>
      <c r="D227" s="74" t="s">
        <v>130</v>
      </c>
      <c r="E227" s="48">
        <v>4988.16</v>
      </c>
      <c r="F227" s="47"/>
      <c r="G227" s="47">
        <v>4988.16</v>
      </c>
      <c r="H227" s="57">
        <f t="shared" si="36"/>
        <v>0</v>
      </c>
      <c r="I227" s="4"/>
      <c r="J227" s="17"/>
      <c r="K227" s="17"/>
    </row>
    <row r="228" spans="1:11" s="19" customFormat="1" ht="22.5" customHeight="1" x14ac:dyDescent="0.2">
      <c r="A228" s="50"/>
      <c r="B228" s="54"/>
      <c r="C228" s="70"/>
      <c r="D228" s="420" t="s">
        <v>131</v>
      </c>
      <c r="E228" s="421">
        <v>259204.84000000003</v>
      </c>
      <c r="F228" s="422">
        <f>SUM(F229:F234)</f>
        <v>286656.77</v>
      </c>
      <c r="G228" s="422">
        <f>SUM(G229:G234)</f>
        <v>29889.610000000004</v>
      </c>
      <c r="H228" s="100">
        <f t="shared" si="36"/>
        <v>515972.00000000012</v>
      </c>
      <c r="I228" s="4"/>
      <c r="J228" s="17"/>
      <c r="K228" s="17"/>
    </row>
    <row r="229" spans="1:11" s="19" customFormat="1" ht="11.45" customHeight="1" x14ac:dyDescent="0.2">
      <c r="A229" s="50"/>
      <c r="B229" s="54"/>
      <c r="C229" s="53">
        <v>4010</v>
      </c>
      <c r="D229" s="72" t="s">
        <v>75</v>
      </c>
      <c r="E229" s="48">
        <v>0</v>
      </c>
      <c r="F229" s="47">
        <f>30632.85+3900</f>
        <v>34532.85</v>
      </c>
      <c r="G229" s="47"/>
      <c r="H229" s="47">
        <f t="shared" si="36"/>
        <v>34532.85</v>
      </c>
      <c r="I229" s="4"/>
      <c r="J229" s="17"/>
      <c r="K229" s="17"/>
    </row>
    <row r="230" spans="1:11" s="19" customFormat="1" ht="11.45" customHeight="1" x14ac:dyDescent="0.2">
      <c r="A230" s="50"/>
      <c r="B230" s="54"/>
      <c r="C230" s="53">
        <v>4110</v>
      </c>
      <c r="D230" s="72" t="s">
        <v>91</v>
      </c>
      <c r="E230" s="48">
        <v>44511.11</v>
      </c>
      <c r="F230" s="47">
        <f>38341.08+4442.57</f>
        <v>42783.65</v>
      </c>
      <c r="G230" s="47">
        <f>997.86+627.21</f>
        <v>1625.0700000000002</v>
      </c>
      <c r="H230" s="47">
        <f t="shared" si="36"/>
        <v>85669.69</v>
      </c>
      <c r="I230" s="4"/>
      <c r="J230" s="17"/>
      <c r="K230" s="17"/>
    </row>
    <row r="231" spans="1:11" s="19" customFormat="1" ht="11.45" customHeight="1" x14ac:dyDescent="0.2">
      <c r="A231" s="50"/>
      <c r="B231" s="54"/>
      <c r="C231" s="53">
        <v>4120</v>
      </c>
      <c r="D231" s="72" t="s">
        <v>92</v>
      </c>
      <c r="E231" s="48">
        <v>6016.26</v>
      </c>
      <c r="F231" s="47">
        <f>5464.53+633.18</f>
        <v>6097.71</v>
      </c>
      <c r="G231" s="47">
        <f>86.42+75.66</f>
        <v>162.07999999999998</v>
      </c>
      <c r="H231" s="47">
        <f t="shared" si="36"/>
        <v>11951.890000000001</v>
      </c>
      <c r="I231" s="4"/>
      <c r="J231" s="17"/>
      <c r="K231" s="17"/>
    </row>
    <row r="232" spans="1:11" s="19" customFormat="1" ht="11.45" customHeight="1" x14ac:dyDescent="0.2">
      <c r="A232" s="50"/>
      <c r="B232" s="54"/>
      <c r="C232" s="75">
        <v>4300</v>
      </c>
      <c r="D232" s="77" t="s">
        <v>55</v>
      </c>
      <c r="E232" s="48">
        <v>3077.5</v>
      </c>
      <c r="F232" s="47">
        <f>1920+162.5</f>
        <v>2082.5</v>
      </c>
      <c r="G232" s="47">
        <v>200</v>
      </c>
      <c r="H232" s="47">
        <f t="shared" si="36"/>
        <v>4960</v>
      </c>
      <c r="I232" s="4"/>
      <c r="J232" s="17"/>
      <c r="K232" s="17"/>
    </row>
    <row r="233" spans="1:11" s="19" customFormat="1" ht="11.45" customHeight="1" x14ac:dyDescent="0.2">
      <c r="A233" s="50"/>
      <c r="B233" s="54"/>
      <c r="C233" s="53">
        <v>4710</v>
      </c>
      <c r="D233" s="71" t="s">
        <v>64</v>
      </c>
      <c r="E233" s="48">
        <v>502.76</v>
      </c>
      <c r="F233" s="47">
        <f>307.42+37.5</f>
        <v>344.92</v>
      </c>
      <c r="G233" s="47"/>
      <c r="H233" s="47">
        <f t="shared" si="36"/>
        <v>847.68000000000006</v>
      </c>
      <c r="I233" s="4"/>
      <c r="J233" s="17"/>
      <c r="K233" s="17"/>
    </row>
    <row r="234" spans="1:11" s="19" customFormat="1" ht="11.45" customHeight="1" x14ac:dyDescent="0.2">
      <c r="A234" s="50"/>
      <c r="B234" s="54"/>
      <c r="C234" s="75">
        <v>4790</v>
      </c>
      <c r="D234" s="86" t="s">
        <v>94</v>
      </c>
      <c r="E234" s="48">
        <v>205097.21000000002</v>
      </c>
      <c r="F234" s="47">
        <f>179941.39+20873.75</f>
        <v>200815.14</v>
      </c>
      <c r="G234" s="47">
        <f>24667.83+3234.63</f>
        <v>27902.460000000003</v>
      </c>
      <c r="H234" s="47">
        <f t="shared" si="36"/>
        <v>378009.89</v>
      </c>
      <c r="I234" s="4"/>
      <c r="J234" s="17"/>
      <c r="K234" s="17"/>
    </row>
    <row r="235" spans="1:11" s="19" customFormat="1" ht="12" customHeight="1" thickBot="1" x14ac:dyDescent="0.25">
      <c r="A235" s="51" t="s">
        <v>132</v>
      </c>
      <c r="B235" s="49"/>
      <c r="C235" s="51"/>
      <c r="D235" s="52" t="s">
        <v>133</v>
      </c>
      <c r="E235" s="36">
        <v>6075289.4900000002</v>
      </c>
      <c r="F235" s="39">
        <f>SUM(F236)</f>
        <v>4800</v>
      </c>
      <c r="G235" s="39">
        <f>SUM(G236)</f>
        <v>4800</v>
      </c>
      <c r="H235" s="36">
        <f t="shared" si="36"/>
        <v>6075289.4900000002</v>
      </c>
      <c r="I235" s="4"/>
      <c r="J235" s="17"/>
      <c r="K235" s="17"/>
    </row>
    <row r="236" spans="1:11" s="19" customFormat="1" ht="12" customHeight="1" thickTop="1" x14ac:dyDescent="0.2">
      <c r="A236" s="95"/>
      <c r="B236" s="75">
        <v>85154</v>
      </c>
      <c r="C236" s="78"/>
      <c r="D236" s="79" t="s">
        <v>134</v>
      </c>
      <c r="E236" s="68">
        <v>3465696.4899999998</v>
      </c>
      <c r="F236" s="43">
        <f>SUM(F237)</f>
        <v>4800</v>
      </c>
      <c r="G236" s="43">
        <f>SUM(G237)</f>
        <v>4800</v>
      </c>
      <c r="H236" s="42">
        <f t="shared" si="36"/>
        <v>3465696.4899999998</v>
      </c>
      <c r="I236" s="4"/>
      <c r="J236" s="17"/>
      <c r="K236" s="17"/>
    </row>
    <row r="237" spans="1:11" s="19" customFormat="1" ht="12" customHeight="1" x14ac:dyDescent="0.2">
      <c r="A237" s="49"/>
      <c r="B237" s="49"/>
      <c r="C237" s="53"/>
      <c r="D237" s="430" t="s">
        <v>135</v>
      </c>
      <c r="E237" s="100">
        <v>20000</v>
      </c>
      <c r="F237" s="100">
        <f>SUM(F238:F239)</f>
        <v>4800</v>
      </c>
      <c r="G237" s="100">
        <f>SUM(G238:G239)</f>
        <v>4800</v>
      </c>
      <c r="H237" s="421">
        <f>SUM(E237+F237-G237)</f>
        <v>20000</v>
      </c>
      <c r="I237" s="4"/>
      <c r="J237" s="17"/>
      <c r="K237" s="17"/>
    </row>
    <row r="238" spans="1:11" s="19" customFormat="1" ht="12" customHeight="1" x14ac:dyDescent="0.2">
      <c r="A238" s="49"/>
      <c r="B238" s="49"/>
      <c r="C238" s="53">
        <v>4170</v>
      </c>
      <c r="D238" s="72" t="s">
        <v>73</v>
      </c>
      <c r="E238" s="48">
        <v>14600</v>
      </c>
      <c r="F238" s="48"/>
      <c r="G238" s="48">
        <v>4800</v>
      </c>
      <c r="H238" s="48">
        <f t="shared" ref="H238:H239" si="37">SUM(E238+F238-G238)</f>
        <v>9800</v>
      </c>
      <c r="I238" s="4"/>
      <c r="J238" s="17"/>
      <c r="K238" s="17"/>
    </row>
    <row r="239" spans="1:11" s="19" customFormat="1" ht="12" customHeight="1" x14ac:dyDescent="0.2">
      <c r="A239" s="49"/>
      <c r="B239" s="49"/>
      <c r="C239" s="53">
        <v>4300</v>
      </c>
      <c r="D239" s="72" t="s">
        <v>55</v>
      </c>
      <c r="E239" s="47">
        <v>4400</v>
      </c>
      <c r="F239" s="47">
        <v>4800</v>
      </c>
      <c r="G239" s="47"/>
      <c r="H239" s="48">
        <f t="shared" si="37"/>
        <v>9200</v>
      </c>
      <c r="I239" s="4"/>
      <c r="J239" s="17"/>
      <c r="K239" s="17"/>
    </row>
    <row r="240" spans="1:11" s="19" customFormat="1" ht="12" customHeight="1" thickBot="1" x14ac:dyDescent="0.25">
      <c r="A240" s="51" t="s">
        <v>136</v>
      </c>
      <c r="B240" s="50"/>
      <c r="C240" s="51"/>
      <c r="D240" s="52" t="s">
        <v>21</v>
      </c>
      <c r="E240" s="36">
        <v>64769034.07</v>
      </c>
      <c r="F240" s="39">
        <f>SUM(F241,F245,F254,F258,F263)</f>
        <v>1213516</v>
      </c>
      <c r="G240" s="39">
        <f>SUM(G241,G245,G254,G258,G263)</f>
        <v>30746</v>
      </c>
      <c r="H240" s="36">
        <f t="shared" si="36"/>
        <v>65951804.07</v>
      </c>
      <c r="I240" s="4"/>
      <c r="J240" s="17"/>
      <c r="K240" s="17"/>
    </row>
    <row r="241" spans="1:11" s="19" customFormat="1" ht="12" customHeight="1" thickTop="1" x14ac:dyDescent="0.2">
      <c r="A241" s="51"/>
      <c r="B241" s="54">
        <v>85202</v>
      </c>
      <c r="C241" s="32"/>
      <c r="D241" s="81" t="s">
        <v>22</v>
      </c>
      <c r="E241" s="68">
        <v>15542678.26</v>
      </c>
      <c r="F241" s="43">
        <f>SUM(F242)</f>
        <v>10000</v>
      </c>
      <c r="G241" s="43">
        <f>SUM(G242)</f>
        <v>0</v>
      </c>
      <c r="H241" s="42">
        <f t="shared" si="36"/>
        <v>15552678.26</v>
      </c>
      <c r="I241" s="4"/>
      <c r="J241" s="17"/>
      <c r="K241" s="17"/>
    </row>
    <row r="242" spans="1:11" s="19" customFormat="1" ht="12" customHeight="1" x14ac:dyDescent="0.2">
      <c r="A242" s="51"/>
      <c r="B242" s="54"/>
      <c r="C242" s="32"/>
      <c r="D242" s="425" t="s">
        <v>137</v>
      </c>
      <c r="E242" s="421">
        <v>3536523.26</v>
      </c>
      <c r="F242" s="427">
        <f>SUM(F243:F244)</f>
        <v>10000</v>
      </c>
      <c r="G242" s="427">
        <f>SUM(G243:G244)</f>
        <v>0</v>
      </c>
      <c r="H242" s="100">
        <f t="shared" si="36"/>
        <v>3546523.26</v>
      </c>
      <c r="I242" s="4"/>
      <c r="J242" s="17"/>
      <c r="K242" s="17"/>
    </row>
    <row r="243" spans="1:11" s="19" customFormat="1" ht="12" customHeight="1" x14ac:dyDescent="0.2">
      <c r="A243" s="51"/>
      <c r="B243" s="54"/>
      <c r="C243" s="70" t="s">
        <v>52</v>
      </c>
      <c r="D243" s="71" t="s">
        <v>53</v>
      </c>
      <c r="E243" s="47">
        <v>98075</v>
      </c>
      <c r="F243" s="48">
        <v>5000</v>
      </c>
      <c r="G243" s="48"/>
      <c r="H243" s="57">
        <f t="shared" si="36"/>
        <v>103075</v>
      </c>
      <c r="I243" s="4"/>
      <c r="J243" s="17"/>
      <c r="K243" s="17"/>
    </row>
    <row r="244" spans="1:11" s="19" customFormat="1" ht="12" customHeight="1" x14ac:dyDescent="0.2">
      <c r="A244" s="51"/>
      <c r="B244" s="54"/>
      <c r="C244" s="75">
        <v>4300</v>
      </c>
      <c r="D244" s="77" t="s">
        <v>55</v>
      </c>
      <c r="E244" s="47">
        <v>155392</v>
      </c>
      <c r="F244" s="48">
        <v>5000</v>
      </c>
      <c r="G244" s="48"/>
      <c r="H244" s="57">
        <f t="shared" si="36"/>
        <v>160392</v>
      </c>
      <c r="I244" s="4"/>
      <c r="J244" s="17"/>
      <c r="K244" s="17"/>
    </row>
    <row r="245" spans="1:11" s="19" customFormat="1" ht="12" customHeight="1" x14ac:dyDescent="0.2">
      <c r="A245" s="51"/>
      <c r="B245" s="54">
        <v>85205</v>
      </c>
      <c r="C245" s="32"/>
      <c r="D245" s="58" t="s">
        <v>26</v>
      </c>
      <c r="E245" s="68">
        <v>0</v>
      </c>
      <c r="F245" s="43">
        <f>SUM(F246)</f>
        <v>89950</v>
      </c>
      <c r="G245" s="43">
        <f>SUM(G246)</f>
        <v>0</v>
      </c>
      <c r="H245" s="42">
        <f t="shared" ref="H245:H252" si="38">SUM(E245+F245-G245)</f>
        <v>89950</v>
      </c>
      <c r="I245" s="4"/>
      <c r="J245" s="17"/>
      <c r="K245" s="17"/>
    </row>
    <row r="246" spans="1:11" s="19" customFormat="1" ht="24" customHeight="1" x14ac:dyDescent="0.2">
      <c r="A246" s="51"/>
      <c r="B246" s="54"/>
      <c r="C246" s="32"/>
      <c r="D246" s="431" t="s">
        <v>138</v>
      </c>
      <c r="E246" s="421">
        <v>0</v>
      </c>
      <c r="F246" s="427">
        <f>SUM(F247:F252)</f>
        <v>89950</v>
      </c>
      <c r="G246" s="427">
        <f>SUM(G247:G252)</f>
        <v>0</v>
      </c>
      <c r="H246" s="100">
        <f t="shared" si="38"/>
        <v>89950</v>
      </c>
      <c r="I246" s="4"/>
      <c r="J246" s="17"/>
      <c r="K246" s="17"/>
    </row>
    <row r="247" spans="1:11" s="19" customFormat="1" ht="11.45" customHeight="1" x14ac:dyDescent="0.2">
      <c r="A247" s="51"/>
      <c r="B247" s="54"/>
      <c r="C247" s="53">
        <v>4010</v>
      </c>
      <c r="D247" s="72" t="s">
        <v>75</v>
      </c>
      <c r="E247" s="47">
        <v>0</v>
      </c>
      <c r="F247" s="48">
        <f>1886+2214</f>
        <v>4100</v>
      </c>
      <c r="G247" s="48"/>
      <c r="H247" s="57">
        <f t="shared" si="38"/>
        <v>4100</v>
      </c>
      <c r="I247" s="4"/>
      <c r="J247" s="17"/>
      <c r="K247" s="17"/>
    </row>
    <row r="248" spans="1:11" s="19" customFormat="1" ht="11.45" customHeight="1" x14ac:dyDescent="0.2">
      <c r="A248" s="51"/>
      <c r="B248" s="54"/>
      <c r="C248" s="53">
        <v>4110</v>
      </c>
      <c r="D248" s="72" t="s">
        <v>91</v>
      </c>
      <c r="E248" s="47">
        <v>0</v>
      </c>
      <c r="F248" s="48">
        <f>370+415</f>
        <v>785</v>
      </c>
      <c r="G248" s="48"/>
      <c r="H248" s="57">
        <f t="shared" si="38"/>
        <v>785</v>
      </c>
      <c r="I248" s="4"/>
      <c r="J248" s="17"/>
      <c r="K248" s="17"/>
    </row>
    <row r="249" spans="1:11" s="19" customFormat="1" ht="11.45" customHeight="1" x14ac:dyDescent="0.2">
      <c r="A249" s="51"/>
      <c r="B249" s="54"/>
      <c r="C249" s="53">
        <v>4120</v>
      </c>
      <c r="D249" s="72" t="s">
        <v>92</v>
      </c>
      <c r="E249" s="47">
        <v>0</v>
      </c>
      <c r="F249" s="48">
        <f>54+61</f>
        <v>115</v>
      </c>
      <c r="G249" s="48"/>
      <c r="H249" s="57">
        <f t="shared" si="38"/>
        <v>115</v>
      </c>
      <c r="I249" s="4"/>
      <c r="J249" s="17"/>
      <c r="K249" s="17"/>
    </row>
    <row r="250" spans="1:11" s="19" customFormat="1" ht="11.45" customHeight="1" x14ac:dyDescent="0.2">
      <c r="A250" s="51"/>
      <c r="B250" s="54"/>
      <c r="C250" s="53">
        <v>4170</v>
      </c>
      <c r="D250" s="72" t="s">
        <v>73</v>
      </c>
      <c r="E250" s="47">
        <v>0</v>
      </c>
      <c r="F250" s="48">
        <v>1000</v>
      </c>
      <c r="G250" s="48"/>
      <c r="H250" s="57">
        <f t="shared" si="38"/>
        <v>1000</v>
      </c>
      <c r="I250" s="4"/>
      <c r="J250" s="17"/>
      <c r="K250" s="17"/>
    </row>
    <row r="251" spans="1:11" s="19" customFormat="1" ht="11.45" customHeight="1" x14ac:dyDescent="0.2">
      <c r="A251" s="51"/>
      <c r="B251" s="54"/>
      <c r="C251" s="75">
        <v>4300</v>
      </c>
      <c r="D251" s="77" t="s">
        <v>55</v>
      </c>
      <c r="E251" s="47">
        <v>0</v>
      </c>
      <c r="F251" s="48">
        <v>16000</v>
      </c>
      <c r="G251" s="48"/>
      <c r="H251" s="57">
        <f t="shared" si="38"/>
        <v>16000</v>
      </c>
      <c r="I251" s="4"/>
      <c r="J251" s="17"/>
      <c r="K251" s="17"/>
    </row>
    <row r="252" spans="1:11" s="19" customFormat="1" ht="22.5" customHeight="1" x14ac:dyDescent="0.2">
      <c r="A252" s="51"/>
      <c r="B252" s="54"/>
      <c r="C252" s="73">
        <v>4700</v>
      </c>
      <c r="D252" s="76" t="s">
        <v>63</v>
      </c>
      <c r="E252" s="47">
        <v>0</v>
      </c>
      <c r="F252" s="48">
        <v>67950</v>
      </c>
      <c r="G252" s="48"/>
      <c r="H252" s="57">
        <f t="shared" si="38"/>
        <v>67950</v>
      </c>
      <c r="I252" s="4"/>
      <c r="J252" s="17"/>
      <c r="K252" s="17"/>
    </row>
    <row r="253" spans="1:11" s="19" customFormat="1" ht="12" customHeight="1" x14ac:dyDescent="0.2">
      <c r="A253" s="51"/>
      <c r="B253" s="54">
        <v>85214</v>
      </c>
      <c r="C253" s="51"/>
      <c r="D253" s="60" t="s">
        <v>29</v>
      </c>
      <c r="E253" s="47"/>
      <c r="F253" s="47"/>
      <c r="G253" s="96"/>
      <c r="H253" s="57"/>
      <c r="I253" s="4"/>
      <c r="J253" s="17"/>
      <c r="K253" s="17"/>
    </row>
    <row r="254" spans="1:11" s="19" customFormat="1" ht="12" customHeight="1" x14ac:dyDescent="0.2">
      <c r="A254" s="51"/>
      <c r="B254" s="54"/>
      <c r="C254" s="32"/>
      <c r="D254" s="58" t="s">
        <v>30</v>
      </c>
      <c r="E254" s="68">
        <v>9623800.1400000006</v>
      </c>
      <c r="F254" s="42">
        <f>SUM(F255)</f>
        <v>0</v>
      </c>
      <c r="G254" s="42">
        <f>SUM(G255)</f>
        <v>12056</v>
      </c>
      <c r="H254" s="42">
        <f t="shared" ref="H254:H256" si="39">SUM(E254+F254-G254)</f>
        <v>9611744.1400000006</v>
      </c>
      <c r="I254" s="4"/>
      <c r="J254" s="17"/>
      <c r="K254" s="17"/>
    </row>
    <row r="255" spans="1:11" s="19" customFormat="1" ht="12" customHeight="1" x14ac:dyDescent="0.2">
      <c r="A255" s="51"/>
      <c r="B255" s="54"/>
      <c r="C255" s="32"/>
      <c r="D255" s="425" t="s">
        <v>139</v>
      </c>
      <c r="E255" s="432">
        <v>9578687.1400000006</v>
      </c>
      <c r="F255" s="427">
        <f>SUM(F256:F256)</f>
        <v>0</v>
      </c>
      <c r="G255" s="427">
        <f>SUM(G256:G256)</f>
        <v>12056</v>
      </c>
      <c r="H255" s="100">
        <f t="shared" si="39"/>
        <v>9566631.1400000006</v>
      </c>
      <c r="I255" s="4"/>
      <c r="J255" s="17"/>
      <c r="K255" s="17"/>
    </row>
    <row r="256" spans="1:11" s="19" customFormat="1" ht="12" customHeight="1" x14ac:dyDescent="0.2">
      <c r="A256" s="51"/>
      <c r="B256" s="54"/>
      <c r="C256" s="53">
        <v>3110</v>
      </c>
      <c r="D256" s="72" t="s">
        <v>140</v>
      </c>
      <c r="E256" s="47">
        <v>9489887.1400000006</v>
      </c>
      <c r="F256" s="47"/>
      <c r="G256" s="47">
        <v>12056</v>
      </c>
      <c r="H256" s="57">
        <f t="shared" si="39"/>
        <v>9477831.1400000006</v>
      </c>
      <c r="I256" s="4"/>
      <c r="J256" s="17"/>
      <c r="K256" s="17"/>
    </row>
    <row r="257" spans="1:11" s="19" customFormat="1" ht="12" customHeight="1" x14ac:dyDescent="0.2">
      <c r="A257" s="51"/>
      <c r="B257" s="75">
        <v>85220</v>
      </c>
      <c r="C257" s="78"/>
      <c r="D257" s="77" t="s">
        <v>141</v>
      </c>
      <c r="E257" s="47"/>
      <c r="F257" s="48"/>
      <c r="G257" s="48"/>
      <c r="H257" s="57"/>
      <c r="I257" s="4"/>
      <c r="J257" s="17"/>
      <c r="K257" s="17"/>
    </row>
    <row r="258" spans="1:11" s="19" customFormat="1" ht="12" customHeight="1" x14ac:dyDescent="0.2">
      <c r="A258" s="51"/>
      <c r="B258" s="97"/>
      <c r="C258" s="78"/>
      <c r="D258" s="79" t="s">
        <v>142</v>
      </c>
      <c r="E258" s="68">
        <v>838628</v>
      </c>
      <c r="F258" s="43">
        <f>SUM(F260)</f>
        <v>0</v>
      </c>
      <c r="G258" s="43">
        <f>SUM(G260)</f>
        <v>18690</v>
      </c>
      <c r="H258" s="42">
        <f t="shared" ref="H258" si="40">SUM(E258+F258-G258)</f>
        <v>819938</v>
      </c>
      <c r="I258" s="4"/>
      <c r="J258" s="17"/>
      <c r="K258" s="17"/>
    </row>
    <row r="259" spans="1:11" s="19" customFormat="1" ht="12" customHeight="1" x14ac:dyDescent="0.2">
      <c r="A259" s="51"/>
      <c r="B259" s="97"/>
      <c r="C259" s="78"/>
      <c r="D259" s="77" t="s">
        <v>143</v>
      </c>
      <c r="E259" s="48"/>
      <c r="F259" s="57"/>
      <c r="G259" s="57"/>
      <c r="H259" s="56"/>
      <c r="I259" s="4"/>
      <c r="J259" s="17"/>
      <c r="K259" s="17"/>
    </row>
    <row r="260" spans="1:11" s="19" customFormat="1" ht="12" customHeight="1" x14ac:dyDescent="0.2">
      <c r="A260" s="51"/>
      <c r="B260" s="54"/>
      <c r="C260" s="70"/>
      <c r="D260" s="433" t="s">
        <v>144</v>
      </c>
      <c r="E260" s="421">
        <v>807628</v>
      </c>
      <c r="F260" s="422">
        <f>SUM(F261:F262)</f>
        <v>0</v>
      </c>
      <c r="G260" s="422">
        <f>SUM(G261:G262)</f>
        <v>18690</v>
      </c>
      <c r="H260" s="421">
        <f>SUM(E260+F260-G260)</f>
        <v>788938</v>
      </c>
      <c r="I260" s="4"/>
      <c r="J260" s="17"/>
      <c r="K260" s="17"/>
    </row>
    <row r="261" spans="1:11" s="19" customFormat="1" ht="12" customHeight="1" x14ac:dyDescent="0.2">
      <c r="A261" s="98"/>
      <c r="B261" s="63"/>
      <c r="C261" s="99">
        <v>4170</v>
      </c>
      <c r="D261" s="41" t="s">
        <v>73</v>
      </c>
      <c r="E261" s="68">
        <v>27000</v>
      </c>
      <c r="F261" s="43"/>
      <c r="G261" s="43">
        <v>10000</v>
      </c>
      <c r="H261" s="43">
        <f t="shared" ref="H261:H262" si="41">SUM(E261+F261-G261)</f>
        <v>17000</v>
      </c>
      <c r="I261" s="4"/>
      <c r="J261" s="17"/>
      <c r="K261" s="17"/>
    </row>
    <row r="262" spans="1:11" s="19" customFormat="1" ht="12" customHeight="1" x14ac:dyDescent="0.2">
      <c r="A262" s="51"/>
      <c r="B262" s="54"/>
      <c r="C262" s="53">
        <v>4300</v>
      </c>
      <c r="D262" s="72" t="s">
        <v>55</v>
      </c>
      <c r="E262" s="48">
        <v>46810</v>
      </c>
      <c r="F262" s="57"/>
      <c r="G262" s="57">
        <v>8690</v>
      </c>
      <c r="H262" s="57">
        <f t="shared" si="41"/>
        <v>38120</v>
      </c>
      <c r="I262" s="4"/>
      <c r="J262" s="17"/>
      <c r="K262" s="17"/>
    </row>
    <row r="263" spans="1:11" s="19" customFormat="1" ht="12" customHeight="1" x14ac:dyDescent="0.2">
      <c r="A263" s="51"/>
      <c r="B263" s="54">
        <v>85230</v>
      </c>
      <c r="C263" s="32"/>
      <c r="D263" s="41" t="s">
        <v>33</v>
      </c>
      <c r="E263" s="68">
        <v>5620415</v>
      </c>
      <c r="F263" s="43">
        <f>SUM(F264)</f>
        <v>1113566</v>
      </c>
      <c r="G263" s="43">
        <f>SUM(G264)</f>
        <v>0</v>
      </c>
      <c r="H263" s="42">
        <f t="shared" si="36"/>
        <v>6733981</v>
      </c>
      <c r="I263" s="4"/>
      <c r="J263" s="17"/>
      <c r="K263" s="17"/>
    </row>
    <row r="264" spans="1:11" s="19" customFormat="1" ht="12" customHeight="1" x14ac:dyDescent="0.2">
      <c r="A264" s="51"/>
      <c r="B264" s="50"/>
      <c r="C264" s="32"/>
      <c r="D264" s="431" t="s">
        <v>139</v>
      </c>
      <c r="E264" s="421">
        <v>5567833</v>
      </c>
      <c r="F264" s="422">
        <f>SUM(F265:F266)</f>
        <v>1113566</v>
      </c>
      <c r="G264" s="422">
        <f>SUM(G265:G266)</f>
        <v>0</v>
      </c>
      <c r="H264" s="421">
        <f>SUM(E264+F264-G264)</f>
        <v>6681399</v>
      </c>
      <c r="I264" s="4"/>
      <c r="J264" s="17"/>
      <c r="K264" s="17"/>
    </row>
    <row r="265" spans="1:11" s="19" customFormat="1" ht="12" customHeight="1" x14ac:dyDescent="0.2">
      <c r="A265" s="51"/>
      <c r="B265" s="50"/>
      <c r="C265" s="53">
        <v>3110</v>
      </c>
      <c r="D265" s="72" t="s">
        <v>140</v>
      </c>
      <c r="E265" s="48">
        <v>3167833</v>
      </c>
      <c r="F265" s="47">
        <v>633566</v>
      </c>
      <c r="G265" s="47"/>
      <c r="H265" s="57">
        <f t="shared" ref="H265:H275" si="42">SUM(E265+F265-G265)</f>
        <v>3801399</v>
      </c>
      <c r="I265" s="4"/>
      <c r="J265" s="17"/>
      <c r="K265" s="17"/>
    </row>
    <row r="266" spans="1:11" s="19" customFormat="1" ht="12" customHeight="1" x14ac:dyDescent="0.2">
      <c r="A266" s="51"/>
      <c r="B266" s="54"/>
      <c r="C266" s="53">
        <v>4300</v>
      </c>
      <c r="D266" s="72" t="s">
        <v>55</v>
      </c>
      <c r="E266" s="48">
        <v>2400000</v>
      </c>
      <c r="F266" s="57">
        <v>480000</v>
      </c>
      <c r="G266" s="57"/>
      <c r="H266" s="57">
        <f t="shared" si="42"/>
        <v>2880000</v>
      </c>
      <c r="I266" s="4"/>
      <c r="J266" s="17"/>
      <c r="K266" s="17"/>
    </row>
    <row r="267" spans="1:11" s="19" customFormat="1" ht="12" customHeight="1" thickBot="1" x14ac:dyDescent="0.25">
      <c r="A267" s="49">
        <v>853</v>
      </c>
      <c r="B267" s="49"/>
      <c r="C267" s="51"/>
      <c r="D267" s="52" t="s">
        <v>145</v>
      </c>
      <c r="E267" s="36">
        <v>10110926.859999999</v>
      </c>
      <c r="F267" s="39">
        <f>SUM(F268)</f>
        <v>1400</v>
      </c>
      <c r="G267" s="39">
        <f>SUM(G268)</f>
        <v>1400</v>
      </c>
      <c r="H267" s="36">
        <f t="shared" si="42"/>
        <v>10110926.859999999</v>
      </c>
      <c r="I267" s="4"/>
      <c r="J267" s="17"/>
      <c r="K267" s="17"/>
    </row>
    <row r="268" spans="1:11" s="19" customFormat="1" ht="12" customHeight="1" thickTop="1" x14ac:dyDescent="0.2">
      <c r="A268" s="51"/>
      <c r="B268" s="53">
        <v>85395</v>
      </c>
      <c r="C268" s="32"/>
      <c r="D268" s="41" t="s">
        <v>40</v>
      </c>
      <c r="E268" s="68">
        <v>6150654.8600000003</v>
      </c>
      <c r="F268" s="42">
        <f>SUM(F269)</f>
        <v>1400</v>
      </c>
      <c r="G268" s="42">
        <f>SUM(G269)</f>
        <v>1400</v>
      </c>
      <c r="H268" s="42">
        <f t="shared" si="42"/>
        <v>6150654.8600000003</v>
      </c>
      <c r="I268" s="4"/>
      <c r="J268" s="17"/>
      <c r="K268" s="17"/>
    </row>
    <row r="269" spans="1:11" s="19" customFormat="1" ht="12" customHeight="1" x14ac:dyDescent="0.2">
      <c r="A269" s="51"/>
      <c r="B269" s="53"/>
      <c r="C269" s="70"/>
      <c r="D269" s="428" t="s">
        <v>146</v>
      </c>
      <c r="E269" s="421">
        <v>3976506</v>
      </c>
      <c r="F269" s="422">
        <f>SUM(F270:F271)</f>
        <v>1400</v>
      </c>
      <c r="G269" s="422">
        <f>SUM(G270:G271)</f>
        <v>1400</v>
      </c>
      <c r="H269" s="421">
        <f t="shared" si="42"/>
        <v>3976506</v>
      </c>
      <c r="I269" s="4"/>
      <c r="J269" s="17"/>
      <c r="K269" s="17"/>
    </row>
    <row r="270" spans="1:11" s="19" customFormat="1" ht="12" customHeight="1" x14ac:dyDescent="0.2">
      <c r="A270" s="51"/>
      <c r="B270" s="53"/>
      <c r="C270" s="53">
        <v>4280</v>
      </c>
      <c r="D270" s="72" t="s">
        <v>147</v>
      </c>
      <c r="E270" s="48">
        <v>3000</v>
      </c>
      <c r="F270" s="47">
        <v>1400</v>
      </c>
      <c r="G270" s="47"/>
      <c r="H270" s="57">
        <f t="shared" si="42"/>
        <v>4400</v>
      </c>
      <c r="I270" s="4"/>
      <c r="J270" s="17"/>
      <c r="K270" s="17"/>
    </row>
    <row r="271" spans="1:11" s="19" customFormat="1" ht="12" customHeight="1" x14ac:dyDescent="0.2">
      <c r="A271" s="51"/>
      <c r="B271" s="53"/>
      <c r="C271" s="53">
        <v>4530</v>
      </c>
      <c r="D271" s="72" t="s">
        <v>148</v>
      </c>
      <c r="E271" s="48">
        <v>10800</v>
      </c>
      <c r="F271" s="47"/>
      <c r="G271" s="47">
        <v>1400</v>
      </c>
      <c r="H271" s="57">
        <f t="shared" si="42"/>
        <v>9400</v>
      </c>
      <c r="I271" s="4"/>
      <c r="J271" s="17"/>
      <c r="K271" s="17"/>
    </row>
    <row r="272" spans="1:11" s="19" customFormat="1" ht="12" customHeight="1" thickBot="1" x14ac:dyDescent="0.25">
      <c r="A272" s="50">
        <v>854</v>
      </c>
      <c r="B272" s="50"/>
      <c r="C272" s="51"/>
      <c r="D272" s="52" t="s">
        <v>149</v>
      </c>
      <c r="E272" s="36">
        <v>15282543</v>
      </c>
      <c r="F272" s="39">
        <f>SUM(F273,F277,F281)</f>
        <v>70250</v>
      </c>
      <c r="G272" s="39">
        <f>SUM(G273,G277,G281)</f>
        <v>70250</v>
      </c>
      <c r="H272" s="36">
        <f t="shared" si="42"/>
        <v>15282543</v>
      </c>
      <c r="I272" s="4"/>
      <c r="J272" s="17"/>
      <c r="K272" s="17"/>
    </row>
    <row r="273" spans="1:11" s="19" customFormat="1" ht="12" customHeight="1" thickTop="1" x14ac:dyDescent="0.2">
      <c r="A273" s="50"/>
      <c r="B273" s="54">
        <v>85402</v>
      </c>
      <c r="C273" s="53"/>
      <c r="D273" s="81" t="s">
        <v>150</v>
      </c>
      <c r="E273" s="42">
        <v>706538</v>
      </c>
      <c r="F273" s="43">
        <f>SUM(F274)</f>
        <v>70000</v>
      </c>
      <c r="G273" s="43">
        <f>SUM(G274)</f>
        <v>0</v>
      </c>
      <c r="H273" s="42">
        <f t="shared" si="42"/>
        <v>776538</v>
      </c>
      <c r="I273" s="4"/>
      <c r="J273" s="17"/>
      <c r="K273" s="17"/>
    </row>
    <row r="274" spans="1:11" s="19" customFormat="1" ht="12" customHeight="1" x14ac:dyDescent="0.2">
      <c r="A274" s="50"/>
      <c r="B274" s="54"/>
      <c r="C274" s="32"/>
      <c r="D274" s="425" t="s">
        <v>151</v>
      </c>
      <c r="E274" s="100">
        <v>706538</v>
      </c>
      <c r="F274" s="427">
        <f>SUM(F275:F275)</f>
        <v>70000</v>
      </c>
      <c r="G274" s="427">
        <f>SUM(G275:G275)</f>
        <v>0</v>
      </c>
      <c r="H274" s="421">
        <f t="shared" si="42"/>
        <v>776538</v>
      </c>
      <c r="I274" s="4"/>
      <c r="J274" s="17"/>
      <c r="K274" s="17"/>
    </row>
    <row r="275" spans="1:11" s="19" customFormat="1" ht="22.5" customHeight="1" x14ac:dyDescent="0.2">
      <c r="A275" s="50"/>
      <c r="B275" s="54"/>
      <c r="C275" s="73">
        <v>2540</v>
      </c>
      <c r="D275" s="74" t="s">
        <v>101</v>
      </c>
      <c r="E275" s="56">
        <v>706538</v>
      </c>
      <c r="F275" s="47">
        <v>70000</v>
      </c>
      <c r="G275" s="47"/>
      <c r="H275" s="57">
        <f t="shared" si="42"/>
        <v>776538</v>
      </c>
      <c r="I275" s="4"/>
      <c r="J275" s="17"/>
      <c r="K275" s="17"/>
    </row>
    <row r="276" spans="1:11" s="19" customFormat="1" ht="12" customHeight="1" x14ac:dyDescent="0.2">
      <c r="A276" s="50"/>
      <c r="B276" s="53">
        <v>85406</v>
      </c>
      <c r="C276" s="53"/>
      <c r="D276" s="72" t="s">
        <v>152</v>
      </c>
      <c r="E276" s="101"/>
      <c r="F276" s="61"/>
      <c r="G276" s="61"/>
      <c r="H276" s="101"/>
      <c r="I276" s="4"/>
      <c r="J276" s="17"/>
      <c r="K276" s="17"/>
    </row>
    <row r="277" spans="1:11" s="19" customFormat="1" ht="12" customHeight="1" x14ac:dyDescent="0.2">
      <c r="A277" s="50"/>
      <c r="B277" s="53"/>
      <c r="C277" s="32"/>
      <c r="D277" s="81" t="s">
        <v>153</v>
      </c>
      <c r="E277" s="42">
        <v>4110708</v>
      </c>
      <c r="F277" s="43">
        <f>SUM(F278)</f>
        <v>0</v>
      </c>
      <c r="G277" s="43">
        <f>SUM(G278)</f>
        <v>70000</v>
      </c>
      <c r="H277" s="42">
        <f t="shared" ref="H277" si="43">SUM(E277+F277-G277)</f>
        <v>4040708</v>
      </c>
      <c r="I277" s="4"/>
      <c r="J277" s="17"/>
      <c r="K277" s="17"/>
    </row>
    <row r="278" spans="1:11" s="19" customFormat="1" ht="12" customHeight="1" x14ac:dyDescent="0.2">
      <c r="A278" s="50"/>
      <c r="B278" s="53"/>
      <c r="C278" s="32"/>
      <c r="D278" s="425" t="s">
        <v>151</v>
      </c>
      <c r="E278" s="100">
        <v>217601</v>
      </c>
      <c r="F278" s="427">
        <f>SUM(F279:F279)</f>
        <v>0</v>
      </c>
      <c r="G278" s="427">
        <f>SUM(G279:G279)</f>
        <v>70000</v>
      </c>
      <c r="H278" s="421">
        <f>SUM(E278+F278-G278)</f>
        <v>147601</v>
      </c>
      <c r="I278" s="4"/>
      <c r="J278" s="17"/>
      <c r="K278" s="17"/>
    </row>
    <row r="279" spans="1:11" s="19" customFormat="1" ht="22.5" customHeight="1" x14ac:dyDescent="0.2">
      <c r="A279" s="50"/>
      <c r="B279" s="53"/>
      <c r="C279" s="73">
        <v>2540</v>
      </c>
      <c r="D279" s="74" t="s">
        <v>101</v>
      </c>
      <c r="E279" s="56">
        <v>217601</v>
      </c>
      <c r="F279" s="47"/>
      <c r="G279" s="47">
        <v>70000</v>
      </c>
      <c r="H279" s="57">
        <f t="shared" ref="H279" si="44">SUM(E279+F279-G279)</f>
        <v>147601</v>
      </c>
      <c r="I279" s="4"/>
      <c r="J279" s="17"/>
      <c r="K279" s="17"/>
    </row>
    <row r="280" spans="1:11" s="19" customFormat="1" ht="12" customHeight="1" x14ac:dyDescent="0.2">
      <c r="A280" s="50"/>
      <c r="B280" s="53">
        <v>85412</v>
      </c>
      <c r="C280" s="54"/>
      <c r="D280" s="72" t="s">
        <v>154</v>
      </c>
      <c r="E280" s="101"/>
      <c r="F280" s="101"/>
      <c r="G280" s="101"/>
      <c r="H280" s="101"/>
      <c r="I280" s="4"/>
      <c r="J280" s="17"/>
      <c r="K280" s="17"/>
    </row>
    <row r="281" spans="1:11" s="19" customFormat="1" ht="12" customHeight="1" x14ac:dyDescent="0.2">
      <c r="A281" s="50"/>
      <c r="B281" s="44"/>
      <c r="C281" s="54"/>
      <c r="D281" s="41" t="s">
        <v>155</v>
      </c>
      <c r="E281" s="42">
        <v>55000</v>
      </c>
      <c r="F281" s="42">
        <f>SUM(F282)</f>
        <v>250</v>
      </c>
      <c r="G281" s="42">
        <f>SUM(G282)</f>
        <v>250</v>
      </c>
      <c r="H281" s="42">
        <f>SUM(E281+F281-G281)</f>
        <v>55000</v>
      </c>
      <c r="I281" s="4"/>
      <c r="J281" s="17"/>
      <c r="K281" s="17"/>
    </row>
    <row r="282" spans="1:11" s="19" customFormat="1" ht="12" customHeight="1" x14ac:dyDescent="0.2">
      <c r="A282" s="50"/>
      <c r="B282" s="54"/>
      <c r="C282" s="32"/>
      <c r="D282" s="425" t="s">
        <v>85</v>
      </c>
      <c r="E282" s="100">
        <v>54950</v>
      </c>
      <c r="F282" s="100">
        <f>SUM(F283:F284)</f>
        <v>250</v>
      </c>
      <c r="G282" s="100">
        <f>SUM(G283:G284)</f>
        <v>250</v>
      </c>
      <c r="H282" s="421">
        <f>SUM(E282+F282-G282)</f>
        <v>54950</v>
      </c>
      <c r="I282" s="4"/>
      <c r="J282" s="17"/>
      <c r="K282" s="17"/>
    </row>
    <row r="283" spans="1:11" s="19" customFormat="1" ht="12" customHeight="1" x14ac:dyDescent="0.2">
      <c r="A283" s="50"/>
      <c r="B283" s="77"/>
      <c r="C283" s="75">
        <v>4210</v>
      </c>
      <c r="D283" s="71" t="s">
        <v>53</v>
      </c>
      <c r="E283" s="48">
        <v>2574</v>
      </c>
      <c r="F283" s="48">
        <v>250</v>
      </c>
      <c r="G283" s="48"/>
      <c r="H283" s="57">
        <f t="shared" ref="H283:H284" si="45">SUM(E283+F283-G283)</f>
        <v>2824</v>
      </c>
      <c r="I283" s="4"/>
      <c r="J283" s="17"/>
      <c r="K283" s="17"/>
    </row>
    <row r="284" spans="1:11" s="19" customFormat="1" ht="12" customHeight="1" x14ac:dyDescent="0.2">
      <c r="A284" s="50"/>
      <c r="B284" s="77"/>
      <c r="C284" s="77">
        <v>4300</v>
      </c>
      <c r="D284" s="71" t="s">
        <v>55</v>
      </c>
      <c r="E284" s="48">
        <v>9106</v>
      </c>
      <c r="F284" s="48"/>
      <c r="G284" s="48">
        <v>250</v>
      </c>
      <c r="H284" s="57">
        <f t="shared" si="45"/>
        <v>8856</v>
      </c>
      <c r="I284" s="4"/>
      <c r="J284" s="17"/>
      <c r="K284" s="17"/>
    </row>
    <row r="285" spans="1:11" s="19" customFormat="1" ht="12" customHeight="1" thickBot="1" x14ac:dyDescent="0.25">
      <c r="A285" s="50">
        <v>855</v>
      </c>
      <c r="B285" s="50"/>
      <c r="C285" s="51"/>
      <c r="D285" s="52" t="s">
        <v>156</v>
      </c>
      <c r="E285" s="39">
        <v>22080124</v>
      </c>
      <c r="F285" s="39">
        <f>SUM(F286,F290)</f>
        <v>74105.13</v>
      </c>
      <c r="G285" s="39">
        <f>SUM(G286,G290)</f>
        <v>14617</v>
      </c>
      <c r="H285" s="39">
        <f>SUM(E285+F285-G285)</f>
        <v>22139612.129999999</v>
      </c>
      <c r="I285" s="4"/>
      <c r="J285" s="17"/>
      <c r="K285" s="17"/>
    </row>
    <row r="286" spans="1:11" s="19" customFormat="1" ht="12" customHeight="1" thickTop="1" x14ac:dyDescent="0.2">
      <c r="A286" s="53"/>
      <c r="B286" s="53">
        <v>85508</v>
      </c>
      <c r="C286" s="44"/>
      <c r="D286" s="102" t="s">
        <v>157</v>
      </c>
      <c r="E286" s="68">
        <v>3301551</v>
      </c>
      <c r="F286" s="42">
        <f>SUM(F287)</f>
        <v>3000</v>
      </c>
      <c r="G286" s="42">
        <f>SUM(G287)</f>
        <v>3000</v>
      </c>
      <c r="H286" s="42">
        <f t="shared" ref="H286:H290" si="46">SUM(E286+F286-G286)</f>
        <v>3301551</v>
      </c>
      <c r="I286" s="4"/>
      <c r="J286" s="17"/>
      <c r="K286" s="17"/>
    </row>
    <row r="287" spans="1:11" s="19" customFormat="1" ht="23.25" customHeight="1" x14ac:dyDescent="0.2">
      <c r="A287" s="103"/>
      <c r="B287" s="49"/>
      <c r="C287" s="75"/>
      <c r="D287" s="434" t="s">
        <v>158</v>
      </c>
      <c r="E287" s="100">
        <v>559838</v>
      </c>
      <c r="F287" s="422">
        <f>SUM(F288:F289)</f>
        <v>3000</v>
      </c>
      <c r="G287" s="422">
        <f>SUM(G288:G289)</f>
        <v>3000</v>
      </c>
      <c r="H287" s="421">
        <f t="shared" si="46"/>
        <v>559838</v>
      </c>
      <c r="I287" s="4"/>
      <c r="J287" s="17"/>
      <c r="K287" s="17"/>
    </row>
    <row r="288" spans="1:11" s="19" customFormat="1" ht="12" customHeight="1" x14ac:dyDescent="0.2">
      <c r="A288" s="51"/>
      <c r="B288" s="49"/>
      <c r="C288" s="75">
        <v>4210</v>
      </c>
      <c r="D288" s="71" t="s">
        <v>53</v>
      </c>
      <c r="E288" s="48">
        <v>21880</v>
      </c>
      <c r="F288" s="57">
        <v>3000</v>
      </c>
      <c r="G288" s="57"/>
      <c r="H288" s="57">
        <f t="shared" si="46"/>
        <v>24880</v>
      </c>
      <c r="I288" s="4"/>
      <c r="J288" s="17"/>
      <c r="K288" s="17"/>
    </row>
    <row r="289" spans="1:11" s="19" customFormat="1" ht="12" customHeight="1" x14ac:dyDescent="0.2">
      <c r="A289" s="51"/>
      <c r="B289" s="49"/>
      <c r="C289" s="77">
        <v>4300</v>
      </c>
      <c r="D289" s="71" t="s">
        <v>55</v>
      </c>
      <c r="E289" s="48">
        <v>34970</v>
      </c>
      <c r="F289" s="57"/>
      <c r="G289" s="57">
        <v>3000</v>
      </c>
      <c r="H289" s="57">
        <f t="shared" si="46"/>
        <v>31970</v>
      </c>
      <c r="I289" s="4"/>
      <c r="J289" s="17"/>
      <c r="K289" s="17"/>
    </row>
    <row r="290" spans="1:11" s="19" customFormat="1" ht="12" customHeight="1" x14ac:dyDescent="0.2">
      <c r="A290" s="51"/>
      <c r="B290" s="53">
        <v>85516</v>
      </c>
      <c r="C290" s="44"/>
      <c r="D290" s="102" t="s">
        <v>159</v>
      </c>
      <c r="E290" s="68">
        <v>5511234</v>
      </c>
      <c r="F290" s="43">
        <f>SUM(F291,F301)</f>
        <v>71105.13</v>
      </c>
      <c r="G290" s="43">
        <f>SUM(G291,G301)</f>
        <v>11617</v>
      </c>
      <c r="H290" s="42">
        <f t="shared" si="46"/>
        <v>5570722.1299999999</v>
      </c>
      <c r="I290" s="4"/>
      <c r="J290" s="17"/>
      <c r="K290" s="17"/>
    </row>
    <row r="291" spans="1:11" s="19" customFormat="1" ht="12" customHeight="1" x14ac:dyDescent="0.2">
      <c r="A291" s="51"/>
      <c r="B291" s="40"/>
      <c r="C291" s="44"/>
      <c r="D291" s="435" t="s">
        <v>160</v>
      </c>
      <c r="E291" s="421">
        <v>5511234</v>
      </c>
      <c r="F291" s="422">
        <f>SUM(F292:F300)</f>
        <v>11617</v>
      </c>
      <c r="G291" s="422">
        <f>SUM(G292:G300)</f>
        <v>11617</v>
      </c>
      <c r="H291" s="421">
        <f>SUM(E291+F291-G291)</f>
        <v>5511234</v>
      </c>
      <c r="I291" s="4"/>
      <c r="J291" s="17"/>
      <c r="K291" s="17"/>
    </row>
    <row r="292" spans="1:11" s="19" customFormat="1" ht="12" customHeight="1" x14ac:dyDescent="0.2">
      <c r="A292" s="51"/>
      <c r="B292" s="54"/>
      <c r="C292" s="53">
        <v>3020</v>
      </c>
      <c r="D292" s="72" t="s">
        <v>86</v>
      </c>
      <c r="E292" s="48">
        <v>40484</v>
      </c>
      <c r="F292" s="57"/>
      <c r="G292" s="57">
        <v>1500</v>
      </c>
      <c r="H292" s="57">
        <f t="shared" ref="H292:H300" si="47">SUM(E292+F292-G292)</f>
        <v>38984</v>
      </c>
      <c r="I292" s="4"/>
      <c r="J292" s="17"/>
      <c r="K292" s="17"/>
    </row>
    <row r="293" spans="1:11" s="19" customFormat="1" ht="12" customHeight="1" x14ac:dyDescent="0.2">
      <c r="A293" s="51"/>
      <c r="B293" s="54"/>
      <c r="C293" s="53">
        <v>4040</v>
      </c>
      <c r="D293" s="72" t="s">
        <v>87</v>
      </c>
      <c r="E293" s="48">
        <v>228615</v>
      </c>
      <c r="F293" s="57"/>
      <c r="G293" s="57">
        <v>2295</v>
      </c>
      <c r="H293" s="57">
        <f t="shared" si="47"/>
        <v>226320</v>
      </c>
      <c r="I293" s="4"/>
      <c r="J293" s="17"/>
      <c r="K293" s="17"/>
    </row>
    <row r="294" spans="1:11" s="19" customFormat="1" ht="12" customHeight="1" x14ac:dyDescent="0.2">
      <c r="A294" s="51"/>
      <c r="B294" s="54"/>
      <c r="C294" s="53">
        <v>4270</v>
      </c>
      <c r="D294" s="72" t="s">
        <v>106</v>
      </c>
      <c r="E294" s="48">
        <v>57376</v>
      </c>
      <c r="F294" s="57"/>
      <c r="G294" s="57">
        <v>1000</v>
      </c>
      <c r="H294" s="57">
        <f t="shared" si="47"/>
        <v>56376</v>
      </c>
      <c r="I294" s="4"/>
      <c r="J294" s="17"/>
      <c r="K294" s="17"/>
    </row>
    <row r="295" spans="1:11" s="19" customFormat="1" ht="12" customHeight="1" x14ac:dyDescent="0.2">
      <c r="A295" s="51"/>
      <c r="B295" s="54"/>
      <c r="C295" s="53">
        <v>4280</v>
      </c>
      <c r="D295" s="72" t="s">
        <v>147</v>
      </c>
      <c r="E295" s="48">
        <v>3100</v>
      </c>
      <c r="F295" s="57">
        <v>1250</v>
      </c>
      <c r="G295" s="57"/>
      <c r="H295" s="57">
        <f t="shared" si="47"/>
        <v>4350</v>
      </c>
      <c r="I295" s="4"/>
      <c r="J295" s="17"/>
      <c r="K295" s="17"/>
    </row>
    <row r="296" spans="1:11" s="19" customFormat="1" ht="12" customHeight="1" x14ac:dyDescent="0.2">
      <c r="A296" s="51"/>
      <c r="B296" s="54"/>
      <c r="C296" s="53">
        <v>4300</v>
      </c>
      <c r="D296" s="72" t="s">
        <v>55</v>
      </c>
      <c r="E296" s="48">
        <v>84659</v>
      </c>
      <c r="F296" s="57"/>
      <c r="G296" s="57">
        <v>500</v>
      </c>
      <c r="H296" s="57">
        <f t="shared" si="47"/>
        <v>84159</v>
      </c>
      <c r="I296" s="4"/>
      <c r="J296" s="17"/>
      <c r="K296" s="17"/>
    </row>
    <row r="297" spans="1:11" s="19" customFormat="1" ht="12" customHeight="1" x14ac:dyDescent="0.2">
      <c r="A297" s="51"/>
      <c r="B297" s="54"/>
      <c r="C297" s="53">
        <v>4360</v>
      </c>
      <c r="D297" s="72" t="s">
        <v>56</v>
      </c>
      <c r="E297" s="48">
        <v>7149</v>
      </c>
      <c r="F297" s="57"/>
      <c r="G297" s="57">
        <v>500</v>
      </c>
      <c r="H297" s="57">
        <f t="shared" si="47"/>
        <v>6649</v>
      </c>
      <c r="I297" s="4"/>
      <c r="J297" s="17"/>
      <c r="K297" s="17"/>
    </row>
    <row r="298" spans="1:11" s="19" customFormat="1" ht="12" customHeight="1" x14ac:dyDescent="0.2">
      <c r="A298" s="51"/>
      <c r="B298" s="54"/>
      <c r="C298" s="53">
        <v>4440</v>
      </c>
      <c r="D298" s="72" t="s">
        <v>161</v>
      </c>
      <c r="E298" s="48">
        <v>134020</v>
      </c>
      <c r="F298" s="57">
        <v>10367</v>
      </c>
      <c r="G298" s="57"/>
      <c r="H298" s="57">
        <f t="shared" si="47"/>
        <v>144387</v>
      </c>
      <c r="I298" s="4"/>
      <c r="J298" s="17"/>
      <c r="K298" s="17"/>
    </row>
    <row r="299" spans="1:11" s="19" customFormat="1" ht="24" customHeight="1" x14ac:dyDescent="0.2">
      <c r="A299" s="51"/>
      <c r="B299" s="54"/>
      <c r="C299" s="73">
        <v>4700</v>
      </c>
      <c r="D299" s="76" t="s">
        <v>63</v>
      </c>
      <c r="E299" s="48">
        <v>15760</v>
      </c>
      <c r="F299" s="57"/>
      <c r="G299" s="57">
        <v>4572</v>
      </c>
      <c r="H299" s="57">
        <f t="shared" si="47"/>
        <v>11188</v>
      </c>
      <c r="I299" s="4"/>
      <c r="J299" s="17"/>
      <c r="K299" s="17"/>
    </row>
    <row r="300" spans="1:11" s="19" customFormat="1" ht="12" customHeight="1" x14ac:dyDescent="0.2">
      <c r="A300" s="51"/>
      <c r="B300" s="54"/>
      <c r="C300" s="53">
        <v>4710</v>
      </c>
      <c r="D300" s="71" t="s">
        <v>64</v>
      </c>
      <c r="E300" s="48">
        <v>2376</v>
      </c>
      <c r="F300" s="57"/>
      <c r="G300" s="57">
        <v>1250</v>
      </c>
      <c r="H300" s="57">
        <f t="shared" si="47"/>
        <v>1126</v>
      </c>
      <c r="I300" s="4"/>
      <c r="J300" s="17"/>
      <c r="K300" s="17"/>
    </row>
    <row r="301" spans="1:11" s="19" customFormat="1" ht="12" customHeight="1" x14ac:dyDescent="0.2">
      <c r="A301" s="51"/>
      <c r="B301" s="54"/>
      <c r="C301" s="53"/>
      <c r="D301" s="430" t="s">
        <v>162</v>
      </c>
      <c r="E301" s="100">
        <v>0</v>
      </c>
      <c r="F301" s="100">
        <f>SUM(F302:F304)</f>
        <v>59488.130000000005</v>
      </c>
      <c r="G301" s="100">
        <f>SUM(G302:G304)</f>
        <v>0</v>
      </c>
      <c r="H301" s="421">
        <f>SUM(E301+F301-G301)</f>
        <v>59488.130000000005</v>
      </c>
      <c r="I301" s="4"/>
      <c r="J301" s="17"/>
      <c r="K301" s="17"/>
    </row>
    <row r="302" spans="1:11" s="19" customFormat="1" ht="12" customHeight="1" x14ac:dyDescent="0.2">
      <c r="A302" s="51"/>
      <c r="B302" s="54"/>
      <c r="C302" s="53">
        <v>4580</v>
      </c>
      <c r="D302" s="72" t="s">
        <v>125</v>
      </c>
      <c r="E302" s="48">
        <v>0</v>
      </c>
      <c r="F302" s="48">
        <v>11969.46</v>
      </c>
      <c r="G302" s="48"/>
      <c r="H302" s="48">
        <f t="shared" ref="H302:H352" si="48">SUM(E302+F302-G302)</f>
        <v>11969.46</v>
      </c>
      <c r="I302" s="4"/>
      <c r="J302" s="17"/>
      <c r="K302" s="17"/>
    </row>
    <row r="303" spans="1:11" s="19" customFormat="1" ht="12" customHeight="1" x14ac:dyDescent="0.2">
      <c r="A303" s="51"/>
      <c r="B303" s="54"/>
      <c r="C303" s="53">
        <v>4590</v>
      </c>
      <c r="D303" s="72" t="s">
        <v>163</v>
      </c>
      <c r="E303" s="48">
        <v>0</v>
      </c>
      <c r="F303" s="48">
        <v>40999.050000000003</v>
      </c>
      <c r="G303" s="48"/>
      <c r="H303" s="48">
        <f t="shared" si="48"/>
        <v>40999.050000000003</v>
      </c>
      <c r="I303" s="4"/>
      <c r="J303" s="17"/>
      <c r="K303" s="17"/>
    </row>
    <row r="304" spans="1:11" s="19" customFormat="1" ht="12" customHeight="1" x14ac:dyDescent="0.2">
      <c r="A304" s="51"/>
      <c r="B304" s="54"/>
      <c r="C304" s="53">
        <v>4610</v>
      </c>
      <c r="D304" s="80" t="s">
        <v>69</v>
      </c>
      <c r="E304" s="56">
        <v>0</v>
      </c>
      <c r="F304" s="57">
        <v>6519.62</v>
      </c>
      <c r="G304" s="57"/>
      <c r="H304" s="48">
        <f t="shared" si="48"/>
        <v>6519.62</v>
      </c>
      <c r="I304" s="4"/>
      <c r="J304" s="17"/>
      <c r="K304" s="17"/>
    </row>
    <row r="305" spans="1:11" s="19" customFormat="1" ht="12" customHeight="1" thickBot="1" x14ac:dyDescent="0.25">
      <c r="A305" s="50">
        <v>900</v>
      </c>
      <c r="B305" s="50"/>
      <c r="C305" s="51"/>
      <c r="D305" s="52" t="s">
        <v>164</v>
      </c>
      <c r="E305" s="36">
        <v>74377365.549999997</v>
      </c>
      <c r="F305" s="39">
        <f>SUM(F306)</f>
        <v>34000</v>
      </c>
      <c r="G305" s="39">
        <f>SUM(G306)</f>
        <v>34000</v>
      </c>
      <c r="H305" s="36">
        <f t="shared" si="48"/>
        <v>74377365.549999997</v>
      </c>
      <c r="I305" s="4"/>
      <c r="J305" s="17"/>
      <c r="K305" s="17"/>
    </row>
    <row r="306" spans="1:11" s="19" customFormat="1" ht="12" customHeight="1" thickTop="1" x14ac:dyDescent="0.2">
      <c r="A306" s="104"/>
      <c r="B306" s="54">
        <v>90095</v>
      </c>
      <c r="C306" s="51"/>
      <c r="D306" s="85" t="s">
        <v>40</v>
      </c>
      <c r="E306" s="42">
        <v>32127391.549999997</v>
      </c>
      <c r="F306" s="42">
        <f>SUM(F307,F309,F311)</f>
        <v>34000</v>
      </c>
      <c r="G306" s="42">
        <f>SUM(G307,G309,G311)</f>
        <v>34000</v>
      </c>
      <c r="H306" s="42">
        <f t="shared" si="48"/>
        <v>32127391.549999997</v>
      </c>
      <c r="I306" s="4"/>
      <c r="J306" s="17"/>
      <c r="K306" s="17"/>
    </row>
    <row r="307" spans="1:11" s="19" customFormat="1" ht="12.75" customHeight="1" x14ac:dyDescent="0.2">
      <c r="A307" s="104"/>
      <c r="B307" s="54"/>
      <c r="C307" s="53"/>
      <c r="D307" s="424" t="s">
        <v>165</v>
      </c>
      <c r="E307" s="100">
        <v>7052074</v>
      </c>
      <c r="F307" s="100">
        <f>SUM(F308:F308)</f>
        <v>2000</v>
      </c>
      <c r="G307" s="100">
        <f>SUM(G308:G308)</f>
        <v>0</v>
      </c>
      <c r="H307" s="100">
        <f t="shared" si="48"/>
        <v>7054074</v>
      </c>
      <c r="I307" s="4"/>
      <c r="J307" s="17"/>
      <c r="K307" s="17"/>
    </row>
    <row r="308" spans="1:11" s="19" customFormat="1" ht="12" customHeight="1" x14ac:dyDescent="0.2">
      <c r="A308" s="104"/>
      <c r="B308" s="54"/>
      <c r="C308" s="53">
        <v>4430</v>
      </c>
      <c r="D308" s="72" t="s">
        <v>57</v>
      </c>
      <c r="E308" s="57">
        <v>105000</v>
      </c>
      <c r="F308" s="57">
        <v>2000</v>
      </c>
      <c r="G308" s="57"/>
      <c r="H308" s="57">
        <f t="shared" si="48"/>
        <v>107000</v>
      </c>
      <c r="I308" s="4"/>
      <c r="J308" s="17"/>
      <c r="K308" s="17"/>
    </row>
    <row r="309" spans="1:11" s="19" customFormat="1" ht="33" customHeight="1" x14ac:dyDescent="0.2">
      <c r="A309" s="104"/>
      <c r="B309" s="54"/>
      <c r="C309" s="53"/>
      <c r="D309" s="424" t="s">
        <v>166</v>
      </c>
      <c r="E309" s="100">
        <v>289400</v>
      </c>
      <c r="F309" s="100">
        <f>SUM(F310)</f>
        <v>0</v>
      </c>
      <c r="G309" s="100">
        <f>SUM(G310)</f>
        <v>2000</v>
      </c>
      <c r="H309" s="100">
        <f t="shared" si="48"/>
        <v>287400</v>
      </c>
      <c r="I309" s="4"/>
      <c r="J309" s="17"/>
      <c r="K309" s="17"/>
    </row>
    <row r="310" spans="1:11" s="19" customFormat="1" ht="12" customHeight="1" x14ac:dyDescent="0.2">
      <c r="A310" s="104"/>
      <c r="B310" s="54"/>
      <c r="C310" s="53">
        <v>4430</v>
      </c>
      <c r="D310" s="72" t="s">
        <v>57</v>
      </c>
      <c r="E310" s="57">
        <v>24000</v>
      </c>
      <c r="F310" s="57"/>
      <c r="G310" s="57">
        <v>2000</v>
      </c>
      <c r="H310" s="57">
        <f t="shared" si="48"/>
        <v>22000</v>
      </c>
      <c r="I310" s="4"/>
      <c r="J310" s="17"/>
      <c r="K310" s="17"/>
    </row>
    <row r="311" spans="1:11" s="19" customFormat="1" ht="12" customHeight="1" x14ac:dyDescent="0.2">
      <c r="A311" s="104"/>
      <c r="B311" s="54"/>
      <c r="C311" s="32"/>
      <c r="D311" s="433" t="s">
        <v>167</v>
      </c>
      <c r="E311" s="100">
        <v>1060364.54</v>
      </c>
      <c r="F311" s="100">
        <f>SUM(F312)</f>
        <v>32000</v>
      </c>
      <c r="G311" s="100">
        <f>SUM(G312)</f>
        <v>32000</v>
      </c>
      <c r="H311" s="100">
        <f>SUM(E311+F311-G311)</f>
        <v>1060364.54</v>
      </c>
      <c r="I311" s="4"/>
      <c r="J311" s="17"/>
      <c r="K311" s="17"/>
    </row>
    <row r="312" spans="1:11" s="19" customFormat="1" ht="45" customHeight="1" x14ac:dyDescent="0.2">
      <c r="A312" s="105"/>
      <c r="B312" s="63"/>
      <c r="C312" s="106">
        <v>6230</v>
      </c>
      <c r="D312" s="107" t="s">
        <v>168</v>
      </c>
      <c r="E312" s="90">
        <v>667500</v>
      </c>
      <c r="F312" s="68">
        <v>32000</v>
      </c>
      <c r="G312" s="68">
        <v>32000</v>
      </c>
      <c r="H312" s="43">
        <f>SUM(E312+F312-G312)</f>
        <v>667500</v>
      </c>
      <c r="I312" s="4"/>
      <c r="J312" s="17"/>
      <c r="K312" s="17"/>
    </row>
    <row r="313" spans="1:11" s="19" customFormat="1" ht="12" customHeight="1" thickBot="1" x14ac:dyDescent="0.25">
      <c r="A313" s="49">
        <v>921</v>
      </c>
      <c r="B313" s="49"/>
      <c r="C313" s="51"/>
      <c r="D313" s="52" t="s">
        <v>169</v>
      </c>
      <c r="E313" s="36">
        <v>11821839.02</v>
      </c>
      <c r="F313" s="36">
        <f>SUM(F314,F317)</f>
        <v>40000</v>
      </c>
      <c r="G313" s="36">
        <f>SUM(G314,G317)</f>
        <v>40000</v>
      </c>
      <c r="H313" s="36">
        <f t="shared" ref="H313:H319" si="49">SUM(E313+F313-G313)</f>
        <v>11821839.02</v>
      </c>
      <c r="I313" s="4"/>
      <c r="J313" s="17"/>
      <c r="K313" s="17"/>
    </row>
    <row r="314" spans="1:11" s="19" customFormat="1" ht="12" customHeight="1" thickTop="1" x14ac:dyDescent="0.2">
      <c r="A314" s="104"/>
      <c r="B314" s="75">
        <v>92116</v>
      </c>
      <c r="C314" s="78"/>
      <c r="D314" s="79" t="s">
        <v>170</v>
      </c>
      <c r="E314" s="42">
        <v>4223968.16</v>
      </c>
      <c r="F314" s="42">
        <f>SUM(F315)</f>
        <v>40000</v>
      </c>
      <c r="G314" s="42">
        <f>SUM(G315)</f>
        <v>0</v>
      </c>
      <c r="H314" s="42">
        <f t="shared" si="49"/>
        <v>4263968.16</v>
      </c>
      <c r="I314" s="4"/>
      <c r="J314" s="17"/>
      <c r="K314" s="17"/>
    </row>
    <row r="315" spans="1:11" s="19" customFormat="1" ht="12" customHeight="1" x14ac:dyDescent="0.2">
      <c r="A315" s="104"/>
      <c r="B315" s="108"/>
      <c r="C315" s="75"/>
      <c r="D315" s="436" t="s">
        <v>171</v>
      </c>
      <c r="E315" s="421">
        <v>4223968.16</v>
      </c>
      <c r="F315" s="427">
        <f>SUM(F316:F316)</f>
        <v>40000</v>
      </c>
      <c r="G315" s="427">
        <f>SUM(G316:G316)</f>
        <v>0</v>
      </c>
      <c r="H315" s="100">
        <f t="shared" si="49"/>
        <v>4263968.16</v>
      </c>
      <c r="I315" s="4"/>
      <c r="J315" s="17"/>
      <c r="K315" s="17"/>
    </row>
    <row r="316" spans="1:11" s="19" customFormat="1" ht="22.5" customHeight="1" x14ac:dyDescent="0.2">
      <c r="A316" s="104"/>
      <c r="B316" s="108"/>
      <c r="C316" s="45" t="s">
        <v>172</v>
      </c>
      <c r="D316" s="109" t="s">
        <v>173</v>
      </c>
      <c r="E316" s="57">
        <v>15000</v>
      </c>
      <c r="F316" s="57">
        <v>40000</v>
      </c>
      <c r="G316" s="57"/>
      <c r="H316" s="57">
        <f t="shared" si="49"/>
        <v>55000</v>
      </c>
      <c r="I316" s="4"/>
      <c r="J316" s="17"/>
      <c r="K316" s="17"/>
    </row>
    <row r="317" spans="1:11" s="19" customFormat="1" ht="12" customHeight="1" x14ac:dyDescent="0.2">
      <c r="A317" s="104"/>
      <c r="B317" s="75">
        <v>92195</v>
      </c>
      <c r="C317" s="78"/>
      <c r="D317" s="85" t="s">
        <v>40</v>
      </c>
      <c r="E317" s="42">
        <v>972066.26</v>
      </c>
      <c r="F317" s="42">
        <f>SUM(F318)</f>
        <v>0</v>
      </c>
      <c r="G317" s="42">
        <f>SUM(G318)</f>
        <v>40000</v>
      </c>
      <c r="H317" s="42">
        <f t="shared" si="49"/>
        <v>932066.26</v>
      </c>
      <c r="I317" s="4"/>
      <c r="J317" s="17"/>
      <c r="K317" s="17"/>
    </row>
    <row r="318" spans="1:11" s="19" customFormat="1" ht="12" customHeight="1" x14ac:dyDescent="0.2">
      <c r="A318" s="104"/>
      <c r="B318" s="108"/>
      <c r="C318" s="75"/>
      <c r="D318" s="436" t="s">
        <v>171</v>
      </c>
      <c r="E318" s="421">
        <v>651530</v>
      </c>
      <c r="F318" s="427">
        <f>SUM(F319:F319)</f>
        <v>0</v>
      </c>
      <c r="G318" s="427">
        <f>SUM(G319:G319)</f>
        <v>40000</v>
      </c>
      <c r="H318" s="100">
        <f t="shared" si="49"/>
        <v>611530</v>
      </c>
      <c r="I318" s="4"/>
      <c r="J318" s="17"/>
      <c r="K318" s="17"/>
    </row>
    <row r="319" spans="1:11" s="19" customFormat="1" ht="12" customHeight="1" x14ac:dyDescent="0.2">
      <c r="A319" s="104"/>
      <c r="B319" s="108"/>
      <c r="C319" s="53">
        <v>4300</v>
      </c>
      <c r="D319" s="72" t="s">
        <v>55</v>
      </c>
      <c r="E319" s="57">
        <v>382800</v>
      </c>
      <c r="F319" s="57"/>
      <c r="G319" s="57">
        <v>40000</v>
      </c>
      <c r="H319" s="57">
        <f t="shared" si="49"/>
        <v>342800</v>
      </c>
      <c r="I319" s="4"/>
      <c r="J319" s="17"/>
      <c r="K319" s="17"/>
    </row>
    <row r="320" spans="1:11" s="19" customFormat="1" ht="18.600000000000001" customHeight="1" thickBot="1" x14ac:dyDescent="0.25">
      <c r="A320" s="104"/>
      <c r="B320" s="54"/>
      <c r="C320" s="53"/>
      <c r="D320" s="35" t="s">
        <v>174</v>
      </c>
      <c r="E320" s="36">
        <v>81925879.729999989</v>
      </c>
      <c r="F320" s="36">
        <f>SUM(F321,F328,F335)</f>
        <v>309638.89</v>
      </c>
      <c r="G320" s="36">
        <f>SUM(G321,G328,G335)</f>
        <v>13531</v>
      </c>
      <c r="H320" s="36">
        <f t="shared" si="48"/>
        <v>82221987.61999999</v>
      </c>
      <c r="I320" s="4"/>
      <c r="J320" s="17"/>
      <c r="K320" s="17"/>
    </row>
    <row r="321" spans="1:11" s="19" customFormat="1" ht="18.600000000000001" customHeight="1" thickTop="1" thickBot="1" x14ac:dyDescent="0.25">
      <c r="A321" s="50">
        <v>750</v>
      </c>
      <c r="B321" s="50"/>
      <c r="C321" s="51"/>
      <c r="D321" s="52" t="s">
        <v>35</v>
      </c>
      <c r="E321" s="36">
        <v>1674416.3599999999</v>
      </c>
      <c r="F321" s="36">
        <f>SUM(F322)</f>
        <v>1431.8899999999999</v>
      </c>
      <c r="G321" s="36">
        <f>SUM(G322)</f>
        <v>0</v>
      </c>
      <c r="H321" s="36">
        <f t="shared" si="48"/>
        <v>1675848.2499999998</v>
      </c>
      <c r="I321" s="4"/>
      <c r="J321" s="17"/>
      <c r="K321" s="17"/>
    </row>
    <row r="322" spans="1:11" s="19" customFormat="1" ht="12" customHeight="1" thickTop="1" x14ac:dyDescent="0.2">
      <c r="A322" s="50"/>
      <c r="B322" s="53">
        <v>75011</v>
      </c>
      <c r="C322" s="40"/>
      <c r="D322" s="62" t="s">
        <v>36</v>
      </c>
      <c r="E322" s="68">
        <v>1674416.3599999999</v>
      </c>
      <c r="F322" s="43">
        <f>SUM(F323)</f>
        <v>1431.8899999999999</v>
      </c>
      <c r="G322" s="43">
        <f>SUM(G323)</f>
        <v>0</v>
      </c>
      <c r="H322" s="42">
        <f t="shared" si="48"/>
        <v>1675848.2499999998</v>
      </c>
      <c r="I322" s="4"/>
      <c r="J322" s="17"/>
      <c r="K322" s="17"/>
    </row>
    <row r="323" spans="1:11" s="19" customFormat="1" ht="20.25" customHeight="1" x14ac:dyDescent="0.2">
      <c r="A323" s="50"/>
      <c r="B323" s="50"/>
      <c r="C323" s="32"/>
      <c r="D323" s="437" t="s">
        <v>175</v>
      </c>
      <c r="E323" s="432">
        <v>12016.36</v>
      </c>
      <c r="F323" s="427">
        <f>SUM(F324:F326)</f>
        <v>1431.8899999999999</v>
      </c>
      <c r="G323" s="427">
        <f>SUM(G324:G326)</f>
        <v>0</v>
      </c>
      <c r="H323" s="100">
        <f t="shared" si="48"/>
        <v>13448.25</v>
      </c>
      <c r="I323" s="4"/>
      <c r="J323" s="17"/>
      <c r="K323" s="17"/>
    </row>
    <row r="324" spans="1:11" s="19" customFormat="1" ht="12" customHeight="1" x14ac:dyDescent="0.2">
      <c r="A324" s="50"/>
      <c r="B324" s="50"/>
      <c r="C324" s="53">
        <v>4010</v>
      </c>
      <c r="D324" s="72" t="s">
        <v>75</v>
      </c>
      <c r="E324" s="47">
        <v>10043.77</v>
      </c>
      <c r="F324" s="47">
        <v>1196.83</v>
      </c>
      <c r="G324" s="47"/>
      <c r="H324" s="57">
        <f t="shared" si="48"/>
        <v>11240.6</v>
      </c>
      <c r="I324" s="4"/>
      <c r="J324" s="17"/>
      <c r="K324" s="17"/>
    </row>
    <row r="325" spans="1:11" s="19" customFormat="1" ht="12" customHeight="1" x14ac:dyDescent="0.2">
      <c r="A325" s="50"/>
      <c r="B325" s="50"/>
      <c r="C325" s="53">
        <v>4110</v>
      </c>
      <c r="D325" s="72" t="s">
        <v>91</v>
      </c>
      <c r="E325" s="47">
        <v>1726.53</v>
      </c>
      <c r="F325" s="47">
        <v>205.74</v>
      </c>
      <c r="G325" s="47"/>
      <c r="H325" s="57">
        <f t="shared" si="48"/>
        <v>1932.27</v>
      </c>
      <c r="I325" s="4"/>
      <c r="J325" s="17"/>
      <c r="K325" s="17"/>
    </row>
    <row r="326" spans="1:11" s="19" customFormat="1" ht="12" customHeight="1" x14ac:dyDescent="0.2">
      <c r="A326" s="50"/>
      <c r="B326" s="54"/>
      <c r="C326" s="53">
        <v>4120</v>
      </c>
      <c r="D326" s="72" t="s">
        <v>77</v>
      </c>
      <c r="E326" s="47">
        <v>246.06</v>
      </c>
      <c r="F326" s="47">
        <v>29.32</v>
      </c>
      <c r="G326" s="47"/>
      <c r="H326" s="57">
        <f t="shared" si="48"/>
        <v>275.38</v>
      </c>
      <c r="I326" s="4"/>
      <c r="J326" s="17"/>
      <c r="K326" s="17"/>
    </row>
    <row r="327" spans="1:11" s="19" customFormat="1" ht="12" customHeight="1" x14ac:dyDescent="0.2">
      <c r="A327" s="50">
        <v>754</v>
      </c>
      <c r="B327" s="50"/>
      <c r="C327" s="51"/>
      <c r="D327" s="52" t="s">
        <v>38</v>
      </c>
      <c r="E327" s="47"/>
      <c r="F327" s="56"/>
      <c r="G327" s="56"/>
      <c r="H327" s="47"/>
      <c r="I327" s="4"/>
      <c r="J327" s="17"/>
      <c r="K327" s="17"/>
    </row>
    <row r="328" spans="1:11" s="19" customFormat="1" ht="12" customHeight="1" thickBot="1" x14ac:dyDescent="0.25">
      <c r="A328" s="50"/>
      <c r="B328" s="50"/>
      <c r="C328" s="51"/>
      <c r="D328" s="52" t="s">
        <v>39</v>
      </c>
      <c r="E328" s="39">
        <v>1227464</v>
      </c>
      <c r="F328" s="39">
        <f>SUM(F329)</f>
        <v>291784</v>
      </c>
      <c r="G328" s="39">
        <f>SUM(G329)</f>
        <v>0</v>
      </c>
      <c r="H328" s="39">
        <f>SUM(E328+F328-G328)</f>
        <v>1519248</v>
      </c>
      <c r="I328" s="4"/>
      <c r="J328" s="17"/>
      <c r="K328" s="17"/>
    </row>
    <row r="329" spans="1:11" s="19" customFormat="1" ht="12" customHeight="1" thickTop="1" x14ac:dyDescent="0.2">
      <c r="A329" s="54"/>
      <c r="B329" s="54">
        <v>75495</v>
      </c>
      <c r="C329" s="32"/>
      <c r="D329" s="41" t="s">
        <v>40</v>
      </c>
      <c r="E329" s="42">
        <v>1227464</v>
      </c>
      <c r="F329" s="43">
        <f>SUM(F330)</f>
        <v>291784</v>
      </c>
      <c r="G329" s="43">
        <f>SUM(G330)</f>
        <v>0</v>
      </c>
      <c r="H329" s="42">
        <f>SUM(E329+F329-G329)</f>
        <v>1519248</v>
      </c>
      <c r="I329" s="4"/>
      <c r="J329" s="17"/>
      <c r="K329" s="17"/>
    </row>
    <row r="330" spans="1:11" s="19" customFormat="1" ht="23.25" customHeight="1" x14ac:dyDescent="0.2">
      <c r="A330" s="31"/>
      <c r="B330" s="50"/>
      <c r="C330" s="70"/>
      <c r="D330" s="424" t="s">
        <v>176</v>
      </c>
      <c r="E330" s="421">
        <v>767024</v>
      </c>
      <c r="F330" s="422">
        <f>SUM(F331:F334)</f>
        <v>291784</v>
      </c>
      <c r="G330" s="422">
        <f>SUM(G331:G334)</f>
        <v>0</v>
      </c>
      <c r="H330" s="421">
        <f t="shared" ref="H330:H334" si="50">SUM(E330+F330-G330)</f>
        <v>1058808</v>
      </c>
      <c r="I330" s="4"/>
      <c r="J330" s="17"/>
      <c r="K330" s="17"/>
    </row>
    <row r="331" spans="1:11" s="19" customFormat="1" ht="12" customHeight="1" x14ac:dyDescent="0.2">
      <c r="A331" s="31"/>
      <c r="B331" s="50"/>
      <c r="C331" s="53">
        <v>3110</v>
      </c>
      <c r="D331" s="72" t="s">
        <v>140</v>
      </c>
      <c r="E331" s="48">
        <v>765520</v>
      </c>
      <c r="F331" s="47">
        <v>289960</v>
      </c>
      <c r="G331" s="47"/>
      <c r="H331" s="48">
        <f t="shared" si="50"/>
        <v>1055480</v>
      </c>
      <c r="I331" s="4"/>
      <c r="J331" s="17"/>
      <c r="K331" s="17"/>
    </row>
    <row r="332" spans="1:11" s="19" customFormat="1" ht="12" customHeight="1" x14ac:dyDescent="0.2">
      <c r="A332" s="31"/>
      <c r="B332" s="50"/>
      <c r="C332" s="53">
        <v>4010</v>
      </c>
      <c r="D332" s="72" t="s">
        <v>75</v>
      </c>
      <c r="E332" s="56">
        <v>1254</v>
      </c>
      <c r="F332" s="56">
        <v>1520</v>
      </c>
      <c r="G332" s="57"/>
      <c r="H332" s="56">
        <f t="shared" si="50"/>
        <v>2774</v>
      </c>
      <c r="I332" s="4"/>
      <c r="J332" s="17"/>
      <c r="K332" s="17"/>
    </row>
    <row r="333" spans="1:11" s="19" customFormat="1" ht="12" customHeight="1" x14ac:dyDescent="0.2">
      <c r="A333" s="31"/>
      <c r="B333" s="50"/>
      <c r="C333" s="53">
        <v>4110</v>
      </c>
      <c r="D333" s="72" t="s">
        <v>91</v>
      </c>
      <c r="E333" s="56">
        <v>219</v>
      </c>
      <c r="F333" s="56">
        <v>266</v>
      </c>
      <c r="G333" s="57"/>
      <c r="H333" s="56">
        <f t="shared" si="50"/>
        <v>485</v>
      </c>
      <c r="I333" s="4"/>
      <c r="J333" s="17"/>
      <c r="K333" s="17"/>
    </row>
    <row r="334" spans="1:11" s="19" customFormat="1" ht="12" customHeight="1" x14ac:dyDescent="0.2">
      <c r="A334" s="31"/>
      <c r="B334" s="50"/>
      <c r="C334" s="53">
        <v>4120</v>
      </c>
      <c r="D334" s="72" t="s">
        <v>92</v>
      </c>
      <c r="E334" s="56">
        <v>31</v>
      </c>
      <c r="F334" s="56">
        <v>38</v>
      </c>
      <c r="G334" s="57"/>
      <c r="H334" s="56">
        <f t="shared" si="50"/>
        <v>69</v>
      </c>
      <c r="I334" s="4"/>
      <c r="J334" s="17"/>
      <c r="K334" s="17"/>
    </row>
    <row r="335" spans="1:11" s="19" customFormat="1" ht="12" customHeight="1" thickBot="1" x14ac:dyDescent="0.25">
      <c r="A335" s="51" t="s">
        <v>136</v>
      </c>
      <c r="B335" s="50"/>
      <c r="C335" s="51"/>
      <c r="D335" s="52" t="s">
        <v>21</v>
      </c>
      <c r="E335" s="36">
        <v>7995244.1799999997</v>
      </c>
      <c r="F335" s="36">
        <f>SUM(F336,F342,F346)</f>
        <v>16423</v>
      </c>
      <c r="G335" s="36">
        <f>SUM(G336,G342,G346)</f>
        <v>13531</v>
      </c>
      <c r="H335" s="36">
        <f t="shared" si="48"/>
        <v>7998136.1799999997</v>
      </c>
      <c r="I335" s="4"/>
      <c r="J335" s="17"/>
      <c r="K335" s="17"/>
    </row>
    <row r="336" spans="1:11" s="19" customFormat="1" ht="12" customHeight="1" thickTop="1" x14ac:dyDescent="0.2">
      <c r="A336" s="51"/>
      <c r="B336" s="54">
        <v>85203</v>
      </c>
      <c r="C336" s="32"/>
      <c r="D336" s="81" t="s">
        <v>177</v>
      </c>
      <c r="E336" s="68">
        <v>1067344</v>
      </c>
      <c r="F336" s="43">
        <f>SUM(F337)</f>
        <v>6012</v>
      </c>
      <c r="G336" s="43">
        <f>SUM(G337)</f>
        <v>6012</v>
      </c>
      <c r="H336" s="42">
        <f t="shared" si="48"/>
        <v>1067344</v>
      </c>
      <c r="I336" s="4"/>
      <c r="J336" s="17"/>
      <c r="K336" s="17"/>
    </row>
    <row r="337" spans="1:11" s="19" customFormat="1" ht="12" customHeight="1" x14ac:dyDescent="0.2">
      <c r="A337" s="51"/>
      <c r="B337" s="54"/>
      <c r="C337" s="32"/>
      <c r="D337" s="425" t="s">
        <v>178</v>
      </c>
      <c r="E337" s="432">
        <v>955644</v>
      </c>
      <c r="F337" s="427">
        <f>SUM(F338:F341)</f>
        <v>6012</v>
      </c>
      <c r="G337" s="427">
        <f>SUM(G338:G341)</f>
        <v>6012</v>
      </c>
      <c r="H337" s="100">
        <f t="shared" si="48"/>
        <v>955644</v>
      </c>
      <c r="I337" s="4"/>
      <c r="J337" s="17"/>
      <c r="K337" s="17"/>
    </row>
    <row r="338" spans="1:11" s="19" customFormat="1" ht="12" customHeight="1" x14ac:dyDescent="0.2">
      <c r="A338" s="51"/>
      <c r="B338" s="54"/>
      <c r="C338" s="53">
        <v>4010</v>
      </c>
      <c r="D338" s="72" t="s">
        <v>75</v>
      </c>
      <c r="E338" s="48">
        <v>618412</v>
      </c>
      <c r="F338" s="47">
        <v>5000</v>
      </c>
      <c r="G338" s="47"/>
      <c r="H338" s="47">
        <f t="shared" si="48"/>
        <v>623412</v>
      </c>
      <c r="I338" s="4"/>
      <c r="J338" s="17"/>
      <c r="K338" s="17"/>
    </row>
    <row r="339" spans="1:11" s="19" customFormat="1" ht="12" customHeight="1" x14ac:dyDescent="0.2">
      <c r="A339" s="51"/>
      <c r="B339" s="54"/>
      <c r="C339" s="53">
        <v>4110</v>
      </c>
      <c r="D339" s="72" t="s">
        <v>91</v>
      </c>
      <c r="E339" s="48">
        <v>113577</v>
      </c>
      <c r="F339" s="47">
        <v>887</v>
      </c>
      <c r="G339" s="47"/>
      <c r="H339" s="47">
        <f t="shared" si="48"/>
        <v>114464</v>
      </c>
      <c r="I339" s="4"/>
      <c r="J339" s="17"/>
      <c r="K339" s="17"/>
    </row>
    <row r="340" spans="1:11" s="19" customFormat="1" ht="12" customHeight="1" x14ac:dyDescent="0.2">
      <c r="A340" s="51"/>
      <c r="B340" s="54"/>
      <c r="C340" s="53">
        <v>4120</v>
      </c>
      <c r="D340" s="72" t="s">
        <v>92</v>
      </c>
      <c r="E340" s="48">
        <v>14865</v>
      </c>
      <c r="F340" s="47">
        <v>125</v>
      </c>
      <c r="G340" s="47"/>
      <c r="H340" s="47">
        <f t="shared" si="48"/>
        <v>14990</v>
      </c>
      <c r="I340" s="4"/>
      <c r="J340" s="17"/>
      <c r="K340" s="17"/>
    </row>
    <row r="341" spans="1:11" s="19" customFormat="1" ht="12" customHeight="1" x14ac:dyDescent="0.2">
      <c r="A341" s="51"/>
      <c r="B341" s="50"/>
      <c r="C341" s="70" t="s">
        <v>52</v>
      </c>
      <c r="D341" s="71" t="s">
        <v>53</v>
      </c>
      <c r="E341" s="47">
        <v>46088</v>
      </c>
      <c r="F341" s="48"/>
      <c r="G341" s="48">
        <v>6012</v>
      </c>
      <c r="H341" s="47">
        <f t="shared" si="48"/>
        <v>40076</v>
      </c>
      <c r="I341" s="4"/>
      <c r="J341" s="17"/>
      <c r="K341" s="17"/>
    </row>
    <row r="342" spans="1:11" s="19" customFormat="1" ht="12" customHeight="1" x14ac:dyDescent="0.2">
      <c r="A342" s="51"/>
      <c r="B342" s="54">
        <v>85219</v>
      </c>
      <c r="C342" s="32"/>
      <c r="D342" s="58" t="s">
        <v>44</v>
      </c>
      <c r="E342" s="68">
        <v>14684</v>
      </c>
      <c r="F342" s="43">
        <f t="shared" ref="F342:G342" si="51">SUM(F343)</f>
        <v>2892</v>
      </c>
      <c r="G342" s="43">
        <f t="shared" si="51"/>
        <v>0</v>
      </c>
      <c r="H342" s="42">
        <f t="shared" si="48"/>
        <v>17576</v>
      </c>
      <c r="I342" s="4"/>
      <c r="J342" s="17"/>
      <c r="K342" s="17"/>
    </row>
    <row r="343" spans="1:11" s="19" customFormat="1" ht="12" customHeight="1" x14ac:dyDescent="0.2">
      <c r="A343" s="51"/>
      <c r="B343" s="50"/>
      <c r="C343" s="32"/>
      <c r="D343" s="425" t="s">
        <v>179</v>
      </c>
      <c r="E343" s="432">
        <v>14684</v>
      </c>
      <c r="F343" s="427">
        <f>SUM(F344:F345)</f>
        <v>2892</v>
      </c>
      <c r="G343" s="427">
        <f>SUM(G344:G345)</f>
        <v>0</v>
      </c>
      <c r="H343" s="100">
        <f t="shared" si="48"/>
        <v>17576</v>
      </c>
      <c r="I343" s="4"/>
      <c r="J343" s="17"/>
      <c r="K343" s="17"/>
    </row>
    <row r="344" spans="1:11" s="19" customFormat="1" ht="12" customHeight="1" x14ac:dyDescent="0.2">
      <c r="A344" s="51"/>
      <c r="B344" s="50"/>
      <c r="C344" s="53">
        <v>3110</v>
      </c>
      <c r="D344" s="72" t="s">
        <v>140</v>
      </c>
      <c r="E344" s="47">
        <v>14467</v>
      </c>
      <c r="F344" s="47">
        <v>2850</v>
      </c>
      <c r="G344" s="96"/>
      <c r="H344" s="57">
        <f t="shared" si="48"/>
        <v>17317</v>
      </c>
      <c r="I344" s="4"/>
      <c r="J344" s="17"/>
      <c r="K344" s="17"/>
    </row>
    <row r="345" spans="1:11" s="19" customFormat="1" ht="12" customHeight="1" x14ac:dyDescent="0.2">
      <c r="A345" s="51"/>
      <c r="B345" s="50"/>
      <c r="C345" s="75">
        <v>4210</v>
      </c>
      <c r="D345" s="71" t="s">
        <v>53</v>
      </c>
      <c r="E345" s="47">
        <v>217</v>
      </c>
      <c r="F345" s="47">
        <v>42</v>
      </c>
      <c r="G345" s="96"/>
      <c r="H345" s="57">
        <f t="shared" si="48"/>
        <v>259</v>
      </c>
      <c r="I345" s="4"/>
      <c r="J345" s="17"/>
      <c r="K345" s="17"/>
    </row>
    <row r="346" spans="1:11" s="19" customFormat="1" ht="12" customHeight="1" x14ac:dyDescent="0.2">
      <c r="A346" s="110"/>
      <c r="B346" s="54">
        <v>85295</v>
      </c>
      <c r="C346" s="32"/>
      <c r="D346" s="41" t="s">
        <v>40</v>
      </c>
      <c r="E346" s="68">
        <v>4080000</v>
      </c>
      <c r="F346" s="43">
        <f t="shared" ref="F346:G346" si="52">SUM(F347)</f>
        <v>7519</v>
      </c>
      <c r="G346" s="43">
        <f t="shared" si="52"/>
        <v>7519</v>
      </c>
      <c r="H346" s="42">
        <f t="shared" si="48"/>
        <v>4080000</v>
      </c>
      <c r="I346" s="4"/>
      <c r="J346" s="17"/>
      <c r="K346" s="17"/>
    </row>
    <row r="347" spans="1:11" s="19" customFormat="1" ht="12" customHeight="1" x14ac:dyDescent="0.2">
      <c r="A347" s="110"/>
      <c r="B347" s="50"/>
      <c r="C347" s="32"/>
      <c r="D347" s="425" t="s">
        <v>179</v>
      </c>
      <c r="E347" s="432">
        <v>4080000</v>
      </c>
      <c r="F347" s="427">
        <f>SUM(F348:F352)</f>
        <v>7519</v>
      </c>
      <c r="G347" s="427">
        <f>SUM(G348:G352)</f>
        <v>7519</v>
      </c>
      <c r="H347" s="100">
        <f t="shared" si="48"/>
        <v>4080000</v>
      </c>
      <c r="I347" s="4"/>
      <c r="J347" s="17"/>
      <c r="K347" s="17"/>
    </row>
    <row r="348" spans="1:11" s="19" customFormat="1" ht="12" customHeight="1" x14ac:dyDescent="0.2">
      <c r="A348" s="110"/>
      <c r="B348" s="50"/>
      <c r="C348" s="53">
        <v>4010</v>
      </c>
      <c r="D348" s="72" t="s">
        <v>75</v>
      </c>
      <c r="E348" s="47">
        <v>16208</v>
      </c>
      <c r="F348" s="47"/>
      <c r="G348" s="47">
        <v>6500</v>
      </c>
      <c r="H348" s="57">
        <f t="shared" si="48"/>
        <v>9708</v>
      </c>
      <c r="I348" s="4"/>
      <c r="J348" s="17"/>
      <c r="K348" s="17"/>
    </row>
    <row r="349" spans="1:11" s="19" customFormat="1" ht="12" customHeight="1" x14ac:dyDescent="0.2">
      <c r="A349" s="110"/>
      <c r="B349" s="50"/>
      <c r="C349" s="53">
        <v>4110</v>
      </c>
      <c r="D349" s="72" t="s">
        <v>91</v>
      </c>
      <c r="E349" s="47">
        <v>10486</v>
      </c>
      <c r="F349" s="47"/>
      <c r="G349" s="47">
        <v>219</v>
      </c>
      <c r="H349" s="57">
        <f t="shared" si="48"/>
        <v>10267</v>
      </c>
      <c r="I349" s="4"/>
      <c r="J349" s="17"/>
      <c r="K349" s="17"/>
    </row>
    <row r="350" spans="1:11" s="19" customFormat="1" ht="12" customHeight="1" x14ac:dyDescent="0.2">
      <c r="A350" s="110"/>
      <c r="B350" s="50"/>
      <c r="C350" s="53">
        <v>4120</v>
      </c>
      <c r="D350" s="72" t="s">
        <v>77</v>
      </c>
      <c r="E350" s="47">
        <v>1470</v>
      </c>
      <c r="F350" s="47"/>
      <c r="G350" s="47">
        <v>800</v>
      </c>
      <c r="H350" s="57">
        <f t="shared" si="48"/>
        <v>670</v>
      </c>
      <c r="I350" s="4"/>
      <c r="J350" s="17"/>
      <c r="K350" s="17"/>
    </row>
    <row r="351" spans="1:11" s="19" customFormat="1" ht="12" customHeight="1" x14ac:dyDescent="0.2">
      <c r="A351" s="110"/>
      <c r="B351" s="50"/>
      <c r="C351" s="53">
        <v>4170</v>
      </c>
      <c r="D351" s="72" t="s">
        <v>73</v>
      </c>
      <c r="E351" s="47">
        <v>43841</v>
      </c>
      <c r="F351" s="47">
        <v>3519</v>
      </c>
      <c r="G351" s="47"/>
      <c r="H351" s="57">
        <f t="shared" si="48"/>
        <v>47360</v>
      </c>
      <c r="I351" s="4"/>
      <c r="J351" s="17"/>
      <c r="K351" s="17"/>
    </row>
    <row r="352" spans="1:11" s="19" customFormat="1" ht="12" customHeight="1" x14ac:dyDescent="0.2">
      <c r="A352" s="110"/>
      <c r="B352" s="50"/>
      <c r="C352" s="75">
        <v>4210</v>
      </c>
      <c r="D352" s="71" t="s">
        <v>53</v>
      </c>
      <c r="E352" s="47">
        <v>7995</v>
      </c>
      <c r="F352" s="47">
        <v>4000</v>
      </c>
      <c r="G352" s="47"/>
      <c r="H352" s="57">
        <f t="shared" si="48"/>
        <v>11995</v>
      </c>
      <c r="I352" s="4"/>
      <c r="J352" s="17"/>
      <c r="K352" s="17"/>
    </row>
    <row r="353" spans="1:11" s="19" customFormat="1" ht="14.25" customHeight="1" thickBot="1" x14ac:dyDescent="0.25">
      <c r="A353" s="110"/>
      <c r="B353" s="54"/>
      <c r="C353" s="53"/>
      <c r="D353" s="35" t="s">
        <v>180</v>
      </c>
      <c r="E353" s="36">
        <v>18660505.710000001</v>
      </c>
      <c r="F353" s="36">
        <f>SUM(F355,F361)</f>
        <v>61600</v>
      </c>
      <c r="G353" s="36">
        <f>SUM(G355,G361)</f>
        <v>61600</v>
      </c>
      <c r="H353" s="36">
        <f>SUM(E353+F353-G353)</f>
        <v>18660505.710000001</v>
      </c>
      <c r="I353" s="4"/>
      <c r="J353" s="17"/>
      <c r="K353" s="17"/>
    </row>
    <row r="354" spans="1:11" s="19" customFormat="1" ht="15" customHeight="1" thickTop="1" x14ac:dyDescent="0.2">
      <c r="A354" s="50">
        <v>754</v>
      </c>
      <c r="B354" s="50"/>
      <c r="C354" s="51"/>
      <c r="D354" s="50" t="s">
        <v>181</v>
      </c>
      <c r="E354" s="47"/>
      <c r="F354" s="48"/>
      <c r="G354" s="48"/>
      <c r="H354" s="48"/>
      <c r="I354" s="4"/>
      <c r="J354" s="17"/>
      <c r="K354" s="17"/>
    </row>
    <row r="355" spans="1:11" s="19" customFormat="1" ht="11.25" customHeight="1" thickBot="1" x14ac:dyDescent="0.25">
      <c r="A355" s="50"/>
      <c r="B355" s="50"/>
      <c r="C355" s="51"/>
      <c r="D355" s="50" t="s">
        <v>39</v>
      </c>
      <c r="E355" s="39">
        <v>15310486</v>
      </c>
      <c r="F355" s="36">
        <f>SUM(F356)</f>
        <v>40000</v>
      </c>
      <c r="G355" s="36">
        <f>SUM(G356)</f>
        <v>40000</v>
      </c>
      <c r="H355" s="36">
        <f>SUM(E355+F355-G355)</f>
        <v>15310486</v>
      </c>
      <c r="I355" s="4"/>
      <c r="J355" s="17"/>
      <c r="K355" s="17"/>
    </row>
    <row r="356" spans="1:11" s="19" customFormat="1" ht="12" customHeight="1" thickTop="1" x14ac:dyDescent="0.2">
      <c r="A356" s="50"/>
      <c r="B356" s="54">
        <v>75411</v>
      </c>
      <c r="C356" s="53"/>
      <c r="D356" s="63" t="s">
        <v>182</v>
      </c>
      <c r="E356" s="43">
        <v>15310486</v>
      </c>
      <c r="F356" s="43">
        <f>SUM(F357)</f>
        <v>40000</v>
      </c>
      <c r="G356" s="43">
        <f>SUM(G357)</f>
        <v>40000</v>
      </c>
      <c r="H356" s="42">
        <f>SUM(E356+F356-G356)</f>
        <v>15310486</v>
      </c>
      <c r="I356" s="4"/>
      <c r="J356" s="17"/>
      <c r="K356" s="17"/>
    </row>
    <row r="357" spans="1:11" s="19" customFormat="1" ht="12" customHeight="1" x14ac:dyDescent="0.2">
      <c r="A357" s="50"/>
      <c r="B357" s="54"/>
      <c r="C357" s="53"/>
      <c r="D357" s="433" t="s">
        <v>183</v>
      </c>
      <c r="E357" s="427">
        <v>15310486</v>
      </c>
      <c r="F357" s="427">
        <f>SUM(F358:F360)</f>
        <v>40000</v>
      </c>
      <c r="G357" s="427">
        <f>SUM(G358:G360)</f>
        <v>40000</v>
      </c>
      <c r="H357" s="100">
        <f>SUM(E357+F357-G357)</f>
        <v>15310486</v>
      </c>
      <c r="I357" s="4"/>
      <c r="J357" s="17"/>
      <c r="K357" s="17"/>
    </row>
    <row r="358" spans="1:11" s="19" customFormat="1" ht="12" customHeight="1" x14ac:dyDescent="0.2">
      <c r="A358" s="104"/>
      <c r="B358" s="77"/>
      <c r="C358" s="70" t="s">
        <v>52</v>
      </c>
      <c r="D358" s="71" t="s">
        <v>53</v>
      </c>
      <c r="E358" s="57">
        <v>213323</v>
      </c>
      <c r="F358" s="57">
        <v>20000</v>
      </c>
      <c r="G358" s="57"/>
      <c r="H358" s="57">
        <f t="shared" ref="H358:H368" si="53">SUM(E358+F358-G358)</f>
        <v>233323</v>
      </c>
      <c r="I358" s="4"/>
      <c r="J358" s="17"/>
      <c r="K358" s="17"/>
    </row>
    <row r="359" spans="1:11" s="19" customFormat="1" ht="12" customHeight="1" x14ac:dyDescent="0.2">
      <c r="A359" s="104"/>
      <c r="B359" s="77"/>
      <c r="C359" s="53">
        <v>4260</v>
      </c>
      <c r="D359" s="72" t="s">
        <v>54</v>
      </c>
      <c r="E359" s="57">
        <v>175500</v>
      </c>
      <c r="F359" s="57">
        <v>20000</v>
      </c>
      <c r="G359" s="57"/>
      <c r="H359" s="57">
        <f t="shared" si="53"/>
        <v>195500</v>
      </c>
      <c r="I359" s="4"/>
      <c r="J359" s="17"/>
      <c r="K359" s="17"/>
    </row>
    <row r="360" spans="1:11" s="19" customFormat="1" ht="12" customHeight="1" x14ac:dyDescent="0.2">
      <c r="A360" s="104"/>
      <c r="B360" s="77"/>
      <c r="C360" s="53">
        <v>4300</v>
      </c>
      <c r="D360" s="72" t="s">
        <v>55</v>
      </c>
      <c r="E360" s="57">
        <v>141370</v>
      </c>
      <c r="F360" s="57"/>
      <c r="G360" s="57">
        <v>40000</v>
      </c>
      <c r="H360" s="57">
        <f t="shared" si="53"/>
        <v>101370</v>
      </c>
      <c r="I360" s="4"/>
      <c r="J360" s="17"/>
      <c r="K360" s="17"/>
    </row>
    <row r="361" spans="1:11" s="19" customFormat="1" ht="12" customHeight="1" thickBot="1" x14ac:dyDescent="0.25">
      <c r="A361" s="51" t="s">
        <v>136</v>
      </c>
      <c r="B361" s="50"/>
      <c r="C361" s="51"/>
      <c r="D361" s="52" t="s">
        <v>21</v>
      </c>
      <c r="E361" s="36">
        <v>452000</v>
      </c>
      <c r="F361" s="36">
        <f>SUM(F363)</f>
        <v>21600</v>
      </c>
      <c r="G361" s="36">
        <f>SUM(G363)</f>
        <v>21600</v>
      </c>
      <c r="H361" s="36">
        <f t="shared" si="53"/>
        <v>452000</v>
      </c>
      <c r="I361" s="4"/>
      <c r="J361" s="17"/>
      <c r="K361" s="17"/>
    </row>
    <row r="362" spans="1:11" s="19" customFormat="1" ht="12" customHeight="1" thickTop="1" x14ac:dyDescent="0.2">
      <c r="A362" s="110"/>
      <c r="B362" s="54">
        <v>85205</v>
      </c>
      <c r="C362" s="70"/>
      <c r="D362" s="71" t="s">
        <v>184</v>
      </c>
      <c r="E362" s="101"/>
      <c r="F362" s="101"/>
      <c r="G362" s="101"/>
      <c r="H362" s="101"/>
      <c r="I362" s="4"/>
      <c r="J362" s="17"/>
      <c r="K362" s="17"/>
    </row>
    <row r="363" spans="1:11" s="19" customFormat="1" ht="12" customHeight="1" x14ac:dyDescent="0.2">
      <c r="A363" s="110"/>
      <c r="B363" s="75"/>
      <c r="C363" s="70"/>
      <c r="D363" s="85" t="s">
        <v>185</v>
      </c>
      <c r="E363" s="68">
        <v>452000</v>
      </c>
      <c r="F363" s="43">
        <f>SUM(F364)</f>
        <v>21600</v>
      </c>
      <c r="G363" s="43">
        <f>SUM(G364)</f>
        <v>21600</v>
      </c>
      <c r="H363" s="42">
        <f t="shared" si="53"/>
        <v>452000</v>
      </c>
      <c r="I363" s="4"/>
      <c r="J363" s="17"/>
      <c r="K363" s="17"/>
    </row>
    <row r="364" spans="1:11" s="19" customFormat="1" ht="23.25" customHeight="1" x14ac:dyDescent="0.2">
      <c r="A364" s="110"/>
      <c r="B364" s="54"/>
      <c r="C364" s="32"/>
      <c r="D364" s="426" t="s">
        <v>186</v>
      </c>
      <c r="E364" s="432">
        <v>21600</v>
      </c>
      <c r="F364" s="427">
        <f>SUM(F365:F368)</f>
        <v>21600</v>
      </c>
      <c r="G364" s="427">
        <f>SUM(G365:G368)</f>
        <v>21600</v>
      </c>
      <c r="H364" s="100">
        <f t="shared" si="53"/>
        <v>21600</v>
      </c>
      <c r="I364" s="4"/>
      <c r="J364" s="17"/>
      <c r="K364" s="17"/>
    </row>
    <row r="365" spans="1:11" s="19" customFormat="1" ht="12" customHeight="1" x14ac:dyDescent="0.2">
      <c r="A365" s="110"/>
      <c r="B365" s="54"/>
      <c r="C365" s="53">
        <v>4110</v>
      </c>
      <c r="D365" s="72" t="s">
        <v>91</v>
      </c>
      <c r="E365" s="48">
        <v>0</v>
      </c>
      <c r="F365" s="47">
        <v>1573</v>
      </c>
      <c r="G365" s="47"/>
      <c r="H365" s="57">
        <f t="shared" si="53"/>
        <v>1573</v>
      </c>
      <c r="I365" s="4"/>
      <c r="J365" s="17"/>
      <c r="K365" s="17"/>
    </row>
    <row r="366" spans="1:11" s="19" customFormat="1" ht="12" customHeight="1" x14ac:dyDescent="0.2">
      <c r="A366" s="110"/>
      <c r="B366" s="54"/>
      <c r="C366" s="53">
        <v>4120</v>
      </c>
      <c r="D366" s="72" t="s">
        <v>77</v>
      </c>
      <c r="E366" s="48">
        <v>0</v>
      </c>
      <c r="F366" s="47">
        <v>221</v>
      </c>
      <c r="G366" s="47"/>
      <c r="H366" s="57">
        <f t="shared" si="53"/>
        <v>221</v>
      </c>
      <c r="I366" s="4"/>
      <c r="J366" s="17"/>
      <c r="K366" s="17"/>
    </row>
    <row r="367" spans="1:11" s="19" customFormat="1" ht="12" customHeight="1" x14ac:dyDescent="0.2">
      <c r="A367" s="110"/>
      <c r="B367" s="54"/>
      <c r="C367" s="53">
        <v>4170</v>
      </c>
      <c r="D367" s="72" t="s">
        <v>73</v>
      </c>
      <c r="E367" s="48">
        <v>0</v>
      </c>
      <c r="F367" s="47">
        <v>19806</v>
      </c>
      <c r="G367" s="47"/>
      <c r="H367" s="57">
        <f t="shared" si="53"/>
        <v>19806</v>
      </c>
      <c r="I367" s="4"/>
      <c r="J367" s="17"/>
      <c r="K367" s="17"/>
    </row>
    <row r="368" spans="1:11" s="19" customFormat="1" ht="12" customHeight="1" x14ac:dyDescent="0.2">
      <c r="A368" s="110"/>
      <c r="B368" s="50"/>
      <c r="C368" s="53">
        <v>4300</v>
      </c>
      <c r="D368" s="72" t="s">
        <v>55</v>
      </c>
      <c r="E368" s="47">
        <v>21600</v>
      </c>
      <c r="F368" s="47"/>
      <c r="G368" s="47">
        <v>21600</v>
      </c>
      <c r="H368" s="57">
        <f t="shared" si="53"/>
        <v>0</v>
      </c>
      <c r="I368" s="4"/>
      <c r="J368" s="17"/>
      <c r="K368" s="17"/>
    </row>
    <row r="369" spans="1:11" s="19" customFormat="1" ht="3.75" customHeight="1" x14ac:dyDescent="0.2">
      <c r="A369" s="111"/>
      <c r="B369" s="111"/>
      <c r="C369" s="112"/>
      <c r="D369" s="113"/>
      <c r="E369" s="42"/>
      <c r="F369" s="42"/>
      <c r="G369" s="42"/>
      <c r="H369" s="42"/>
      <c r="I369" s="4"/>
      <c r="J369" s="17"/>
      <c r="K369" s="17"/>
    </row>
    <row r="370" spans="1:11" s="19" customFormat="1" ht="12.6" customHeight="1" x14ac:dyDescent="0.2">
      <c r="I370" s="4"/>
      <c r="J370" s="17"/>
      <c r="K370" s="17"/>
    </row>
    <row r="371" spans="1:11" s="19" customFormat="1" ht="12.6" customHeight="1" x14ac:dyDescent="0.2">
      <c r="I371" s="4"/>
      <c r="J371" s="17"/>
      <c r="K371" s="17"/>
    </row>
    <row r="372" spans="1:11" s="19" customFormat="1" ht="12.6" customHeight="1" x14ac:dyDescent="0.2">
      <c r="I372" s="4"/>
      <c r="J372" s="17"/>
      <c r="K372" s="17"/>
    </row>
    <row r="373" spans="1:11" s="19" customFormat="1" ht="12.6" customHeight="1" x14ac:dyDescent="0.2">
      <c r="I373" s="4"/>
      <c r="J373" s="17"/>
      <c r="K373" s="17"/>
    </row>
    <row r="374" spans="1:11" s="19" customFormat="1" ht="12.6" customHeight="1" x14ac:dyDescent="0.2">
      <c r="I374" s="4"/>
      <c r="J374" s="17"/>
      <c r="K374" s="17"/>
    </row>
    <row r="375" spans="1:11" s="19" customFormat="1" ht="12.6" customHeight="1" x14ac:dyDescent="0.2">
      <c r="I375" s="4"/>
      <c r="J375" s="17"/>
      <c r="K375" s="17"/>
    </row>
    <row r="376" spans="1:11" s="19" customFormat="1" ht="12.6" customHeight="1" x14ac:dyDescent="0.2">
      <c r="I376" s="4"/>
      <c r="J376" s="17"/>
      <c r="K376" s="17"/>
    </row>
    <row r="377" spans="1:11" s="19" customFormat="1" ht="12.6" customHeight="1" x14ac:dyDescent="0.2">
      <c r="I377" s="4"/>
      <c r="J377" s="17"/>
      <c r="K377" s="17"/>
    </row>
    <row r="378" spans="1:11" s="19" customFormat="1" ht="12.6" customHeight="1" x14ac:dyDescent="0.2">
      <c r="I378" s="4"/>
      <c r="J378" s="17"/>
      <c r="K378" s="17"/>
    </row>
    <row r="379" spans="1:11" s="19" customFormat="1" ht="12.6" customHeight="1" x14ac:dyDescent="0.2">
      <c r="I379" s="4"/>
      <c r="J379" s="17"/>
      <c r="K379" s="17"/>
    </row>
    <row r="380" spans="1:11" s="19" customFormat="1" ht="12.6" customHeight="1" x14ac:dyDescent="0.2">
      <c r="I380" s="4"/>
      <c r="J380" s="17"/>
      <c r="K380" s="17"/>
    </row>
    <row r="381" spans="1:11" s="19" customFormat="1" ht="12.6" customHeight="1" x14ac:dyDescent="0.2">
      <c r="I381" s="4"/>
      <c r="J381" s="17"/>
      <c r="K381" s="17"/>
    </row>
    <row r="382" spans="1:11" s="19" customFormat="1" ht="12.6" customHeight="1" x14ac:dyDescent="0.2">
      <c r="I382" s="4"/>
      <c r="J382" s="17"/>
      <c r="K382" s="17"/>
    </row>
    <row r="383" spans="1:11" s="19" customFormat="1" ht="12.6" customHeight="1" x14ac:dyDescent="0.2">
      <c r="I383" s="4"/>
      <c r="J383" s="17"/>
      <c r="K383" s="17"/>
    </row>
    <row r="384" spans="1:11" s="19" customFormat="1" ht="12.6" customHeight="1" x14ac:dyDescent="0.2">
      <c r="I384" s="4"/>
      <c r="J384" s="17"/>
      <c r="K384" s="17"/>
    </row>
    <row r="385" spans="9:11" s="19" customFormat="1" ht="12.6" customHeight="1" x14ac:dyDescent="0.2">
      <c r="I385" s="4"/>
      <c r="J385" s="17"/>
      <c r="K385" s="17"/>
    </row>
    <row r="386" spans="9:11" s="19" customFormat="1" ht="12.6" customHeight="1" x14ac:dyDescent="0.2">
      <c r="I386" s="4"/>
      <c r="J386" s="17"/>
      <c r="K386" s="17"/>
    </row>
    <row r="387" spans="9:11" s="19" customFormat="1" ht="12.6" customHeight="1" x14ac:dyDescent="0.2">
      <c r="I387" s="4"/>
      <c r="J387" s="17"/>
      <c r="K387" s="17"/>
    </row>
    <row r="388" spans="9:11" s="19" customFormat="1" ht="12.6" customHeight="1" x14ac:dyDescent="0.2">
      <c r="I388" s="4"/>
      <c r="J388" s="17"/>
      <c r="K388" s="17"/>
    </row>
    <row r="389" spans="9:11" s="19" customFormat="1" ht="12.6" customHeight="1" x14ac:dyDescent="0.2">
      <c r="I389" s="4"/>
      <c r="J389" s="17"/>
      <c r="K389" s="17"/>
    </row>
    <row r="390" spans="9:11" s="19" customFormat="1" ht="12.6" customHeight="1" x14ac:dyDescent="0.2">
      <c r="I390" s="4"/>
      <c r="J390" s="17"/>
      <c r="K390" s="17"/>
    </row>
    <row r="391" spans="9:11" s="19" customFormat="1" ht="12.6" customHeight="1" x14ac:dyDescent="0.2">
      <c r="I391" s="4"/>
      <c r="J391" s="17"/>
      <c r="K391" s="17"/>
    </row>
    <row r="392" spans="9:11" s="19" customFormat="1" ht="12.6" customHeight="1" x14ac:dyDescent="0.2">
      <c r="I392" s="4"/>
      <c r="J392" s="17"/>
      <c r="K392" s="17"/>
    </row>
    <row r="393" spans="9:11" s="19" customFormat="1" ht="12.6" customHeight="1" x14ac:dyDescent="0.2">
      <c r="I393" s="4"/>
      <c r="J393" s="17"/>
      <c r="K393" s="17"/>
    </row>
    <row r="394" spans="9:11" s="19" customFormat="1" ht="12.6" customHeight="1" x14ac:dyDescent="0.2">
      <c r="I394" s="4"/>
      <c r="J394" s="17"/>
      <c r="K394" s="17"/>
    </row>
    <row r="395" spans="9:11" s="19" customFormat="1" ht="12.6" customHeight="1" x14ac:dyDescent="0.2">
      <c r="I395" s="4"/>
      <c r="J395" s="17"/>
      <c r="K395" s="17"/>
    </row>
    <row r="396" spans="9:11" s="19" customFormat="1" ht="12.6" customHeight="1" x14ac:dyDescent="0.2">
      <c r="I396" s="4"/>
      <c r="J396" s="17"/>
      <c r="K396" s="17"/>
    </row>
    <row r="397" spans="9:11" s="19" customFormat="1" ht="12.6" customHeight="1" x14ac:dyDescent="0.2">
      <c r="I397" s="4"/>
      <c r="J397" s="17"/>
      <c r="K397" s="17"/>
    </row>
    <row r="398" spans="9:11" s="19" customFormat="1" ht="12.6" customHeight="1" x14ac:dyDescent="0.2">
      <c r="I398" s="4"/>
      <c r="J398" s="17"/>
      <c r="K398" s="17"/>
    </row>
    <row r="399" spans="9:11" s="19" customFormat="1" ht="12.6" customHeight="1" x14ac:dyDescent="0.2">
      <c r="I399" s="4"/>
      <c r="J399" s="17"/>
      <c r="K399" s="17"/>
    </row>
    <row r="400" spans="9:11" s="19" customFormat="1" ht="12.6" customHeight="1" x14ac:dyDescent="0.2">
      <c r="I400" s="4"/>
      <c r="J400" s="17"/>
      <c r="K400" s="17"/>
    </row>
    <row r="401" spans="9:11" s="19" customFormat="1" ht="12.6" customHeight="1" x14ac:dyDescent="0.2">
      <c r="I401" s="4"/>
      <c r="J401" s="17"/>
      <c r="K401" s="17"/>
    </row>
    <row r="402" spans="9:11" s="19" customFormat="1" ht="12.6" customHeight="1" x14ac:dyDescent="0.2">
      <c r="I402" s="4"/>
      <c r="J402" s="17"/>
      <c r="K402" s="17"/>
    </row>
    <row r="403" spans="9:11" s="19" customFormat="1" ht="12.6" customHeight="1" x14ac:dyDescent="0.2">
      <c r="I403" s="4"/>
      <c r="J403" s="17"/>
      <c r="K403" s="17"/>
    </row>
    <row r="404" spans="9:11" s="19" customFormat="1" ht="12.6" customHeight="1" x14ac:dyDescent="0.2">
      <c r="I404" s="4"/>
      <c r="J404" s="17"/>
      <c r="K404" s="17"/>
    </row>
    <row r="405" spans="9:11" s="19" customFormat="1" ht="12.6" customHeight="1" x14ac:dyDescent="0.2">
      <c r="I405" s="4"/>
      <c r="J405" s="17"/>
      <c r="K405" s="17"/>
    </row>
    <row r="406" spans="9:11" s="19" customFormat="1" ht="12.6" customHeight="1" x14ac:dyDescent="0.2">
      <c r="I406" s="4"/>
      <c r="J406" s="17"/>
      <c r="K406" s="17"/>
    </row>
    <row r="407" spans="9:11" s="19" customFormat="1" ht="12.6" customHeight="1" x14ac:dyDescent="0.2">
      <c r="I407" s="4"/>
      <c r="J407" s="17"/>
      <c r="K407" s="17"/>
    </row>
    <row r="408" spans="9:11" s="19" customFormat="1" ht="12.2" customHeight="1" x14ac:dyDescent="0.2">
      <c r="I408" s="4"/>
      <c r="J408" s="17"/>
      <c r="K408" s="17"/>
    </row>
    <row r="409" spans="9:11" s="19" customFormat="1" ht="12.2" customHeight="1" x14ac:dyDescent="0.2">
      <c r="I409" s="4"/>
      <c r="J409" s="17"/>
      <c r="K409" s="17"/>
    </row>
    <row r="410" spans="9:11" s="19" customFormat="1" ht="12.2" customHeight="1" x14ac:dyDescent="0.2">
      <c r="I410" s="4"/>
      <c r="J410" s="17"/>
      <c r="K410" s="17"/>
    </row>
    <row r="411" spans="9:11" s="19" customFormat="1" ht="12.95" customHeight="1" x14ac:dyDescent="0.2">
      <c r="I411" s="4"/>
      <c r="J411" s="17"/>
      <c r="K411" s="17"/>
    </row>
    <row r="412" spans="9:11" s="19" customFormat="1" ht="12.95" customHeight="1" x14ac:dyDescent="0.2">
      <c r="I412" s="4"/>
      <c r="J412" s="17"/>
      <c r="K412" s="17"/>
    </row>
    <row r="413" spans="9:11" s="19" customFormat="1" ht="12.95" customHeight="1" x14ac:dyDescent="0.2">
      <c r="I413" s="4"/>
      <c r="J413" s="17"/>
      <c r="K413" s="17"/>
    </row>
    <row r="414" spans="9:11" s="19" customFormat="1" ht="12.95" customHeight="1" x14ac:dyDescent="0.2">
      <c r="I414" s="4"/>
      <c r="J414" s="17"/>
      <c r="K414" s="17"/>
    </row>
    <row r="415" spans="9:11" s="19" customFormat="1" ht="12.95" customHeight="1" x14ac:dyDescent="0.2">
      <c r="I415" s="4"/>
      <c r="J415" s="17"/>
      <c r="K415" s="17"/>
    </row>
    <row r="416" spans="9:11" s="19" customFormat="1" ht="12.95" customHeight="1" x14ac:dyDescent="0.2">
      <c r="I416" s="4"/>
      <c r="J416" s="17"/>
      <c r="K416" s="17"/>
    </row>
    <row r="417" spans="9:11" s="19" customFormat="1" ht="12.95" customHeight="1" x14ac:dyDescent="0.2">
      <c r="I417" s="4"/>
      <c r="J417" s="17"/>
      <c r="K417" s="17"/>
    </row>
    <row r="418" spans="9:11" s="19" customFormat="1" ht="12.95" customHeight="1" x14ac:dyDescent="0.2">
      <c r="I418" s="4"/>
      <c r="J418" s="17"/>
      <c r="K418" s="17"/>
    </row>
    <row r="419" spans="9:11" s="19" customFormat="1" ht="12.95" customHeight="1" x14ac:dyDescent="0.2">
      <c r="I419" s="4"/>
      <c r="J419" s="17"/>
      <c r="K419" s="17"/>
    </row>
    <row r="420" spans="9:11" s="19" customFormat="1" ht="12.95" customHeight="1" x14ac:dyDescent="0.2">
      <c r="I420" s="4"/>
      <c r="J420" s="17"/>
      <c r="K420" s="17"/>
    </row>
    <row r="421" spans="9:11" s="19" customFormat="1" ht="12.95" customHeight="1" x14ac:dyDescent="0.2">
      <c r="I421" s="4"/>
      <c r="J421" s="17"/>
      <c r="K421" s="17"/>
    </row>
    <row r="422" spans="9:11" s="19" customFormat="1" ht="12.95" customHeight="1" x14ac:dyDescent="0.2">
      <c r="I422" s="4"/>
      <c r="J422" s="17"/>
      <c r="K422" s="17"/>
    </row>
    <row r="423" spans="9:11" s="19" customFormat="1" ht="12.95" customHeight="1" x14ac:dyDescent="0.2">
      <c r="I423" s="4"/>
      <c r="J423" s="17"/>
      <c r="K423" s="17"/>
    </row>
    <row r="424" spans="9:11" s="19" customFormat="1" ht="12.95" customHeight="1" x14ac:dyDescent="0.2">
      <c r="I424" s="4"/>
      <c r="J424" s="17"/>
      <c r="K424" s="17"/>
    </row>
    <row r="425" spans="9:11" s="19" customFormat="1" ht="12.95" customHeight="1" x14ac:dyDescent="0.2">
      <c r="I425" s="4"/>
      <c r="J425" s="17"/>
      <c r="K425" s="17"/>
    </row>
    <row r="426" spans="9:11" s="19" customFormat="1" ht="12.95" customHeight="1" x14ac:dyDescent="0.2">
      <c r="I426" s="4"/>
      <c r="J426" s="17"/>
      <c r="K426" s="17"/>
    </row>
    <row r="427" spans="9:11" s="19" customFormat="1" ht="12.95" customHeight="1" x14ac:dyDescent="0.2">
      <c r="I427" s="4"/>
      <c r="J427" s="17"/>
      <c r="K427" s="17"/>
    </row>
    <row r="428" spans="9:11" s="19" customFormat="1" ht="12.95" customHeight="1" x14ac:dyDescent="0.2">
      <c r="I428" s="4"/>
      <c r="J428" s="17"/>
      <c r="K428" s="17"/>
    </row>
    <row r="429" spans="9:11" s="19" customFormat="1" ht="12.95" customHeight="1" x14ac:dyDescent="0.2">
      <c r="I429" s="4"/>
      <c r="J429" s="17"/>
      <c r="K429" s="17"/>
    </row>
    <row r="430" spans="9:11" s="19" customFormat="1" ht="12.95" customHeight="1" x14ac:dyDescent="0.2">
      <c r="I430" s="4"/>
      <c r="J430" s="17"/>
      <c r="K430" s="17"/>
    </row>
    <row r="431" spans="9:11" s="19" customFormat="1" ht="12.95" customHeight="1" x14ac:dyDescent="0.2">
      <c r="I431" s="4"/>
      <c r="J431" s="17"/>
      <c r="K431" s="17"/>
    </row>
    <row r="432" spans="9:11" s="19" customFormat="1" ht="12.95" customHeight="1" x14ac:dyDescent="0.2">
      <c r="I432" s="4"/>
      <c r="J432" s="17"/>
      <c r="K432" s="17"/>
    </row>
    <row r="433" spans="9:11" s="19" customFormat="1" ht="12.95" customHeight="1" x14ac:dyDescent="0.2">
      <c r="I433" s="4"/>
      <c r="J433" s="17"/>
      <c r="K433" s="17"/>
    </row>
    <row r="434" spans="9:11" s="19" customFormat="1" ht="12.95" customHeight="1" x14ac:dyDescent="0.2">
      <c r="I434" s="4"/>
      <c r="J434" s="17"/>
      <c r="K434" s="17"/>
    </row>
    <row r="435" spans="9:11" s="19" customFormat="1" ht="12.95" customHeight="1" x14ac:dyDescent="0.2">
      <c r="I435" s="4"/>
      <c r="J435" s="17"/>
      <c r="K435" s="17"/>
    </row>
    <row r="436" spans="9:11" s="19" customFormat="1" ht="12.95" customHeight="1" x14ac:dyDescent="0.2">
      <c r="I436" s="4"/>
      <c r="J436" s="17"/>
      <c r="K436" s="17"/>
    </row>
    <row r="437" spans="9:11" s="19" customFormat="1" ht="12.95" customHeight="1" x14ac:dyDescent="0.2">
      <c r="I437" s="4"/>
      <c r="J437" s="17"/>
      <c r="K437" s="17"/>
    </row>
    <row r="438" spans="9:11" s="19" customFormat="1" ht="12.95" customHeight="1" x14ac:dyDescent="0.2">
      <c r="I438" s="4"/>
      <c r="J438" s="17"/>
      <c r="K438" s="17"/>
    </row>
    <row r="439" spans="9:11" s="19" customFormat="1" ht="12.95" customHeight="1" x14ac:dyDescent="0.2">
      <c r="I439" s="4"/>
      <c r="J439" s="17"/>
      <c r="K439" s="17"/>
    </row>
    <row r="440" spans="9:11" s="19" customFormat="1" ht="12.95" customHeight="1" x14ac:dyDescent="0.2">
      <c r="I440" s="4"/>
      <c r="J440" s="17"/>
      <c r="K440" s="17"/>
    </row>
    <row r="441" spans="9:11" s="19" customFormat="1" ht="12.95" customHeight="1" x14ac:dyDescent="0.2">
      <c r="I441" s="4"/>
      <c r="J441" s="17"/>
      <c r="K441" s="17"/>
    </row>
    <row r="442" spans="9:11" s="19" customFormat="1" ht="12.95" customHeight="1" x14ac:dyDescent="0.2">
      <c r="I442" s="4"/>
      <c r="J442" s="17"/>
      <c r="K442" s="17"/>
    </row>
    <row r="443" spans="9:11" s="19" customFormat="1" ht="12.95" customHeight="1" x14ac:dyDescent="0.2">
      <c r="I443" s="4"/>
      <c r="J443" s="17"/>
      <c r="K443" s="17"/>
    </row>
    <row r="444" spans="9:11" s="19" customFormat="1" ht="12.95" customHeight="1" x14ac:dyDescent="0.2">
      <c r="I444" s="4"/>
      <c r="J444" s="17"/>
      <c r="K444" s="17"/>
    </row>
    <row r="445" spans="9:11" s="19" customFormat="1" ht="12.95" customHeight="1" x14ac:dyDescent="0.2">
      <c r="I445" s="4"/>
      <c r="J445" s="17"/>
      <c r="K445" s="17"/>
    </row>
    <row r="446" spans="9:11" s="19" customFormat="1" ht="12.95" customHeight="1" x14ac:dyDescent="0.2">
      <c r="I446" s="4"/>
      <c r="J446" s="17"/>
      <c r="K446" s="17"/>
    </row>
    <row r="447" spans="9:11" s="19" customFormat="1" ht="12.95" customHeight="1" x14ac:dyDescent="0.2">
      <c r="I447" s="4"/>
      <c r="J447" s="17"/>
      <c r="K447" s="17"/>
    </row>
    <row r="448" spans="9:11" s="19" customFormat="1" ht="12.95" customHeight="1" x14ac:dyDescent="0.2">
      <c r="I448" s="4"/>
      <c r="J448" s="17"/>
      <c r="K448" s="17"/>
    </row>
    <row r="449" spans="9:11" s="19" customFormat="1" ht="12.95" customHeight="1" x14ac:dyDescent="0.2">
      <c r="I449" s="4"/>
      <c r="J449" s="17"/>
      <c r="K449" s="17"/>
    </row>
    <row r="450" spans="9:11" s="19" customFormat="1" ht="12.95" customHeight="1" x14ac:dyDescent="0.2">
      <c r="I450" s="4"/>
      <c r="J450" s="17"/>
      <c r="K450" s="17"/>
    </row>
    <row r="451" spans="9:11" s="19" customFormat="1" ht="12.95" customHeight="1" x14ac:dyDescent="0.2">
      <c r="I451" s="4"/>
      <c r="J451" s="17"/>
      <c r="K451" s="17"/>
    </row>
    <row r="452" spans="9:11" s="19" customFormat="1" ht="12.95" customHeight="1" x14ac:dyDescent="0.2">
      <c r="I452" s="4"/>
      <c r="J452" s="17"/>
      <c r="K452" s="17"/>
    </row>
    <row r="453" spans="9:11" s="19" customFormat="1" ht="12.95" customHeight="1" x14ac:dyDescent="0.2">
      <c r="I453" s="4"/>
      <c r="J453" s="17"/>
      <c r="K453" s="17"/>
    </row>
    <row r="454" spans="9:11" s="19" customFormat="1" ht="12.95" customHeight="1" x14ac:dyDescent="0.2">
      <c r="I454" s="4"/>
      <c r="J454" s="17"/>
      <c r="K454" s="17"/>
    </row>
    <row r="455" spans="9:11" s="19" customFormat="1" ht="12.95" customHeight="1" x14ac:dyDescent="0.2">
      <c r="I455" s="4"/>
      <c r="J455" s="17"/>
      <c r="K455" s="17"/>
    </row>
    <row r="456" spans="9:11" s="19" customFormat="1" ht="12.95" customHeight="1" x14ac:dyDescent="0.2">
      <c r="I456" s="4"/>
      <c r="J456" s="17"/>
      <c r="K456" s="17"/>
    </row>
    <row r="457" spans="9:11" s="19" customFormat="1" ht="12.95" customHeight="1" x14ac:dyDescent="0.2">
      <c r="I457" s="4"/>
      <c r="J457" s="17"/>
      <c r="K457" s="17"/>
    </row>
    <row r="458" spans="9:11" s="19" customFormat="1" ht="12.95" customHeight="1" x14ac:dyDescent="0.2">
      <c r="I458" s="4"/>
      <c r="J458" s="17"/>
      <c r="K458" s="17"/>
    </row>
    <row r="459" spans="9:11" s="19" customFormat="1" ht="12.95" customHeight="1" x14ac:dyDescent="0.2">
      <c r="I459" s="4"/>
      <c r="J459" s="17"/>
      <c r="K459" s="17"/>
    </row>
    <row r="460" spans="9:11" s="19" customFormat="1" ht="12.95" customHeight="1" x14ac:dyDescent="0.2">
      <c r="I460" s="4"/>
      <c r="J460" s="17"/>
      <c r="K460" s="17"/>
    </row>
    <row r="461" spans="9:11" s="19" customFormat="1" ht="12.95" customHeight="1" x14ac:dyDescent="0.2">
      <c r="I461" s="4"/>
      <c r="J461" s="17"/>
      <c r="K461" s="17"/>
    </row>
    <row r="462" spans="9:11" s="19" customFormat="1" ht="12.95" customHeight="1" x14ac:dyDescent="0.2">
      <c r="I462" s="4"/>
      <c r="J462" s="17"/>
      <c r="K462" s="17"/>
    </row>
    <row r="463" spans="9:11" s="19" customFormat="1" ht="12.95" customHeight="1" x14ac:dyDescent="0.2">
      <c r="I463" s="4"/>
      <c r="J463" s="17"/>
      <c r="K463" s="17"/>
    </row>
    <row r="464" spans="9:11" s="19" customFormat="1" ht="12.95" customHeight="1" x14ac:dyDescent="0.2">
      <c r="I464" s="4"/>
      <c r="J464" s="17"/>
      <c r="K464" s="17"/>
    </row>
    <row r="465" spans="9:11" s="19" customFormat="1" ht="12.95" customHeight="1" x14ac:dyDescent="0.2">
      <c r="I465" s="4"/>
      <c r="J465" s="17"/>
      <c r="K465" s="17"/>
    </row>
    <row r="466" spans="9:11" s="19" customFormat="1" ht="12.95" customHeight="1" x14ac:dyDescent="0.2">
      <c r="I466" s="4"/>
      <c r="J466" s="17"/>
      <c r="K466" s="17"/>
    </row>
    <row r="467" spans="9:11" s="19" customFormat="1" ht="12.95" customHeight="1" x14ac:dyDescent="0.2">
      <c r="I467" s="4"/>
      <c r="J467" s="17"/>
      <c r="K467" s="17"/>
    </row>
    <row r="468" spans="9:11" s="19" customFormat="1" ht="12.95" customHeight="1" x14ac:dyDescent="0.2">
      <c r="I468" s="4"/>
      <c r="J468" s="17"/>
      <c r="K468" s="17"/>
    </row>
    <row r="469" spans="9:11" s="19" customFormat="1" ht="12.95" customHeight="1" x14ac:dyDescent="0.2">
      <c r="I469" s="4"/>
      <c r="J469" s="17"/>
      <c r="K469" s="17"/>
    </row>
    <row r="470" spans="9:11" s="19" customFormat="1" ht="12.95" customHeight="1" x14ac:dyDescent="0.2">
      <c r="I470" s="4"/>
      <c r="J470" s="17"/>
      <c r="K470" s="17"/>
    </row>
    <row r="471" spans="9:11" s="19" customFormat="1" ht="12.95" customHeight="1" x14ac:dyDescent="0.2">
      <c r="I471" s="4"/>
      <c r="J471" s="17"/>
      <c r="K471" s="17"/>
    </row>
    <row r="472" spans="9:11" s="19" customFormat="1" ht="12.95" customHeight="1" x14ac:dyDescent="0.2">
      <c r="I472" s="4"/>
      <c r="J472" s="17"/>
      <c r="K472" s="17"/>
    </row>
    <row r="473" spans="9:11" s="19" customFormat="1" ht="12.95" customHeight="1" x14ac:dyDescent="0.2">
      <c r="I473" s="4"/>
      <c r="J473" s="17"/>
      <c r="K473" s="17"/>
    </row>
    <row r="474" spans="9:11" s="19" customFormat="1" ht="12.95" customHeight="1" x14ac:dyDescent="0.2">
      <c r="I474" s="4"/>
      <c r="J474" s="17"/>
      <c r="K474" s="17"/>
    </row>
    <row r="475" spans="9:11" s="19" customFormat="1" ht="12.95" customHeight="1" x14ac:dyDescent="0.2">
      <c r="I475" s="4"/>
      <c r="J475" s="17"/>
      <c r="K475" s="17"/>
    </row>
    <row r="476" spans="9:11" s="19" customFormat="1" ht="12.95" customHeight="1" x14ac:dyDescent="0.2">
      <c r="I476" s="4"/>
      <c r="J476" s="17"/>
      <c r="K476" s="17"/>
    </row>
    <row r="477" spans="9:11" s="19" customFormat="1" ht="12.95" customHeight="1" x14ac:dyDescent="0.2">
      <c r="I477" s="4"/>
      <c r="J477" s="17"/>
      <c r="K477" s="17"/>
    </row>
    <row r="478" spans="9:11" ht="12.95" customHeight="1" x14ac:dyDescent="0.25"/>
    <row r="479" spans="9:11" ht="12.95" customHeight="1" x14ac:dyDescent="0.25"/>
    <row r="480" spans="9:11" ht="12.95" customHeight="1" x14ac:dyDescent="0.25"/>
    <row r="481" ht="12.95" customHeight="1" x14ac:dyDescent="0.25"/>
    <row r="482" ht="12.95" customHeight="1" x14ac:dyDescent="0.25"/>
    <row r="483" ht="12.95" customHeight="1" x14ac:dyDescent="0.25"/>
    <row r="484" ht="12.95" customHeight="1" x14ac:dyDescent="0.25"/>
    <row r="485" ht="12.95" customHeight="1" x14ac:dyDescent="0.25"/>
    <row r="486" ht="12.95" customHeight="1" x14ac:dyDescent="0.25"/>
    <row r="487" ht="12.95" customHeight="1" x14ac:dyDescent="0.25"/>
    <row r="488" ht="12.95" customHeight="1" x14ac:dyDescent="0.25"/>
    <row r="489" ht="12.9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3" manualBreakCount="3">
    <brk id="39" max="16383" man="1"/>
    <brk id="149" max="16383" man="1"/>
    <brk id="3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38A9-1DC4-44CE-BAAF-95196CA25847}">
  <dimension ref="A1:AMJ25"/>
  <sheetViews>
    <sheetView zoomScaleNormal="100" workbookViewId="0">
      <pane ySplit="19" topLeftCell="A20" activePane="bottomLeft" state="frozen"/>
      <selection pane="bottomLeft"/>
    </sheetView>
  </sheetViews>
  <sheetFormatPr defaultColWidth="9.140625" defaultRowHeight="15" x14ac:dyDescent="0.25"/>
  <cols>
    <col min="1" max="1" width="5.7109375" style="114" customWidth="1"/>
    <col min="2" max="2" width="6.7109375" style="114" customWidth="1"/>
    <col min="3" max="3" width="4.42578125" style="114" hidden="1" customWidth="1"/>
    <col min="4" max="4" width="64.28515625" style="115" customWidth="1"/>
    <col min="5" max="7" width="15.5703125" style="115" customWidth="1"/>
    <col min="8" max="8" width="14.42578125" style="115" customWidth="1"/>
    <col min="9" max="9" width="14" style="115" customWidth="1"/>
    <col min="10" max="11" width="12.85546875" style="115" customWidth="1"/>
    <col min="12" max="12" width="11.5703125" style="115" customWidth="1"/>
    <col min="13" max="13" width="13.7109375" style="116" customWidth="1"/>
    <col min="14" max="14" width="13" style="115" customWidth="1"/>
    <col min="15" max="15" width="9.140625" style="115"/>
    <col min="16" max="16" width="9.7109375" style="115" customWidth="1"/>
    <col min="17" max="258" width="9.140625" style="115"/>
    <col min="259" max="259" width="4.140625" style="115" customWidth="1"/>
    <col min="260" max="260" width="5.5703125" style="115" customWidth="1"/>
    <col min="261" max="261" width="59.5703125" style="115" customWidth="1"/>
    <col min="262" max="263" width="11.28515625" style="115" customWidth="1"/>
    <col min="264" max="264" width="10.5703125" style="115" customWidth="1"/>
    <col min="265" max="265" width="10.42578125" style="115" customWidth="1"/>
    <col min="266" max="266" width="10.7109375" style="115" customWidth="1"/>
    <col min="267" max="267" width="9" style="115" customWidth="1"/>
    <col min="268" max="268" width="11.5703125" style="115" customWidth="1"/>
    <col min="269" max="269" width="9.140625" style="115"/>
    <col min="270" max="270" width="13" style="115" customWidth="1"/>
    <col min="271" max="514" width="9.140625" style="115"/>
    <col min="515" max="515" width="4.140625" style="115" customWidth="1"/>
    <col min="516" max="516" width="5.5703125" style="115" customWidth="1"/>
    <col min="517" max="517" width="59.5703125" style="115" customWidth="1"/>
    <col min="518" max="519" width="11.28515625" style="115" customWidth="1"/>
    <col min="520" max="520" width="10.5703125" style="115" customWidth="1"/>
    <col min="521" max="521" width="10.42578125" style="115" customWidth="1"/>
    <col min="522" max="522" width="10.7109375" style="115" customWidth="1"/>
    <col min="523" max="523" width="9" style="115" customWidth="1"/>
    <col min="524" max="524" width="11.5703125" style="115" customWidth="1"/>
    <col min="525" max="525" width="9.140625" style="115"/>
    <col min="526" max="526" width="13" style="115" customWidth="1"/>
    <col min="527" max="770" width="9.140625" style="115"/>
    <col min="771" max="771" width="4.140625" style="115" customWidth="1"/>
    <col min="772" max="772" width="5.5703125" style="115" customWidth="1"/>
    <col min="773" max="773" width="59.5703125" style="115" customWidth="1"/>
    <col min="774" max="775" width="11.28515625" style="115" customWidth="1"/>
    <col min="776" max="776" width="10.5703125" style="115" customWidth="1"/>
    <col min="777" max="777" width="10.42578125" style="115" customWidth="1"/>
    <col min="778" max="778" width="10.7109375" style="115" customWidth="1"/>
    <col min="779" max="779" width="9" style="115" customWidth="1"/>
    <col min="780" max="780" width="11.5703125" style="115" customWidth="1"/>
    <col min="781" max="781" width="9.140625" style="115"/>
    <col min="782" max="782" width="13" style="115" customWidth="1"/>
    <col min="783" max="1024" width="9.140625" style="115"/>
    <col min="1025" max="16384" width="9.140625" style="438"/>
  </cols>
  <sheetData>
    <row r="1" spans="1:16" x14ac:dyDescent="0.25">
      <c r="G1" s="114"/>
      <c r="H1" s="114"/>
      <c r="I1" s="114"/>
      <c r="J1" s="114"/>
      <c r="K1" s="114"/>
      <c r="L1" s="114"/>
    </row>
    <row r="2" spans="1:16" x14ac:dyDescent="0.25">
      <c r="G2" s="114"/>
      <c r="H2" s="114"/>
      <c r="I2" s="114"/>
      <c r="J2" s="114"/>
      <c r="K2" s="114"/>
      <c r="L2" s="117" t="s">
        <v>189</v>
      </c>
    </row>
    <row r="3" spans="1:16" x14ac:dyDescent="0.25">
      <c r="G3" s="114"/>
      <c r="H3" s="114"/>
      <c r="I3" s="114"/>
      <c r="J3" s="114"/>
      <c r="K3" s="114"/>
      <c r="L3" s="220" t="s">
        <v>187</v>
      </c>
    </row>
    <row r="4" spans="1:16" x14ac:dyDescent="0.25">
      <c r="G4" s="114"/>
      <c r="H4" s="114"/>
      <c r="I4" s="114"/>
      <c r="J4" s="114"/>
      <c r="K4" s="114"/>
      <c r="L4" s="220" t="s">
        <v>1</v>
      </c>
      <c r="P4" s="118"/>
    </row>
    <row r="5" spans="1:16" x14ac:dyDescent="0.25">
      <c r="G5" s="114"/>
      <c r="H5" s="114"/>
      <c r="I5" s="114"/>
      <c r="J5" s="114"/>
      <c r="K5" s="114"/>
      <c r="L5" s="220" t="s">
        <v>188</v>
      </c>
      <c r="P5" s="118"/>
    </row>
    <row r="6" spans="1:16" x14ac:dyDescent="0.25">
      <c r="G6" s="114"/>
      <c r="H6" s="114"/>
      <c r="I6" s="114"/>
      <c r="J6" s="114"/>
      <c r="K6" s="114"/>
      <c r="L6" s="119"/>
      <c r="P6" s="118"/>
    </row>
    <row r="7" spans="1:16" x14ac:dyDescent="0.25">
      <c r="G7" s="114"/>
      <c r="H7" s="114"/>
      <c r="I7" s="114"/>
      <c r="J7" s="114"/>
      <c r="K7" s="114"/>
      <c r="L7" s="114"/>
      <c r="P7" s="118"/>
    </row>
    <row r="8" spans="1:16" x14ac:dyDescent="0.25">
      <c r="G8" s="114"/>
      <c r="H8" s="114"/>
      <c r="I8" s="114"/>
      <c r="J8" s="114"/>
      <c r="K8" s="114"/>
      <c r="L8" s="114"/>
      <c r="P8" s="118"/>
    </row>
    <row r="9" spans="1:16" x14ac:dyDescent="0.25">
      <c r="A9" s="120" t="s">
        <v>190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22"/>
      <c r="P9" s="118"/>
    </row>
    <row r="10" spans="1:16" s="114" customFormat="1" ht="11.25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19"/>
      <c r="L10" s="119"/>
      <c r="M10" s="123"/>
    </row>
    <row r="11" spans="1:16" s="129" customFormat="1" ht="11.25" x14ac:dyDescent="0.2">
      <c r="A11" s="124"/>
      <c r="B11" s="124"/>
      <c r="C11" s="125"/>
      <c r="D11" s="125"/>
      <c r="E11" s="125"/>
      <c r="F11" s="125"/>
      <c r="G11" s="126"/>
      <c r="H11" s="506" t="s">
        <v>191</v>
      </c>
      <c r="I11" s="506"/>
      <c r="J11" s="506"/>
      <c r="K11" s="506"/>
      <c r="L11" s="127" t="s">
        <v>192</v>
      </c>
      <c r="M11" s="128"/>
    </row>
    <row r="12" spans="1:16" s="129" customFormat="1" ht="12.75" customHeight="1" x14ac:dyDescent="0.2">
      <c r="A12" s="130"/>
      <c r="B12" s="130"/>
      <c r="C12" s="131"/>
      <c r="D12" s="131"/>
      <c r="E12" s="131"/>
      <c r="F12" s="131"/>
      <c r="G12" s="132" t="s">
        <v>193</v>
      </c>
      <c r="H12" s="133"/>
      <c r="I12" s="506" t="s">
        <v>194</v>
      </c>
      <c r="J12" s="506"/>
      <c r="K12" s="506"/>
      <c r="L12" s="134" t="s">
        <v>195</v>
      </c>
      <c r="M12" s="135" t="s">
        <v>196</v>
      </c>
    </row>
    <row r="13" spans="1:16" s="129" customFormat="1" ht="11.25" x14ac:dyDescent="0.2">
      <c r="A13" s="130"/>
      <c r="B13" s="130"/>
      <c r="C13" s="136"/>
      <c r="D13" s="136" t="s">
        <v>197</v>
      </c>
      <c r="E13" s="136" t="s">
        <v>10</v>
      </c>
      <c r="F13" s="136" t="s">
        <v>11</v>
      </c>
      <c r="G13" s="136" t="s">
        <v>198</v>
      </c>
      <c r="H13" s="135" t="s">
        <v>199</v>
      </c>
      <c r="I13" s="135"/>
      <c r="J13" s="136" t="s">
        <v>195</v>
      </c>
      <c r="K13" s="136" t="s">
        <v>195</v>
      </c>
      <c r="L13" s="137" t="s">
        <v>200</v>
      </c>
      <c r="M13" s="135" t="s">
        <v>201</v>
      </c>
    </row>
    <row r="14" spans="1:16" s="129" customFormat="1" ht="11.25" x14ac:dyDescent="0.2">
      <c r="A14" s="130" t="s">
        <v>202</v>
      </c>
      <c r="B14" s="130" t="s">
        <v>203</v>
      </c>
      <c r="C14" s="136" t="s">
        <v>7</v>
      </c>
      <c r="D14" s="136"/>
      <c r="E14" s="136"/>
      <c r="F14" s="136"/>
      <c r="G14" s="136" t="s">
        <v>204</v>
      </c>
      <c r="H14" s="135" t="s">
        <v>205</v>
      </c>
      <c r="I14" s="135" t="s">
        <v>195</v>
      </c>
      <c r="J14" s="136" t="s">
        <v>206</v>
      </c>
      <c r="K14" s="136" t="s">
        <v>207</v>
      </c>
      <c r="L14" s="137" t="s">
        <v>208</v>
      </c>
      <c r="M14" s="135" t="s">
        <v>209</v>
      </c>
    </row>
    <row r="15" spans="1:16" s="129" customFormat="1" ht="11.25" x14ac:dyDescent="0.2">
      <c r="A15" s="130"/>
      <c r="B15" s="130"/>
      <c r="C15" s="136"/>
      <c r="D15" s="136"/>
      <c r="E15" s="136"/>
      <c r="F15" s="136"/>
      <c r="G15" s="136"/>
      <c r="H15" s="135">
        <v>2022</v>
      </c>
      <c r="I15" s="135" t="s">
        <v>210</v>
      </c>
      <c r="J15" s="136" t="s">
        <v>211</v>
      </c>
      <c r="K15" s="136" t="s">
        <v>212</v>
      </c>
      <c r="L15" s="137" t="s">
        <v>213</v>
      </c>
      <c r="M15" s="135"/>
    </row>
    <row r="16" spans="1:16" s="129" customFormat="1" ht="11.25" x14ac:dyDescent="0.2">
      <c r="A16" s="130"/>
      <c r="B16" s="130"/>
      <c r="C16" s="136"/>
      <c r="D16" s="136"/>
      <c r="E16" s="136"/>
      <c r="F16" s="136"/>
      <c r="G16" s="136"/>
      <c r="H16" s="135" t="s">
        <v>214</v>
      </c>
      <c r="I16" s="135"/>
      <c r="J16" s="136" t="s">
        <v>215</v>
      </c>
      <c r="K16" s="135" t="s">
        <v>216</v>
      </c>
      <c r="L16" s="138" t="s">
        <v>217</v>
      </c>
      <c r="M16" s="135"/>
    </row>
    <row r="17" spans="1:14" s="129" customFormat="1" ht="11.25" x14ac:dyDescent="0.2">
      <c r="A17" s="139"/>
      <c r="B17" s="139"/>
      <c r="C17" s="140"/>
      <c r="D17" s="141"/>
      <c r="E17" s="141"/>
      <c r="F17" s="141"/>
      <c r="G17" s="141"/>
      <c r="H17" s="142"/>
      <c r="I17" s="142"/>
      <c r="J17" s="141"/>
      <c r="K17" s="141"/>
      <c r="L17" s="136"/>
      <c r="M17" s="143"/>
    </row>
    <row r="18" spans="1:14" s="114" customFormat="1" ht="11.25" x14ac:dyDescent="0.2">
      <c r="A18" s="144">
        <v>1</v>
      </c>
      <c r="B18" s="144">
        <v>2</v>
      </c>
      <c r="C18" s="144"/>
      <c r="D18" s="144">
        <v>3</v>
      </c>
      <c r="E18" s="144">
        <v>4</v>
      </c>
      <c r="F18" s="144">
        <v>5</v>
      </c>
      <c r="G18" s="144">
        <v>6</v>
      </c>
      <c r="H18" s="145">
        <v>7</v>
      </c>
      <c r="I18" s="144">
        <v>8</v>
      </c>
      <c r="J18" s="146">
        <v>9</v>
      </c>
      <c r="K18" s="147">
        <v>10</v>
      </c>
      <c r="L18" s="147">
        <v>11</v>
      </c>
      <c r="M18" s="144">
        <v>12</v>
      </c>
    </row>
    <row r="19" spans="1:14" s="442" customFormat="1" ht="22.9" customHeight="1" x14ac:dyDescent="0.2">
      <c r="A19" s="439"/>
      <c r="B19" s="439"/>
      <c r="C19" s="148"/>
      <c r="D19" s="439" t="s">
        <v>218</v>
      </c>
      <c r="E19" s="440">
        <v>32000</v>
      </c>
      <c r="F19" s="440">
        <v>32000</v>
      </c>
      <c r="G19" s="440">
        <v>402476263.85000002</v>
      </c>
      <c r="H19" s="440">
        <v>187252734.5</v>
      </c>
      <c r="I19" s="440">
        <v>117803793.72</v>
      </c>
      <c r="J19" s="440">
        <v>32789157.52</v>
      </c>
      <c r="K19" s="440">
        <v>36659783.260000005</v>
      </c>
      <c r="L19" s="440">
        <v>0</v>
      </c>
      <c r="M19" s="440"/>
      <c r="N19" s="441"/>
    </row>
    <row r="20" spans="1:14" s="114" customFormat="1" ht="21" customHeight="1" x14ac:dyDescent="0.2">
      <c r="A20" s="149">
        <v>900</v>
      </c>
      <c r="B20" s="149"/>
      <c r="C20" s="150"/>
      <c r="D20" s="151" t="s">
        <v>219</v>
      </c>
      <c r="E20" s="152">
        <v>32000</v>
      </c>
      <c r="F20" s="152">
        <v>32000</v>
      </c>
      <c r="G20" s="152">
        <v>51972263.240000002</v>
      </c>
      <c r="H20" s="152">
        <v>21882029.109999999</v>
      </c>
      <c r="I20" s="152">
        <v>18658500</v>
      </c>
      <c r="J20" s="152">
        <v>506479.36999999994</v>
      </c>
      <c r="K20" s="152">
        <v>2717049.7399999998</v>
      </c>
      <c r="L20" s="152">
        <v>0</v>
      </c>
      <c r="M20" s="153"/>
    </row>
    <row r="21" spans="1:14" s="114" customFormat="1" ht="21" customHeight="1" x14ac:dyDescent="0.2">
      <c r="A21" s="154"/>
      <c r="B21" s="155">
        <v>90095</v>
      </c>
      <c r="C21" s="156"/>
      <c r="D21" s="157" t="s">
        <v>40</v>
      </c>
      <c r="E21" s="158">
        <v>32000</v>
      </c>
      <c r="F21" s="158">
        <v>32000</v>
      </c>
      <c r="G21" s="158">
        <v>44213595.240000002</v>
      </c>
      <c r="H21" s="158">
        <v>18294029.109999999</v>
      </c>
      <c r="I21" s="158">
        <v>15070500</v>
      </c>
      <c r="J21" s="158">
        <v>506479.36999999994</v>
      </c>
      <c r="K21" s="158">
        <v>2717049.7399999998</v>
      </c>
      <c r="L21" s="158">
        <v>0</v>
      </c>
      <c r="M21" s="443"/>
    </row>
    <row r="22" spans="1:14" s="114" customFormat="1" ht="16.5" x14ac:dyDescent="0.2">
      <c r="A22" s="154"/>
      <c r="B22" s="148"/>
      <c r="C22" s="159"/>
      <c r="D22" s="160" t="s">
        <v>220</v>
      </c>
      <c r="E22" s="161"/>
      <c r="F22" s="161">
        <v>32000</v>
      </c>
      <c r="G22" s="161">
        <v>268000</v>
      </c>
      <c r="H22" s="162">
        <v>268000</v>
      </c>
      <c r="I22" s="161">
        <v>268000</v>
      </c>
      <c r="J22" s="163" t="s">
        <v>221</v>
      </c>
      <c r="K22" s="163" t="s">
        <v>221</v>
      </c>
      <c r="L22" s="163" t="s">
        <v>221</v>
      </c>
      <c r="M22" s="444" t="s">
        <v>222</v>
      </c>
    </row>
    <row r="23" spans="1:14" s="114" customFormat="1" ht="16.5" x14ac:dyDescent="0.2">
      <c r="A23" s="154"/>
      <c r="B23" s="148"/>
      <c r="C23" s="164"/>
      <c r="D23" s="160" t="s">
        <v>223</v>
      </c>
      <c r="E23" s="161">
        <v>32000</v>
      </c>
      <c r="F23" s="160"/>
      <c r="G23" s="161">
        <v>332000</v>
      </c>
      <c r="H23" s="162">
        <v>332000</v>
      </c>
      <c r="I23" s="161">
        <v>332000</v>
      </c>
      <c r="J23" s="163" t="s">
        <v>221</v>
      </c>
      <c r="K23" s="163" t="s">
        <v>221</v>
      </c>
      <c r="L23" s="163" t="s">
        <v>221</v>
      </c>
      <c r="M23" s="153" t="s">
        <v>222</v>
      </c>
    </row>
    <row r="25" spans="1:14" s="115" customFormat="1" ht="14.25" x14ac:dyDescent="0.2">
      <c r="A25" s="114"/>
      <c r="B25" s="114" t="s">
        <v>224</v>
      </c>
      <c r="C25" s="114"/>
      <c r="M25" s="116"/>
    </row>
  </sheetData>
  <autoFilter ref="M1:M25" xr:uid="{2751B8D0-CB78-4124-9FCC-66E96B3C9CE0}"/>
  <mergeCells count="2">
    <mergeCell ref="H11:K11"/>
    <mergeCell ref="I12:K12"/>
  </mergeCells>
  <printOptions horizontalCentered="1"/>
  <pageMargins left="0.11811023622047245" right="0.11811023622047245" top="0.74803149606299213" bottom="0.35433070866141736" header="0.51181102362204722" footer="0.11811023622047245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5B6B-AD14-4505-A077-B749E9E84C94}">
  <dimension ref="A1:L42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165" customWidth="1"/>
    <col min="2" max="2" width="58.28515625" style="165" customWidth="1"/>
    <col min="3" max="3" width="10.28515625" style="165"/>
    <col min="4" max="4" width="11.42578125" style="165" customWidth="1"/>
    <col min="5" max="7" width="10.7109375" style="165" customWidth="1"/>
    <col min="8" max="9" width="11.28515625" style="165" customWidth="1"/>
    <col min="10" max="10" width="17" style="165" customWidth="1"/>
    <col min="11" max="11" width="16.28515625" style="165" customWidth="1"/>
    <col min="12" max="256" width="10.28515625" style="165"/>
    <col min="257" max="257" width="6.42578125" style="165" customWidth="1"/>
    <col min="258" max="258" width="58.28515625" style="165" customWidth="1"/>
    <col min="259" max="259" width="10.28515625" style="165"/>
    <col min="260" max="260" width="11" style="165" customWidth="1"/>
    <col min="261" max="262" width="9.7109375" style="165" customWidth="1"/>
    <col min="263" max="263" width="10.7109375" style="165" customWidth="1"/>
    <col min="264" max="265" width="11.28515625" style="165" customWidth="1"/>
    <col min="266" max="266" width="17" style="165" customWidth="1"/>
    <col min="267" max="267" width="16.28515625" style="165" customWidth="1"/>
    <col min="268" max="512" width="10.28515625" style="165"/>
    <col min="513" max="513" width="6.42578125" style="165" customWidth="1"/>
    <col min="514" max="514" width="58.28515625" style="165" customWidth="1"/>
    <col min="515" max="515" width="10.28515625" style="165"/>
    <col min="516" max="516" width="11" style="165" customWidth="1"/>
    <col min="517" max="518" width="9.7109375" style="165" customWidth="1"/>
    <col min="519" max="519" width="10.7109375" style="165" customWidth="1"/>
    <col min="520" max="521" width="11.28515625" style="165" customWidth="1"/>
    <col min="522" max="522" width="17" style="165" customWidth="1"/>
    <col min="523" max="523" width="16.28515625" style="165" customWidth="1"/>
    <col min="524" max="768" width="10.28515625" style="165"/>
    <col min="769" max="769" width="6.42578125" style="165" customWidth="1"/>
    <col min="770" max="770" width="58.28515625" style="165" customWidth="1"/>
    <col min="771" max="771" width="10.28515625" style="165"/>
    <col min="772" max="772" width="11" style="165" customWidth="1"/>
    <col min="773" max="774" width="9.7109375" style="165" customWidth="1"/>
    <col min="775" max="775" width="10.7109375" style="165" customWidth="1"/>
    <col min="776" max="777" width="11.28515625" style="165" customWidth="1"/>
    <col min="778" max="778" width="17" style="165" customWidth="1"/>
    <col min="779" max="779" width="16.28515625" style="165" customWidth="1"/>
    <col min="780" max="1024" width="10.28515625" style="165"/>
    <col min="1025" max="1025" width="6.42578125" style="165" customWidth="1"/>
    <col min="1026" max="1026" width="58.28515625" style="165" customWidth="1"/>
    <col min="1027" max="1027" width="10.28515625" style="165"/>
    <col min="1028" max="1028" width="11" style="165" customWidth="1"/>
    <col min="1029" max="1030" width="9.7109375" style="165" customWidth="1"/>
    <col min="1031" max="1031" width="10.7109375" style="165" customWidth="1"/>
    <col min="1032" max="1033" width="11.28515625" style="165" customWidth="1"/>
    <col min="1034" max="1034" width="17" style="165" customWidth="1"/>
    <col min="1035" max="1035" width="16.28515625" style="165" customWidth="1"/>
    <col min="1036" max="1280" width="10.28515625" style="165"/>
    <col min="1281" max="1281" width="6.42578125" style="165" customWidth="1"/>
    <col min="1282" max="1282" width="58.28515625" style="165" customWidth="1"/>
    <col min="1283" max="1283" width="10.28515625" style="165"/>
    <col min="1284" max="1284" width="11" style="165" customWidth="1"/>
    <col min="1285" max="1286" width="9.7109375" style="165" customWidth="1"/>
    <col min="1287" max="1287" width="10.7109375" style="165" customWidth="1"/>
    <col min="1288" max="1289" width="11.28515625" style="165" customWidth="1"/>
    <col min="1290" max="1290" width="17" style="165" customWidth="1"/>
    <col min="1291" max="1291" width="16.28515625" style="165" customWidth="1"/>
    <col min="1292" max="1536" width="10.28515625" style="165"/>
    <col min="1537" max="1537" width="6.42578125" style="165" customWidth="1"/>
    <col min="1538" max="1538" width="58.28515625" style="165" customWidth="1"/>
    <col min="1539" max="1539" width="10.28515625" style="165"/>
    <col min="1540" max="1540" width="11" style="165" customWidth="1"/>
    <col min="1541" max="1542" width="9.7109375" style="165" customWidth="1"/>
    <col min="1543" max="1543" width="10.7109375" style="165" customWidth="1"/>
    <col min="1544" max="1545" width="11.28515625" style="165" customWidth="1"/>
    <col min="1546" max="1546" width="17" style="165" customWidth="1"/>
    <col min="1547" max="1547" width="16.28515625" style="165" customWidth="1"/>
    <col min="1548" max="1792" width="10.28515625" style="165"/>
    <col min="1793" max="1793" width="6.42578125" style="165" customWidth="1"/>
    <col min="1794" max="1794" width="58.28515625" style="165" customWidth="1"/>
    <col min="1795" max="1795" width="10.28515625" style="165"/>
    <col min="1796" max="1796" width="11" style="165" customWidth="1"/>
    <col min="1797" max="1798" width="9.7109375" style="165" customWidth="1"/>
    <col min="1799" max="1799" width="10.7109375" style="165" customWidth="1"/>
    <col min="1800" max="1801" width="11.28515625" style="165" customWidth="1"/>
    <col min="1802" max="1802" width="17" style="165" customWidth="1"/>
    <col min="1803" max="1803" width="16.28515625" style="165" customWidth="1"/>
    <col min="1804" max="2048" width="10.28515625" style="165"/>
    <col min="2049" max="2049" width="6.42578125" style="165" customWidth="1"/>
    <col min="2050" max="2050" width="58.28515625" style="165" customWidth="1"/>
    <col min="2051" max="2051" width="10.28515625" style="165"/>
    <col min="2052" max="2052" width="11" style="165" customWidth="1"/>
    <col min="2053" max="2054" width="9.7109375" style="165" customWidth="1"/>
    <col min="2055" max="2055" width="10.7109375" style="165" customWidth="1"/>
    <col min="2056" max="2057" width="11.28515625" style="165" customWidth="1"/>
    <col min="2058" max="2058" width="17" style="165" customWidth="1"/>
    <col min="2059" max="2059" width="16.28515625" style="165" customWidth="1"/>
    <col min="2060" max="2304" width="10.28515625" style="165"/>
    <col min="2305" max="2305" width="6.42578125" style="165" customWidth="1"/>
    <col min="2306" max="2306" width="58.28515625" style="165" customWidth="1"/>
    <col min="2307" max="2307" width="10.28515625" style="165"/>
    <col min="2308" max="2308" width="11" style="165" customWidth="1"/>
    <col min="2309" max="2310" width="9.7109375" style="165" customWidth="1"/>
    <col min="2311" max="2311" width="10.7109375" style="165" customWidth="1"/>
    <col min="2312" max="2313" width="11.28515625" style="165" customWidth="1"/>
    <col min="2314" max="2314" width="17" style="165" customWidth="1"/>
    <col min="2315" max="2315" width="16.28515625" style="165" customWidth="1"/>
    <col min="2316" max="2560" width="10.28515625" style="165"/>
    <col min="2561" max="2561" width="6.42578125" style="165" customWidth="1"/>
    <col min="2562" max="2562" width="58.28515625" style="165" customWidth="1"/>
    <col min="2563" max="2563" width="10.28515625" style="165"/>
    <col min="2564" max="2564" width="11" style="165" customWidth="1"/>
    <col min="2565" max="2566" width="9.7109375" style="165" customWidth="1"/>
    <col min="2567" max="2567" width="10.7109375" style="165" customWidth="1"/>
    <col min="2568" max="2569" width="11.28515625" style="165" customWidth="1"/>
    <col min="2570" max="2570" width="17" style="165" customWidth="1"/>
    <col min="2571" max="2571" width="16.28515625" style="165" customWidth="1"/>
    <col min="2572" max="2816" width="10.28515625" style="165"/>
    <col min="2817" max="2817" width="6.42578125" style="165" customWidth="1"/>
    <col min="2818" max="2818" width="58.28515625" style="165" customWidth="1"/>
    <col min="2819" max="2819" width="10.28515625" style="165"/>
    <col min="2820" max="2820" width="11" style="165" customWidth="1"/>
    <col min="2821" max="2822" width="9.7109375" style="165" customWidth="1"/>
    <col min="2823" max="2823" width="10.7109375" style="165" customWidth="1"/>
    <col min="2824" max="2825" width="11.28515625" style="165" customWidth="1"/>
    <col min="2826" max="2826" width="17" style="165" customWidth="1"/>
    <col min="2827" max="2827" width="16.28515625" style="165" customWidth="1"/>
    <col min="2828" max="3072" width="10.28515625" style="165"/>
    <col min="3073" max="3073" width="6.42578125" style="165" customWidth="1"/>
    <col min="3074" max="3074" width="58.28515625" style="165" customWidth="1"/>
    <col min="3075" max="3075" width="10.28515625" style="165"/>
    <col min="3076" max="3076" width="11" style="165" customWidth="1"/>
    <col min="3077" max="3078" width="9.7109375" style="165" customWidth="1"/>
    <col min="3079" max="3079" width="10.7109375" style="165" customWidth="1"/>
    <col min="3080" max="3081" width="11.28515625" style="165" customWidth="1"/>
    <col min="3082" max="3082" width="17" style="165" customWidth="1"/>
    <col min="3083" max="3083" width="16.28515625" style="165" customWidth="1"/>
    <col min="3084" max="3328" width="10.28515625" style="165"/>
    <col min="3329" max="3329" width="6.42578125" style="165" customWidth="1"/>
    <col min="3330" max="3330" width="58.28515625" style="165" customWidth="1"/>
    <col min="3331" max="3331" width="10.28515625" style="165"/>
    <col min="3332" max="3332" width="11" style="165" customWidth="1"/>
    <col min="3333" max="3334" width="9.7109375" style="165" customWidth="1"/>
    <col min="3335" max="3335" width="10.7109375" style="165" customWidth="1"/>
    <col min="3336" max="3337" width="11.28515625" style="165" customWidth="1"/>
    <col min="3338" max="3338" width="17" style="165" customWidth="1"/>
    <col min="3339" max="3339" width="16.28515625" style="165" customWidth="1"/>
    <col min="3340" max="3584" width="10.28515625" style="165"/>
    <col min="3585" max="3585" width="6.42578125" style="165" customWidth="1"/>
    <col min="3586" max="3586" width="58.28515625" style="165" customWidth="1"/>
    <col min="3587" max="3587" width="10.28515625" style="165"/>
    <col min="3588" max="3588" width="11" style="165" customWidth="1"/>
    <col min="3589" max="3590" width="9.7109375" style="165" customWidth="1"/>
    <col min="3591" max="3591" width="10.7109375" style="165" customWidth="1"/>
    <col min="3592" max="3593" width="11.28515625" style="165" customWidth="1"/>
    <col min="3594" max="3594" width="17" style="165" customWidth="1"/>
    <col min="3595" max="3595" width="16.28515625" style="165" customWidth="1"/>
    <col min="3596" max="3840" width="10.28515625" style="165"/>
    <col min="3841" max="3841" width="6.42578125" style="165" customWidth="1"/>
    <col min="3842" max="3842" width="58.28515625" style="165" customWidth="1"/>
    <col min="3843" max="3843" width="10.28515625" style="165"/>
    <col min="3844" max="3844" width="11" style="165" customWidth="1"/>
    <col min="3845" max="3846" width="9.7109375" style="165" customWidth="1"/>
    <col min="3847" max="3847" width="10.7109375" style="165" customWidth="1"/>
    <col min="3848" max="3849" width="11.28515625" style="165" customWidth="1"/>
    <col min="3850" max="3850" width="17" style="165" customWidth="1"/>
    <col min="3851" max="3851" width="16.28515625" style="165" customWidth="1"/>
    <col min="3852" max="4096" width="10.28515625" style="165"/>
    <col min="4097" max="4097" width="6.42578125" style="165" customWidth="1"/>
    <col min="4098" max="4098" width="58.28515625" style="165" customWidth="1"/>
    <col min="4099" max="4099" width="10.28515625" style="165"/>
    <col min="4100" max="4100" width="11" style="165" customWidth="1"/>
    <col min="4101" max="4102" width="9.7109375" style="165" customWidth="1"/>
    <col min="4103" max="4103" width="10.7109375" style="165" customWidth="1"/>
    <col min="4104" max="4105" width="11.28515625" style="165" customWidth="1"/>
    <col min="4106" max="4106" width="17" style="165" customWidth="1"/>
    <col min="4107" max="4107" width="16.28515625" style="165" customWidth="1"/>
    <col min="4108" max="4352" width="10.28515625" style="165"/>
    <col min="4353" max="4353" width="6.42578125" style="165" customWidth="1"/>
    <col min="4354" max="4354" width="58.28515625" style="165" customWidth="1"/>
    <col min="4355" max="4355" width="10.28515625" style="165"/>
    <col min="4356" max="4356" width="11" style="165" customWidth="1"/>
    <col min="4357" max="4358" width="9.7109375" style="165" customWidth="1"/>
    <col min="4359" max="4359" width="10.7109375" style="165" customWidth="1"/>
    <col min="4360" max="4361" width="11.28515625" style="165" customWidth="1"/>
    <col min="4362" max="4362" width="17" style="165" customWidth="1"/>
    <col min="4363" max="4363" width="16.28515625" style="165" customWidth="1"/>
    <col min="4364" max="4608" width="10.28515625" style="165"/>
    <col min="4609" max="4609" width="6.42578125" style="165" customWidth="1"/>
    <col min="4610" max="4610" width="58.28515625" style="165" customWidth="1"/>
    <col min="4611" max="4611" width="10.28515625" style="165"/>
    <col min="4612" max="4612" width="11" style="165" customWidth="1"/>
    <col min="4613" max="4614" width="9.7109375" style="165" customWidth="1"/>
    <col min="4615" max="4615" width="10.7109375" style="165" customWidth="1"/>
    <col min="4616" max="4617" width="11.28515625" style="165" customWidth="1"/>
    <col min="4618" max="4618" width="17" style="165" customWidth="1"/>
    <col min="4619" max="4619" width="16.28515625" style="165" customWidth="1"/>
    <col min="4620" max="4864" width="10.28515625" style="165"/>
    <col min="4865" max="4865" width="6.42578125" style="165" customWidth="1"/>
    <col min="4866" max="4866" width="58.28515625" style="165" customWidth="1"/>
    <col min="4867" max="4867" width="10.28515625" style="165"/>
    <col min="4868" max="4868" width="11" style="165" customWidth="1"/>
    <col min="4869" max="4870" width="9.7109375" style="165" customWidth="1"/>
    <col min="4871" max="4871" width="10.7109375" style="165" customWidth="1"/>
    <col min="4872" max="4873" width="11.28515625" style="165" customWidth="1"/>
    <col min="4874" max="4874" width="17" style="165" customWidth="1"/>
    <col min="4875" max="4875" width="16.28515625" style="165" customWidth="1"/>
    <col min="4876" max="5120" width="10.28515625" style="165"/>
    <col min="5121" max="5121" width="6.42578125" style="165" customWidth="1"/>
    <col min="5122" max="5122" width="58.28515625" style="165" customWidth="1"/>
    <col min="5123" max="5123" width="10.28515625" style="165"/>
    <col min="5124" max="5124" width="11" style="165" customWidth="1"/>
    <col min="5125" max="5126" width="9.7109375" style="165" customWidth="1"/>
    <col min="5127" max="5127" width="10.7109375" style="165" customWidth="1"/>
    <col min="5128" max="5129" width="11.28515625" style="165" customWidth="1"/>
    <col min="5130" max="5130" width="17" style="165" customWidth="1"/>
    <col min="5131" max="5131" width="16.28515625" style="165" customWidth="1"/>
    <col min="5132" max="5376" width="10.28515625" style="165"/>
    <col min="5377" max="5377" width="6.42578125" style="165" customWidth="1"/>
    <col min="5378" max="5378" width="58.28515625" style="165" customWidth="1"/>
    <col min="5379" max="5379" width="10.28515625" style="165"/>
    <col min="5380" max="5380" width="11" style="165" customWidth="1"/>
    <col min="5381" max="5382" width="9.7109375" style="165" customWidth="1"/>
    <col min="5383" max="5383" width="10.7109375" style="165" customWidth="1"/>
    <col min="5384" max="5385" width="11.28515625" style="165" customWidth="1"/>
    <col min="5386" max="5386" width="17" style="165" customWidth="1"/>
    <col min="5387" max="5387" width="16.28515625" style="165" customWidth="1"/>
    <col min="5388" max="5632" width="10.28515625" style="165"/>
    <col min="5633" max="5633" width="6.42578125" style="165" customWidth="1"/>
    <col min="5634" max="5634" width="58.28515625" style="165" customWidth="1"/>
    <col min="5635" max="5635" width="10.28515625" style="165"/>
    <col min="5636" max="5636" width="11" style="165" customWidth="1"/>
    <col min="5637" max="5638" width="9.7109375" style="165" customWidth="1"/>
    <col min="5639" max="5639" width="10.7109375" style="165" customWidth="1"/>
    <col min="5640" max="5641" width="11.28515625" style="165" customWidth="1"/>
    <col min="5642" max="5642" width="17" style="165" customWidth="1"/>
    <col min="5643" max="5643" width="16.28515625" style="165" customWidth="1"/>
    <col min="5644" max="5888" width="10.28515625" style="165"/>
    <col min="5889" max="5889" width="6.42578125" style="165" customWidth="1"/>
    <col min="5890" max="5890" width="58.28515625" style="165" customWidth="1"/>
    <col min="5891" max="5891" width="10.28515625" style="165"/>
    <col min="5892" max="5892" width="11" style="165" customWidth="1"/>
    <col min="5893" max="5894" width="9.7109375" style="165" customWidth="1"/>
    <col min="5895" max="5895" width="10.7109375" style="165" customWidth="1"/>
    <col min="5896" max="5897" width="11.28515625" style="165" customWidth="1"/>
    <col min="5898" max="5898" width="17" style="165" customWidth="1"/>
    <col min="5899" max="5899" width="16.28515625" style="165" customWidth="1"/>
    <col min="5900" max="6144" width="10.28515625" style="165"/>
    <col min="6145" max="6145" width="6.42578125" style="165" customWidth="1"/>
    <col min="6146" max="6146" width="58.28515625" style="165" customWidth="1"/>
    <col min="6147" max="6147" width="10.28515625" style="165"/>
    <col min="6148" max="6148" width="11" style="165" customWidth="1"/>
    <col min="6149" max="6150" width="9.7109375" style="165" customWidth="1"/>
    <col min="6151" max="6151" width="10.7109375" style="165" customWidth="1"/>
    <col min="6152" max="6153" width="11.28515625" style="165" customWidth="1"/>
    <col min="6154" max="6154" width="17" style="165" customWidth="1"/>
    <col min="6155" max="6155" width="16.28515625" style="165" customWidth="1"/>
    <col min="6156" max="6400" width="10.28515625" style="165"/>
    <col min="6401" max="6401" width="6.42578125" style="165" customWidth="1"/>
    <col min="6402" max="6402" width="58.28515625" style="165" customWidth="1"/>
    <col min="6403" max="6403" width="10.28515625" style="165"/>
    <col min="6404" max="6404" width="11" style="165" customWidth="1"/>
    <col min="6405" max="6406" width="9.7109375" style="165" customWidth="1"/>
    <col min="6407" max="6407" width="10.7109375" style="165" customWidth="1"/>
    <col min="6408" max="6409" width="11.28515625" style="165" customWidth="1"/>
    <col min="6410" max="6410" width="17" style="165" customWidth="1"/>
    <col min="6411" max="6411" width="16.28515625" style="165" customWidth="1"/>
    <col min="6412" max="6656" width="10.28515625" style="165"/>
    <col min="6657" max="6657" width="6.42578125" style="165" customWidth="1"/>
    <col min="6658" max="6658" width="58.28515625" style="165" customWidth="1"/>
    <col min="6659" max="6659" width="10.28515625" style="165"/>
    <col min="6660" max="6660" width="11" style="165" customWidth="1"/>
    <col min="6661" max="6662" width="9.7109375" style="165" customWidth="1"/>
    <col min="6663" max="6663" width="10.7109375" style="165" customWidth="1"/>
    <col min="6664" max="6665" width="11.28515625" style="165" customWidth="1"/>
    <col min="6666" max="6666" width="17" style="165" customWidth="1"/>
    <col min="6667" max="6667" width="16.28515625" style="165" customWidth="1"/>
    <col min="6668" max="6912" width="10.28515625" style="165"/>
    <col min="6913" max="6913" width="6.42578125" style="165" customWidth="1"/>
    <col min="6914" max="6914" width="58.28515625" style="165" customWidth="1"/>
    <col min="6915" max="6915" width="10.28515625" style="165"/>
    <col min="6916" max="6916" width="11" style="165" customWidth="1"/>
    <col min="6917" max="6918" width="9.7109375" style="165" customWidth="1"/>
    <col min="6919" max="6919" width="10.7109375" style="165" customWidth="1"/>
    <col min="6920" max="6921" width="11.28515625" style="165" customWidth="1"/>
    <col min="6922" max="6922" width="17" style="165" customWidth="1"/>
    <col min="6923" max="6923" width="16.28515625" style="165" customWidth="1"/>
    <col min="6924" max="7168" width="10.28515625" style="165"/>
    <col min="7169" max="7169" width="6.42578125" style="165" customWidth="1"/>
    <col min="7170" max="7170" width="58.28515625" style="165" customWidth="1"/>
    <col min="7171" max="7171" width="10.28515625" style="165"/>
    <col min="7172" max="7172" width="11" style="165" customWidth="1"/>
    <col min="7173" max="7174" width="9.7109375" style="165" customWidth="1"/>
    <col min="7175" max="7175" width="10.7109375" style="165" customWidth="1"/>
    <col min="7176" max="7177" width="11.28515625" style="165" customWidth="1"/>
    <col min="7178" max="7178" width="17" style="165" customWidth="1"/>
    <col min="7179" max="7179" width="16.28515625" style="165" customWidth="1"/>
    <col min="7180" max="7424" width="10.28515625" style="165"/>
    <col min="7425" max="7425" width="6.42578125" style="165" customWidth="1"/>
    <col min="7426" max="7426" width="58.28515625" style="165" customWidth="1"/>
    <col min="7427" max="7427" width="10.28515625" style="165"/>
    <col min="7428" max="7428" width="11" style="165" customWidth="1"/>
    <col min="7429" max="7430" width="9.7109375" style="165" customWidth="1"/>
    <col min="7431" max="7431" width="10.7109375" style="165" customWidth="1"/>
    <col min="7432" max="7433" width="11.28515625" style="165" customWidth="1"/>
    <col min="7434" max="7434" width="17" style="165" customWidth="1"/>
    <col min="7435" max="7435" width="16.28515625" style="165" customWidth="1"/>
    <col min="7436" max="7680" width="10.28515625" style="165"/>
    <col min="7681" max="7681" width="6.42578125" style="165" customWidth="1"/>
    <col min="7682" max="7682" width="58.28515625" style="165" customWidth="1"/>
    <col min="7683" max="7683" width="10.28515625" style="165"/>
    <col min="7684" max="7684" width="11" style="165" customWidth="1"/>
    <col min="7685" max="7686" width="9.7109375" style="165" customWidth="1"/>
    <col min="7687" max="7687" width="10.7109375" style="165" customWidth="1"/>
    <col min="7688" max="7689" width="11.28515625" style="165" customWidth="1"/>
    <col min="7690" max="7690" width="17" style="165" customWidth="1"/>
    <col min="7691" max="7691" width="16.28515625" style="165" customWidth="1"/>
    <col min="7692" max="7936" width="10.28515625" style="165"/>
    <col min="7937" max="7937" width="6.42578125" style="165" customWidth="1"/>
    <col min="7938" max="7938" width="58.28515625" style="165" customWidth="1"/>
    <col min="7939" max="7939" width="10.28515625" style="165"/>
    <col min="7940" max="7940" width="11" style="165" customWidth="1"/>
    <col min="7941" max="7942" width="9.7109375" style="165" customWidth="1"/>
    <col min="7943" max="7943" width="10.7109375" style="165" customWidth="1"/>
    <col min="7944" max="7945" width="11.28515625" style="165" customWidth="1"/>
    <col min="7946" max="7946" width="17" style="165" customWidth="1"/>
    <col min="7947" max="7947" width="16.28515625" style="165" customWidth="1"/>
    <col min="7948" max="8192" width="10.28515625" style="165"/>
    <col min="8193" max="8193" width="6.42578125" style="165" customWidth="1"/>
    <col min="8194" max="8194" width="58.28515625" style="165" customWidth="1"/>
    <col min="8195" max="8195" width="10.28515625" style="165"/>
    <col min="8196" max="8196" width="11" style="165" customWidth="1"/>
    <col min="8197" max="8198" width="9.7109375" style="165" customWidth="1"/>
    <col min="8199" max="8199" width="10.7109375" style="165" customWidth="1"/>
    <col min="8200" max="8201" width="11.28515625" style="165" customWidth="1"/>
    <col min="8202" max="8202" width="17" style="165" customWidth="1"/>
    <col min="8203" max="8203" width="16.28515625" style="165" customWidth="1"/>
    <col min="8204" max="8448" width="10.28515625" style="165"/>
    <col min="8449" max="8449" width="6.42578125" style="165" customWidth="1"/>
    <col min="8450" max="8450" width="58.28515625" style="165" customWidth="1"/>
    <col min="8451" max="8451" width="10.28515625" style="165"/>
    <col min="8452" max="8452" width="11" style="165" customWidth="1"/>
    <col min="8453" max="8454" width="9.7109375" style="165" customWidth="1"/>
    <col min="8455" max="8455" width="10.7109375" style="165" customWidth="1"/>
    <col min="8456" max="8457" width="11.28515625" style="165" customWidth="1"/>
    <col min="8458" max="8458" width="17" style="165" customWidth="1"/>
    <col min="8459" max="8459" width="16.28515625" style="165" customWidth="1"/>
    <col min="8460" max="8704" width="10.28515625" style="165"/>
    <col min="8705" max="8705" width="6.42578125" style="165" customWidth="1"/>
    <col min="8706" max="8706" width="58.28515625" style="165" customWidth="1"/>
    <col min="8707" max="8707" width="10.28515625" style="165"/>
    <col min="8708" max="8708" width="11" style="165" customWidth="1"/>
    <col min="8709" max="8710" width="9.7109375" style="165" customWidth="1"/>
    <col min="8711" max="8711" width="10.7109375" style="165" customWidth="1"/>
    <col min="8712" max="8713" width="11.28515625" style="165" customWidth="1"/>
    <col min="8714" max="8714" width="17" style="165" customWidth="1"/>
    <col min="8715" max="8715" width="16.28515625" style="165" customWidth="1"/>
    <col min="8716" max="8960" width="10.28515625" style="165"/>
    <col min="8961" max="8961" width="6.42578125" style="165" customWidth="1"/>
    <col min="8962" max="8962" width="58.28515625" style="165" customWidth="1"/>
    <col min="8963" max="8963" width="10.28515625" style="165"/>
    <col min="8964" max="8964" width="11" style="165" customWidth="1"/>
    <col min="8965" max="8966" width="9.7109375" style="165" customWidth="1"/>
    <col min="8967" max="8967" width="10.7109375" style="165" customWidth="1"/>
    <col min="8968" max="8969" width="11.28515625" style="165" customWidth="1"/>
    <col min="8970" max="8970" width="17" style="165" customWidth="1"/>
    <col min="8971" max="8971" width="16.28515625" style="165" customWidth="1"/>
    <col min="8972" max="9216" width="10.28515625" style="165"/>
    <col min="9217" max="9217" width="6.42578125" style="165" customWidth="1"/>
    <col min="9218" max="9218" width="58.28515625" style="165" customWidth="1"/>
    <col min="9219" max="9219" width="10.28515625" style="165"/>
    <col min="9220" max="9220" width="11" style="165" customWidth="1"/>
    <col min="9221" max="9222" width="9.7109375" style="165" customWidth="1"/>
    <col min="9223" max="9223" width="10.7109375" style="165" customWidth="1"/>
    <col min="9224" max="9225" width="11.28515625" style="165" customWidth="1"/>
    <col min="9226" max="9226" width="17" style="165" customWidth="1"/>
    <col min="9227" max="9227" width="16.28515625" style="165" customWidth="1"/>
    <col min="9228" max="9472" width="10.28515625" style="165"/>
    <col min="9473" max="9473" width="6.42578125" style="165" customWidth="1"/>
    <col min="9474" max="9474" width="58.28515625" style="165" customWidth="1"/>
    <col min="9475" max="9475" width="10.28515625" style="165"/>
    <col min="9476" max="9476" width="11" style="165" customWidth="1"/>
    <col min="9477" max="9478" width="9.7109375" style="165" customWidth="1"/>
    <col min="9479" max="9479" width="10.7109375" style="165" customWidth="1"/>
    <col min="9480" max="9481" width="11.28515625" style="165" customWidth="1"/>
    <col min="9482" max="9482" width="17" style="165" customWidth="1"/>
    <col min="9483" max="9483" width="16.28515625" style="165" customWidth="1"/>
    <col min="9484" max="9728" width="10.28515625" style="165"/>
    <col min="9729" max="9729" width="6.42578125" style="165" customWidth="1"/>
    <col min="9730" max="9730" width="58.28515625" style="165" customWidth="1"/>
    <col min="9731" max="9731" width="10.28515625" style="165"/>
    <col min="9732" max="9732" width="11" style="165" customWidth="1"/>
    <col min="9733" max="9734" width="9.7109375" style="165" customWidth="1"/>
    <col min="9735" max="9735" width="10.7109375" style="165" customWidth="1"/>
    <col min="9736" max="9737" width="11.28515625" style="165" customWidth="1"/>
    <col min="9738" max="9738" width="17" style="165" customWidth="1"/>
    <col min="9739" max="9739" width="16.28515625" style="165" customWidth="1"/>
    <col min="9740" max="9984" width="10.28515625" style="165"/>
    <col min="9985" max="9985" width="6.42578125" style="165" customWidth="1"/>
    <col min="9986" max="9986" width="58.28515625" style="165" customWidth="1"/>
    <col min="9987" max="9987" width="10.28515625" style="165"/>
    <col min="9988" max="9988" width="11" style="165" customWidth="1"/>
    <col min="9989" max="9990" width="9.7109375" style="165" customWidth="1"/>
    <col min="9991" max="9991" width="10.7109375" style="165" customWidth="1"/>
    <col min="9992" max="9993" width="11.28515625" style="165" customWidth="1"/>
    <col min="9994" max="9994" width="17" style="165" customWidth="1"/>
    <col min="9995" max="9995" width="16.28515625" style="165" customWidth="1"/>
    <col min="9996" max="10240" width="10.28515625" style="165"/>
    <col min="10241" max="10241" width="6.42578125" style="165" customWidth="1"/>
    <col min="10242" max="10242" width="58.28515625" style="165" customWidth="1"/>
    <col min="10243" max="10243" width="10.28515625" style="165"/>
    <col min="10244" max="10244" width="11" style="165" customWidth="1"/>
    <col min="10245" max="10246" width="9.7109375" style="165" customWidth="1"/>
    <col min="10247" max="10247" width="10.7109375" style="165" customWidth="1"/>
    <col min="10248" max="10249" width="11.28515625" style="165" customWidth="1"/>
    <col min="10250" max="10250" width="17" style="165" customWidth="1"/>
    <col min="10251" max="10251" width="16.28515625" style="165" customWidth="1"/>
    <col min="10252" max="10496" width="10.28515625" style="165"/>
    <col min="10497" max="10497" width="6.42578125" style="165" customWidth="1"/>
    <col min="10498" max="10498" width="58.28515625" style="165" customWidth="1"/>
    <col min="10499" max="10499" width="10.28515625" style="165"/>
    <col min="10500" max="10500" width="11" style="165" customWidth="1"/>
    <col min="10501" max="10502" width="9.7109375" style="165" customWidth="1"/>
    <col min="10503" max="10503" width="10.7109375" style="165" customWidth="1"/>
    <col min="10504" max="10505" width="11.28515625" style="165" customWidth="1"/>
    <col min="10506" max="10506" width="17" style="165" customWidth="1"/>
    <col min="10507" max="10507" width="16.28515625" style="165" customWidth="1"/>
    <col min="10508" max="10752" width="10.28515625" style="165"/>
    <col min="10753" max="10753" width="6.42578125" style="165" customWidth="1"/>
    <col min="10754" max="10754" width="58.28515625" style="165" customWidth="1"/>
    <col min="10755" max="10755" width="10.28515625" style="165"/>
    <col min="10756" max="10756" width="11" style="165" customWidth="1"/>
    <col min="10757" max="10758" width="9.7109375" style="165" customWidth="1"/>
    <col min="10759" max="10759" width="10.7109375" style="165" customWidth="1"/>
    <col min="10760" max="10761" width="11.28515625" style="165" customWidth="1"/>
    <col min="10762" max="10762" width="17" style="165" customWidth="1"/>
    <col min="10763" max="10763" width="16.28515625" style="165" customWidth="1"/>
    <col min="10764" max="11008" width="10.28515625" style="165"/>
    <col min="11009" max="11009" width="6.42578125" style="165" customWidth="1"/>
    <col min="11010" max="11010" width="58.28515625" style="165" customWidth="1"/>
    <col min="11011" max="11011" width="10.28515625" style="165"/>
    <col min="11012" max="11012" width="11" style="165" customWidth="1"/>
    <col min="11013" max="11014" width="9.7109375" style="165" customWidth="1"/>
    <col min="11015" max="11015" width="10.7109375" style="165" customWidth="1"/>
    <col min="11016" max="11017" width="11.28515625" style="165" customWidth="1"/>
    <col min="11018" max="11018" width="17" style="165" customWidth="1"/>
    <col min="11019" max="11019" width="16.28515625" style="165" customWidth="1"/>
    <col min="11020" max="11264" width="10.28515625" style="165"/>
    <col min="11265" max="11265" width="6.42578125" style="165" customWidth="1"/>
    <col min="11266" max="11266" width="58.28515625" style="165" customWidth="1"/>
    <col min="11267" max="11267" width="10.28515625" style="165"/>
    <col min="11268" max="11268" width="11" style="165" customWidth="1"/>
    <col min="11269" max="11270" width="9.7109375" style="165" customWidth="1"/>
    <col min="11271" max="11271" width="10.7109375" style="165" customWidth="1"/>
    <col min="11272" max="11273" width="11.28515625" style="165" customWidth="1"/>
    <col min="11274" max="11274" width="17" style="165" customWidth="1"/>
    <col min="11275" max="11275" width="16.28515625" style="165" customWidth="1"/>
    <col min="11276" max="11520" width="10.28515625" style="165"/>
    <col min="11521" max="11521" width="6.42578125" style="165" customWidth="1"/>
    <col min="11522" max="11522" width="58.28515625" style="165" customWidth="1"/>
    <col min="11523" max="11523" width="10.28515625" style="165"/>
    <col min="11524" max="11524" width="11" style="165" customWidth="1"/>
    <col min="11525" max="11526" width="9.7109375" style="165" customWidth="1"/>
    <col min="11527" max="11527" width="10.7109375" style="165" customWidth="1"/>
    <col min="11528" max="11529" width="11.28515625" style="165" customWidth="1"/>
    <col min="11530" max="11530" width="17" style="165" customWidth="1"/>
    <col min="11531" max="11531" width="16.28515625" style="165" customWidth="1"/>
    <col min="11532" max="11776" width="10.28515625" style="165"/>
    <col min="11777" max="11777" width="6.42578125" style="165" customWidth="1"/>
    <col min="11778" max="11778" width="58.28515625" style="165" customWidth="1"/>
    <col min="11779" max="11779" width="10.28515625" style="165"/>
    <col min="11780" max="11780" width="11" style="165" customWidth="1"/>
    <col min="11781" max="11782" width="9.7109375" style="165" customWidth="1"/>
    <col min="11783" max="11783" width="10.7109375" style="165" customWidth="1"/>
    <col min="11784" max="11785" width="11.28515625" style="165" customWidth="1"/>
    <col min="11786" max="11786" width="17" style="165" customWidth="1"/>
    <col min="11787" max="11787" width="16.28515625" style="165" customWidth="1"/>
    <col min="11788" max="12032" width="10.28515625" style="165"/>
    <col min="12033" max="12033" width="6.42578125" style="165" customWidth="1"/>
    <col min="12034" max="12034" width="58.28515625" style="165" customWidth="1"/>
    <col min="12035" max="12035" width="10.28515625" style="165"/>
    <col min="12036" max="12036" width="11" style="165" customWidth="1"/>
    <col min="12037" max="12038" width="9.7109375" style="165" customWidth="1"/>
    <col min="12039" max="12039" width="10.7109375" style="165" customWidth="1"/>
    <col min="12040" max="12041" width="11.28515625" style="165" customWidth="1"/>
    <col min="12042" max="12042" width="17" style="165" customWidth="1"/>
    <col min="12043" max="12043" width="16.28515625" style="165" customWidth="1"/>
    <col min="12044" max="12288" width="10.28515625" style="165"/>
    <col min="12289" max="12289" width="6.42578125" style="165" customWidth="1"/>
    <col min="12290" max="12290" width="58.28515625" style="165" customWidth="1"/>
    <col min="12291" max="12291" width="10.28515625" style="165"/>
    <col min="12292" max="12292" width="11" style="165" customWidth="1"/>
    <col min="12293" max="12294" width="9.7109375" style="165" customWidth="1"/>
    <col min="12295" max="12295" width="10.7109375" style="165" customWidth="1"/>
    <col min="12296" max="12297" width="11.28515625" style="165" customWidth="1"/>
    <col min="12298" max="12298" width="17" style="165" customWidth="1"/>
    <col min="12299" max="12299" width="16.28515625" style="165" customWidth="1"/>
    <col min="12300" max="12544" width="10.28515625" style="165"/>
    <col min="12545" max="12545" width="6.42578125" style="165" customWidth="1"/>
    <col min="12546" max="12546" width="58.28515625" style="165" customWidth="1"/>
    <col min="12547" max="12547" width="10.28515625" style="165"/>
    <col min="12548" max="12548" width="11" style="165" customWidth="1"/>
    <col min="12549" max="12550" width="9.7109375" style="165" customWidth="1"/>
    <col min="12551" max="12551" width="10.7109375" style="165" customWidth="1"/>
    <col min="12552" max="12553" width="11.28515625" style="165" customWidth="1"/>
    <col min="12554" max="12554" width="17" style="165" customWidth="1"/>
    <col min="12555" max="12555" width="16.28515625" style="165" customWidth="1"/>
    <col min="12556" max="12800" width="10.28515625" style="165"/>
    <col min="12801" max="12801" width="6.42578125" style="165" customWidth="1"/>
    <col min="12802" max="12802" width="58.28515625" style="165" customWidth="1"/>
    <col min="12803" max="12803" width="10.28515625" style="165"/>
    <col min="12804" max="12804" width="11" style="165" customWidth="1"/>
    <col min="12805" max="12806" width="9.7109375" style="165" customWidth="1"/>
    <col min="12807" max="12807" width="10.7109375" style="165" customWidth="1"/>
    <col min="12808" max="12809" width="11.28515625" style="165" customWidth="1"/>
    <col min="12810" max="12810" width="17" style="165" customWidth="1"/>
    <col min="12811" max="12811" width="16.28515625" style="165" customWidth="1"/>
    <col min="12812" max="13056" width="10.28515625" style="165"/>
    <col min="13057" max="13057" width="6.42578125" style="165" customWidth="1"/>
    <col min="13058" max="13058" width="58.28515625" style="165" customWidth="1"/>
    <col min="13059" max="13059" width="10.28515625" style="165"/>
    <col min="13060" max="13060" width="11" style="165" customWidth="1"/>
    <col min="13061" max="13062" width="9.7109375" style="165" customWidth="1"/>
    <col min="13063" max="13063" width="10.7109375" style="165" customWidth="1"/>
    <col min="13064" max="13065" width="11.28515625" style="165" customWidth="1"/>
    <col min="13066" max="13066" width="17" style="165" customWidth="1"/>
    <col min="13067" max="13067" width="16.28515625" style="165" customWidth="1"/>
    <col min="13068" max="13312" width="10.28515625" style="165"/>
    <col min="13313" max="13313" width="6.42578125" style="165" customWidth="1"/>
    <col min="13314" max="13314" width="58.28515625" style="165" customWidth="1"/>
    <col min="13315" max="13315" width="10.28515625" style="165"/>
    <col min="13316" max="13316" width="11" style="165" customWidth="1"/>
    <col min="13317" max="13318" width="9.7109375" style="165" customWidth="1"/>
    <col min="13319" max="13319" width="10.7109375" style="165" customWidth="1"/>
    <col min="13320" max="13321" width="11.28515625" style="165" customWidth="1"/>
    <col min="13322" max="13322" width="17" style="165" customWidth="1"/>
    <col min="13323" max="13323" width="16.28515625" style="165" customWidth="1"/>
    <col min="13324" max="13568" width="10.28515625" style="165"/>
    <col min="13569" max="13569" width="6.42578125" style="165" customWidth="1"/>
    <col min="13570" max="13570" width="58.28515625" style="165" customWidth="1"/>
    <col min="13571" max="13571" width="10.28515625" style="165"/>
    <col min="13572" max="13572" width="11" style="165" customWidth="1"/>
    <col min="13573" max="13574" width="9.7109375" style="165" customWidth="1"/>
    <col min="13575" max="13575" width="10.7109375" style="165" customWidth="1"/>
    <col min="13576" max="13577" width="11.28515625" style="165" customWidth="1"/>
    <col min="13578" max="13578" width="17" style="165" customWidth="1"/>
    <col min="13579" max="13579" width="16.28515625" style="165" customWidth="1"/>
    <col min="13580" max="13824" width="10.28515625" style="165"/>
    <col min="13825" max="13825" width="6.42578125" style="165" customWidth="1"/>
    <col min="13826" max="13826" width="58.28515625" style="165" customWidth="1"/>
    <col min="13827" max="13827" width="10.28515625" style="165"/>
    <col min="13828" max="13828" width="11" style="165" customWidth="1"/>
    <col min="13829" max="13830" width="9.7109375" style="165" customWidth="1"/>
    <col min="13831" max="13831" width="10.7109375" style="165" customWidth="1"/>
    <col min="13832" max="13833" width="11.28515625" style="165" customWidth="1"/>
    <col min="13834" max="13834" width="17" style="165" customWidth="1"/>
    <col min="13835" max="13835" width="16.28515625" style="165" customWidth="1"/>
    <col min="13836" max="14080" width="10.28515625" style="165"/>
    <col min="14081" max="14081" width="6.42578125" style="165" customWidth="1"/>
    <col min="14082" max="14082" width="58.28515625" style="165" customWidth="1"/>
    <col min="14083" max="14083" width="10.28515625" style="165"/>
    <col min="14084" max="14084" width="11" style="165" customWidth="1"/>
    <col min="14085" max="14086" width="9.7109375" style="165" customWidth="1"/>
    <col min="14087" max="14087" width="10.7109375" style="165" customWidth="1"/>
    <col min="14088" max="14089" width="11.28515625" style="165" customWidth="1"/>
    <col min="14090" max="14090" width="17" style="165" customWidth="1"/>
    <col min="14091" max="14091" width="16.28515625" style="165" customWidth="1"/>
    <col min="14092" max="14336" width="10.28515625" style="165"/>
    <col min="14337" max="14337" width="6.42578125" style="165" customWidth="1"/>
    <col min="14338" max="14338" width="58.28515625" style="165" customWidth="1"/>
    <col min="14339" max="14339" width="10.28515625" style="165"/>
    <col min="14340" max="14340" width="11" style="165" customWidth="1"/>
    <col min="14341" max="14342" width="9.7109375" style="165" customWidth="1"/>
    <col min="14343" max="14343" width="10.7109375" style="165" customWidth="1"/>
    <col min="14344" max="14345" width="11.28515625" style="165" customWidth="1"/>
    <col min="14346" max="14346" width="17" style="165" customWidth="1"/>
    <col min="14347" max="14347" width="16.28515625" style="165" customWidth="1"/>
    <col min="14348" max="14592" width="10.28515625" style="165"/>
    <col min="14593" max="14593" width="6.42578125" style="165" customWidth="1"/>
    <col min="14594" max="14594" width="58.28515625" style="165" customWidth="1"/>
    <col min="14595" max="14595" width="10.28515625" style="165"/>
    <col min="14596" max="14596" width="11" style="165" customWidth="1"/>
    <col min="14597" max="14598" width="9.7109375" style="165" customWidth="1"/>
    <col min="14599" max="14599" width="10.7109375" style="165" customWidth="1"/>
    <col min="14600" max="14601" width="11.28515625" style="165" customWidth="1"/>
    <col min="14602" max="14602" width="17" style="165" customWidth="1"/>
    <col min="14603" max="14603" width="16.28515625" style="165" customWidth="1"/>
    <col min="14604" max="14848" width="10.28515625" style="165"/>
    <col min="14849" max="14849" width="6.42578125" style="165" customWidth="1"/>
    <col min="14850" max="14850" width="58.28515625" style="165" customWidth="1"/>
    <col min="14851" max="14851" width="10.28515625" style="165"/>
    <col min="14852" max="14852" width="11" style="165" customWidth="1"/>
    <col min="14853" max="14854" width="9.7109375" style="165" customWidth="1"/>
    <col min="14855" max="14855" width="10.7109375" style="165" customWidth="1"/>
    <col min="14856" max="14857" width="11.28515625" style="165" customWidth="1"/>
    <col min="14858" max="14858" width="17" style="165" customWidth="1"/>
    <col min="14859" max="14859" width="16.28515625" style="165" customWidth="1"/>
    <col min="14860" max="15104" width="10.28515625" style="165"/>
    <col min="15105" max="15105" width="6.42578125" style="165" customWidth="1"/>
    <col min="15106" max="15106" width="58.28515625" style="165" customWidth="1"/>
    <col min="15107" max="15107" width="10.28515625" style="165"/>
    <col min="15108" max="15108" width="11" style="165" customWidth="1"/>
    <col min="15109" max="15110" width="9.7109375" style="165" customWidth="1"/>
    <col min="15111" max="15111" width="10.7109375" style="165" customWidth="1"/>
    <col min="15112" max="15113" width="11.28515625" style="165" customWidth="1"/>
    <col min="15114" max="15114" width="17" style="165" customWidth="1"/>
    <col min="15115" max="15115" width="16.28515625" style="165" customWidth="1"/>
    <col min="15116" max="15360" width="10.28515625" style="165"/>
    <col min="15361" max="15361" width="6.42578125" style="165" customWidth="1"/>
    <col min="15362" max="15362" width="58.28515625" style="165" customWidth="1"/>
    <col min="15363" max="15363" width="10.28515625" style="165"/>
    <col min="15364" max="15364" width="11" style="165" customWidth="1"/>
    <col min="15365" max="15366" width="9.7109375" style="165" customWidth="1"/>
    <col min="15367" max="15367" width="10.7109375" style="165" customWidth="1"/>
    <col min="15368" max="15369" width="11.28515625" style="165" customWidth="1"/>
    <col min="15370" max="15370" width="17" style="165" customWidth="1"/>
    <col min="15371" max="15371" width="16.28515625" style="165" customWidth="1"/>
    <col min="15372" max="15616" width="10.28515625" style="165"/>
    <col min="15617" max="15617" width="6.42578125" style="165" customWidth="1"/>
    <col min="15618" max="15618" width="58.28515625" style="165" customWidth="1"/>
    <col min="15619" max="15619" width="10.28515625" style="165"/>
    <col min="15620" max="15620" width="11" style="165" customWidth="1"/>
    <col min="15621" max="15622" width="9.7109375" style="165" customWidth="1"/>
    <col min="15623" max="15623" width="10.7109375" style="165" customWidth="1"/>
    <col min="15624" max="15625" width="11.28515625" style="165" customWidth="1"/>
    <col min="15626" max="15626" width="17" style="165" customWidth="1"/>
    <col min="15627" max="15627" width="16.28515625" style="165" customWidth="1"/>
    <col min="15628" max="15872" width="10.28515625" style="165"/>
    <col min="15873" max="15873" width="6.42578125" style="165" customWidth="1"/>
    <col min="15874" max="15874" width="58.28515625" style="165" customWidth="1"/>
    <col min="15875" max="15875" width="10.28515625" style="165"/>
    <col min="15876" max="15876" width="11" style="165" customWidth="1"/>
    <col min="15877" max="15878" width="9.7109375" style="165" customWidth="1"/>
    <col min="15879" max="15879" width="10.7109375" style="165" customWidth="1"/>
    <col min="15880" max="15881" width="11.28515625" style="165" customWidth="1"/>
    <col min="15882" max="15882" width="17" style="165" customWidth="1"/>
    <col min="15883" max="15883" width="16.28515625" style="165" customWidth="1"/>
    <col min="15884" max="16128" width="10.28515625" style="165"/>
    <col min="16129" max="16129" width="6.42578125" style="165" customWidth="1"/>
    <col min="16130" max="16130" width="58.28515625" style="165" customWidth="1"/>
    <col min="16131" max="16131" width="10.28515625" style="165"/>
    <col min="16132" max="16132" width="11" style="165" customWidth="1"/>
    <col min="16133" max="16134" width="9.7109375" style="165" customWidth="1"/>
    <col min="16135" max="16135" width="10.7109375" style="165" customWidth="1"/>
    <col min="16136" max="16137" width="11.28515625" style="165" customWidth="1"/>
    <col min="16138" max="16138" width="17" style="165" customWidth="1"/>
    <col min="16139" max="16139" width="16.28515625" style="165" customWidth="1"/>
    <col min="16140" max="16384" width="10.28515625" style="165"/>
  </cols>
  <sheetData>
    <row r="1" spans="1:12" ht="12" customHeight="1" x14ac:dyDescent="0.2">
      <c r="A1" s="445"/>
      <c r="C1" s="166"/>
      <c r="D1" s="166"/>
      <c r="E1" s="166"/>
      <c r="F1" s="166"/>
      <c r="H1" s="166" t="s">
        <v>225</v>
      </c>
    </row>
    <row r="2" spans="1:12" ht="12" customHeight="1" x14ac:dyDescent="0.2">
      <c r="C2" s="166"/>
      <c r="D2" s="166"/>
      <c r="E2" s="166"/>
      <c r="F2" s="166"/>
      <c r="H2" s="3" t="s">
        <v>187</v>
      </c>
    </row>
    <row r="3" spans="1:12" ht="12" customHeight="1" x14ac:dyDescent="0.2">
      <c r="C3" s="166"/>
      <c r="D3" s="166"/>
      <c r="E3" s="166"/>
      <c r="F3" s="166"/>
      <c r="H3" s="3" t="s">
        <v>1</v>
      </c>
    </row>
    <row r="4" spans="1:12" ht="12" customHeight="1" x14ac:dyDescent="0.2">
      <c r="B4" s="166"/>
      <c r="C4" s="167"/>
      <c r="D4" s="166"/>
      <c r="E4" s="167"/>
      <c r="F4" s="166"/>
      <c r="H4" s="3" t="s">
        <v>188</v>
      </c>
    </row>
    <row r="5" spans="1:12" ht="12" customHeight="1" x14ac:dyDescent="0.2">
      <c r="B5" s="166"/>
      <c r="C5" s="167"/>
      <c r="D5" s="166"/>
      <c r="E5" s="167"/>
      <c r="F5" s="166"/>
      <c r="G5" s="166"/>
      <c r="H5" s="166"/>
    </row>
    <row r="6" spans="1:12" ht="12.75" customHeight="1" x14ac:dyDescent="0.2">
      <c r="A6" s="168" t="s">
        <v>226</v>
      </c>
      <c r="B6" s="168"/>
      <c r="C6" s="168"/>
      <c r="D6" s="168"/>
      <c r="E6" s="168"/>
      <c r="F6" s="168"/>
      <c r="G6" s="168"/>
      <c r="H6" s="168"/>
      <c r="I6" s="168"/>
    </row>
    <row r="7" spans="1:12" ht="11.25" customHeight="1" x14ac:dyDescent="0.2">
      <c r="I7" s="165" t="s">
        <v>3</v>
      </c>
    </row>
    <row r="8" spans="1:12" ht="11.25" customHeight="1" x14ac:dyDescent="0.2">
      <c r="A8" s="169"/>
      <c r="B8" s="169"/>
      <c r="C8" s="170" t="s">
        <v>227</v>
      </c>
      <c r="D8" s="171" t="s">
        <v>228</v>
      </c>
      <c r="E8" s="172" t="s">
        <v>229</v>
      </c>
      <c r="F8" s="173"/>
      <c r="G8" s="172" t="s">
        <v>191</v>
      </c>
      <c r="H8" s="174"/>
      <c r="I8" s="173"/>
    </row>
    <row r="9" spans="1:12" ht="11.25" customHeight="1" x14ac:dyDescent="0.2">
      <c r="A9" s="175"/>
      <c r="B9" s="175"/>
      <c r="C9" s="176"/>
      <c r="D9" s="177" t="s">
        <v>230</v>
      </c>
      <c r="E9" s="170"/>
      <c r="F9" s="170"/>
      <c r="G9" s="172" t="s">
        <v>231</v>
      </c>
      <c r="H9" s="174"/>
      <c r="I9" s="173"/>
    </row>
    <row r="10" spans="1:12" ht="11.25" customHeight="1" x14ac:dyDescent="0.2">
      <c r="A10" s="175"/>
      <c r="B10" s="175"/>
      <c r="C10" s="176" t="s">
        <v>232</v>
      </c>
      <c r="D10" s="177" t="s">
        <v>233</v>
      </c>
      <c r="E10" s="176"/>
      <c r="F10" s="176"/>
      <c r="G10" s="170"/>
      <c r="H10" s="170"/>
      <c r="I10" s="170"/>
    </row>
    <row r="11" spans="1:12" ht="14.25" customHeight="1" x14ac:dyDescent="0.2">
      <c r="A11" s="175" t="s">
        <v>234</v>
      </c>
      <c r="B11" s="175" t="s">
        <v>235</v>
      </c>
      <c r="C11" s="176" t="s">
        <v>236</v>
      </c>
      <c r="D11" s="177" t="s">
        <v>237</v>
      </c>
      <c r="E11" s="176"/>
      <c r="F11" s="176"/>
      <c r="G11" s="176"/>
      <c r="H11" s="176"/>
      <c r="I11" s="176"/>
    </row>
    <row r="12" spans="1:12" ht="32.25" customHeight="1" x14ac:dyDescent="0.2">
      <c r="A12" s="175"/>
      <c r="B12" s="175"/>
      <c r="C12" s="176" t="s">
        <v>238</v>
      </c>
      <c r="D12" s="177" t="s">
        <v>239</v>
      </c>
      <c r="E12" s="176" t="s">
        <v>240</v>
      </c>
      <c r="F12" s="176" t="s">
        <v>241</v>
      </c>
      <c r="G12" s="176" t="s">
        <v>242</v>
      </c>
      <c r="H12" s="176" t="s">
        <v>243</v>
      </c>
      <c r="I12" s="176" t="s">
        <v>241</v>
      </c>
    </row>
    <row r="13" spans="1:12" ht="18.75" customHeight="1" x14ac:dyDescent="0.2">
      <c r="A13" s="178"/>
      <c r="B13" s="178"/>
      <c r="D13" s="179" t="s">
        <v>244</v>
      </c>
      <c r="E13" s="180"/>
      <c r="F13" s="180"/>
      <c r="G13" s="180"/>
      <c r="H13" s="180"/>
      <c r="I13" s="180"/>
    </row>
    <row r="14" spans="1:12" ht="11.25" customHeight="1" x14ac:dyDescent="0.2">
      <c r="A14" s="181">
        <v>1</v>
      </c>
      <c r="B14" s="181">
        <v>2</v>
      </c>
      <c r="C14" s="181">
        <v>3</v>
      </c>
      <c r="D14" s="181">
        <v>4</v>
      </c>
      <c r="E14" s="181">
        <v>5</v>
      </c>
      <c r="F14" s="181">
        <v>6</v>
      </c>
      <c r="G14" s="182">
        <v>7</v>
      </c>
      <c r="H14" s="181">
        <v>8</v>
      </c>
      <c r="I14" s="181">
        <v>9</v>
      </c>
    </row>
    <row r="15" spans="1:12" s="189" customFormat="1" ht="21.75" customHeight="1" x14ac:dyDescent="0.2">
      <c r="A15" s="183"/>
      <c r="B15" s="184" t="s">
        <v>245</v>
      </c>
      <c r="C15" s="185"/>
      <c r="D15" s="186">
        <v>142244385.91999999</v>
      </c>
      <c r="E15" s="186">
        <v>48623221.820000008</v>
      </c>
      <c r="F15" s="186">
        <v>93621164.099999994</v>
      </c>
      <c r="G15" s="187">
        <v>65869630</v>
      </c>
      <c r="H15" s="186">
        <v>15494440.32</v>
      </c>
      <c r="I15" s="186">
        <v>50375189.680000007</v>
      </c>
      <c r="J15" s="188"/>
      <c r="K15" s="188"/>
    </row>
    <row r="16" spans="1:12" s="189" customFormat="1" ht="12" customHeight="1" x14ac:dyDescent="0.2">
      <c r="A16" s="190"/>
      <c r="B16" s="446" t="s">
        <v>246</v>
      </c>
      <c r="C16" s="447"/>
      <c r="D16" s="448">
        <v>25132963.149999999</v>
      </c>
      <c r="E16" s="448">
        <v>3019279.7</v>
      </c>
      <c r="F16" s="448">
        <v>22113683.449999996</v>
      </c>
      <c r="G16" s="448">
        <v>14987755.02</v>
      </c>
      <c r="H16" s="448">
        <v>1272348.5999999999</v>
      </c>
      <c r="I16" s="448">
        <v>13715406.420000002</v>
      </c>
      <c r="J16" s="188"/>
      <c r="K16" s="191"/>
      <c r="L16" s="191"/>
    </row>
    <row r="17" spans="1:11" s="189" customFormat="1" ht="12" customHeight="1" x14ac:dyDescent="0.2">
      <c r="A17" s="190"/>
      <c r="B17" s="449" t="s">
        <v>247</v>
      </c>
      <c r="C17" s="450"/>
      <c r="D17" s="451">
        <v>117111422.77</v>
      </c>
      <c r="E17" s="451">
        <v>45603942.120000005</v>
      </c>
      <c r="F17" s="451">
        <v>71507480.649999991</v>
      </c>
      <c r="G17" s="451">
        <v>50881874.979999997</v>
      </c>
      <c r="H17" s="451">
        <v>14222091.720000001</v>
      </c>
      <c r="I17" s="451">
        <v>36659783.260000005</v>
      </c>
      <c r="J17" s="188"/>
      <c r="K17" s="191"/>
    </row>
    <row r="18" spans="1:11" ht="33" customHeight="1" thickBot="1" x14ac:dyDescent="0.25">
      <c r="A18" s="192" t="s">
        <v>248</v>
      </c>
      <c r="B18" s="193" t="s">
        <v>249</v>
      </c>
      <c r="C18" s="194"/>
      <c r="D18" s="195">
        <v>123627316.48</v>
      </c>
      <c r="E18" s="195">
        <v>45743570.170000002</v>
      </c>
      <c r="F18" s="195">
        <v>77883746.310000002</v>
      </c>
      <c r="G18" s="195">
        <v>55901599.310000002</v>
      </c>
      <c r="H18" s="195">
        <v>13863002.920000002</v>
      </c>
      <c r="I18" s="195">
        <v>42038596.390000001</v>
      </c>
      <c r="J18" s="196"/>
    </row>
    <row r="19" spans="1:11" ht="22.5" customHeight="1" x14ac:dyDescent="0.2">
      <c r="A19" s="197" t="s">
        <v>250</v>
      </c>
      <c r="B19" s="198" t="s">
        <v>251</v>
      </c>
      <c r="C19" s="199"/>
      <c r="D19" s="200"/>
      <c r="E19" s="200"/>
      <c r="F19" s="201"/>
      <c r="G19" s="200"/>
      <c r="H19" s="200"/>
      <c r="I19" s="201"/>
    </row>
    <row r="20" spans="1:11" ht="11.1" customHeight="1" x14ac:dyDescent="0.2">
      <c r="A20" s="202"/>
      <c r="B20" s="203" t="s">
        <v>252</v>
      </c>
      <c r="C20" s="204"/>
      <c r="D20" s="205"/>
      <c r="E20" s="205"/>
      <c r="F20" s="206"/>
      <c r="G20" s="205"/>
      <c r="H20" s="205"/>
      <c r="I20" s="206"/>
    </row>
    <row r="21" spans="1:11" ht="11.1" customHeight="1" x14ac:dyDescent="0.2">
      <c r="A21" s="202"/>
      <c r="B21" s="452" t="s">
        <v>247</v>
      </c>
      <c r="C21" s="207" t="s">
        <v>253</v>
      </c>
      <c r="D21" s="208"/>
      <c r="E21" s="208"/>
      <c r="F21" s="208"/>
      <c r="G21" s="208"/>
      <c r="H21" s="208"/>
      <c r="I21" s="208"/>
    </row>
    <row r="22" spans="1:11" ht="11.1" customHeight="1" x14ac:dyDescent="0.2">
      <c r="A22" s="209"/>
      <c r="B22" s="453" t="s">
        <v>246</v>
      </c>
      <c r="C22" s="210" t="s">
        <v>254</v>
      </c>
      <c r="D22" s="211">
        <v>680000</v>
      </c>
      <c r="E22" s="212"/>
      <c r="F22" s="212">
        <v>680000</v>
      </c>
      <c r="G22" s="213">
        <v>671601.92</v>
      </c>
      <c r="H22" s="212"/>
      <c r="I22" s="212">
        <v>671601.92</v>
      </c>
    </row>
    <row r="23" spans="1:11" ht="11.1" customHeight="1" x14ac:dyDescent="0.2">
      <c r="A23" s="214"/>
      <c r="C23" s="215"/>
      <c r="D23" s="216"/>
      <c r="E23" s="216"/>
      <c r="F23" s="216"/>
      <c r="G23" s="216"/>
      <c r="H23" s="216"/>
      <c r="I23" s="217"/>
    </row>
    <row r="24" spans="1:11" ht="11.1" customHeight="1" x14ac:dyDescent="0.2">
      <c r="A24" s="214"/>
      <c r="C24" s="218"/>
      <c r="D24" s="196"/>
      <c r="E24" s="196"/>
      <c r="F24" s="196"/>
      <c r="G24" s="196"/>
      <c r="H24" s="196"/>
      <c r="I24" s="219"/>
    </row>
    <row r="25" spans="1:11" ht="15.75" customHeight="1" x14ac:dyDescent="0.2">
      <c r="A25" s="165" t="s">
        <v>255</v>
      </c>
      <c r="D25" s="196"/>
      <c r="E25" s="196"/>
      <c r="F25" s="196"/>
      <c r="G25" s="196"/>
      <c r="H25" s="196"/>
      <c r="I25" s="196"/>
    </row>
    <row r="26" spans="1:11" ht="11.1" customHeight="1" x14ac:dyDescent="0.2">
      <c r="A26" s="214"/>
      <c r="D26" s="196"/>
      <c r="E26" s="196"/>
      <c r="F26" s="196"/>
      <c r="G26" s="196"/>
      <c r="H26" s="196"/>
      <c r="I26" s="196"/>
    </row>
    <row r="27" spans="1:11" ht="11.1" customHeight="1" x14ac:dyDescent="0.2">
      <c r="A27" s="214"/>
      <c r="D27" s="196"/>
      <c r="E27" s="196"/>
      <c r="F27" s="196"/>
      <c r="G27" s="196"/>
      <c r="H27" s="196"/>
      <c r="I27" s="196"/>
    </row>
    <row r="28" spans="1:11" ht="11.1" customHeight="1" x14ac:dyDescent="0.2">
      <c r="A28" s="214"/>
      <c r="D28" s="196"/>
      <c r="E28" s="196"/>
      <c r="F28" s="196"/>
      <c r="G28" s="196"/>
      <c r="H28" s="196"/>
      <c r="I28" s="196"/>
    </row>
    <row r="29" spans="1:11" ht="11.1" customHeight="1" x14ac:dyDescent="0.2">
      <c r="A29" s="214"/>
      <c r="D29" s="196"/>
      <c r="E29" s="196"/>
      <c r="F29" s="196"/>
      <c r="G29" s="196"/>
      <c r="H29" s="196"/>
      <c r="I29" s="196"/>
    </row>
    <row r="30" spans="1:11" ht="11.1" customHeight="1" x14ac:dyDescent="0.2">
      <c r="A30" s="214"/>
      <c r="D30" s="196"/>
      <c r="E30" s="196"/>
      <c r="F30" s="196"/>
      <c r="G30" s="196"/>
      <c r="H30" s="196"/>
      <c r="I30" s="196"/>
    </row>
    <row r="31" spans="1:11" ht="11.1" customHeight="1" x14ac:dyDescent="0.2">
      <c r="A31" s="214"/>
      <c r="D31" s="196"/>
      <c r="E31" s="196"/>
      <c r="F31" s="196"/>
      <c r="G31" s="196"/>
      <c r="H31" s="196"/>
      <c r="I31" s="196"/>
    </row>
    <row r="32" spans="1:11" ht="11.1" customHeight="1" x14ac:dyDescent="0.2">
      <c r="A32" s="214"/>
      <c r="D32" s="196"/>
      <c r="E32" s="196"/>
      <c r="F32" s="196"/>
      <c r="G32" s="196"/>
      <c r="H32" s="196"/>
      <c r="I32" s="196"/>
    </row>
    <row r="33" spans="1:9" ht="11.1" customHeight="1" x14ac:dyDescent="0.2">
      <c r="A33" s="214"/>
      <c r="D33" s="196"/>
      <c r="E33" s="196"/>
      <c r="F33" s="196"/>
      <c r="G33" s="196"/>
      <c r="H33" s="196"/>
      <c r="I33" s="196"/>
    </row>
    <row r="34" spans="1:9" ht="11.1" customHeight="1" x14ac:dyDescent="0.2">
      <c r="A34" s="214"/>
      <c r="D34" s="196"/>
      <c r="E34" s="196"/>
      <c r="F34" s="196"/>
      <c r="G34" s="196"/>
      <c r="H34" s="196"/>
      <c r="I34" s="196"/>
    </row>
    <row r="35" spans="1:9" ht="11.1" customHeight="1" x14ac:dyDescent="0.2">
      <c r="A35" s="214"/>
      <c r="D35" s="196"/>
      <c r="E35" s="196"/>
      <c r="F35" s="196"/>
      <c r="G35" s="196"/>
      <c r="H35" s="196"/>
      <c r="I35" s="196"/>
    </row>
    <row r="36" spans="1:9" ht="11.1" customHeight="1" x14ac:dyDescent="0.2">
      <c r="A36" s="214"/>
      <c r="D36" s="196"/>
      <c r="E36" s="196"/>
      <c r="F36" s="196"/>
      <c r="G36" s="196"/>
      <c r="H36" s="196"/>
      <c r="I36" s="196"/>
    </row>
    <row r="37" spans="1:9" ht="11.1" customHeight="1" x14ac:dyDescent="0.2">
      <c r="A37" s="214"/>
      <c r="D37" s="196"/>
      <c r="E37" s="196"/>
      <c r="F37" s="196"/>
      <c r="G37" s="196"/>
      <c r="H37" s="196"/>
      <c r="I37" s="196"/>
    </row>
    <row r="38" spans="1:9" ht="11.1" customHeight="1" x14ac:dyDescent="0.2">
      <c r="A38" s="214"/>
      <c r="D38" s="196"/>
      <c r="E38" s="196"/>
      <c r="F38" s="196"/>
      <c r="G38" s="196"/>
      <c r="H38" s="196"/>
      <c r="I38" s="196"/>
    </row>
    <row r="39" spans="1:9" ht="11.1" customHeight="1" x14ac:dyDescent="0.2">
      <c r="A39" s="214"/>
      <c r="D39" s="196"/>
      <c r="E39" s="196"/>
      <c r="F39" s="196"/>
      <c r="G39" s="196"/>
      <c r="H39" s="196"/>
      <c r="I39" s="196"/>
    </row>
    <row r="40" spans="1:9" ht="11.1" customHeight="1" x14ac:dyDescent="0.2">
      <c r="A40" s="214"/>
      <c r="D40" s="196"/>
      <c r="E40" s="196"/>
      <c r="F40" s="196"/>
      <c r="G40" s="196"/>
      <c r="H40" s="196"/>
      <c r="I40" s="196"/>
    </row>
    <row r="41" spans="1:9" ht="12.75" customHeight="1" x14ac:dyDescent="0.2">
      <c r="D41" s="216"/>
      <c r="E41" s="216"/>
      <c r="F41" s="216"/>
      <c r="G41" s="216"/>
      <c r="H41" s="216"/>
      <c r="I41" s="216"/>
    </row>
    <row r="42" spans="1:9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0139-3EDD-4582-A43E-59FEA5F2251D}">
  <dimension ref="A1:BV22"/>
  <sheetViews>
    <sheetView zoomScale="130" zoomScaleNormal="130" workbookViewId="0"/>
  </sheetViews>
  <sheetFormatPr defaultRowHeight="12.75" x14ac:dyDescent="0.2"/>
  <cols>
    <col min="1" max="1" width="4.28515625" style="454" customWidth="1"/>
    <col min="2" max="2" width="8.7109375" style="454" customWidth="1"/>
    <col min="3" max="3" width="5.5703125" style="454" customWidth="1"/>
    <col min="4" max="4" width="10.140625" style="454" customWidth="1"/>
    <col min="5" max="5" width="10.42578125" style="454" customWidth="1"/>
    <col min="6" max="6" width="10.28515625" style="454" customWidth="1"/>
    <col min="7" max="7" width="14" style="454" customWidth="1"/>
    <col min="8" max="8" width="14.28515625" style="455" customWidth="1"/>
    <col min="9" max="9" width="11.28515625" style="455" customWidth="1"/>
    <col min="10" max="74" width="9.140625" style="455"/>
    <col min="75" max="256" width="9.140625" style="454"/>
    <col min="257" max="257" width="4.28515625" style="454" customWidth="1"/>
    <col min="258" max="258" width="8.7109375" style="454" customWidth="1"/>
    <col min="259" max="259" width="5.5703125" style="454" customWidth="1"/>
    <col min="260" max="260" width="10.140625" style="454" customWidth="1"/>
    <col min="261" max="261" width="10.42578125" style="454" customWidth="1"/>
    <col min="262" max="262" width="10.28515625" style="454" customWidth="1"/>
    <col min="263" max="263" width="14" style="454" customWidth="1"/>
    <col min="264" max="264" width="14.28515625" style="454" customWidth="1"/>
    <col min="265" max="265" width="11.28515625" style="454" customWidth="1"/>
    <col min="266" max="512" width="9.140625" style="454"/>
    <col min="513" max="513" width="4.28515625" style="454" customWidth="1"/>
    <col min="514" max="514" width="8.7109375" style="454" customWidth="1"/>
    <col min="515" max="515" width="5.5703125" style="454" customWidth="1"/>
    <col min="516" max="516" width="10.140625" style="454" customWidth="1"/>
    <col min="517" max="517" width="10.42578125" style="454" customWidth="1"/>
    <col min="518" max="518" width="10.28515625" style="454" customWidth="1"/>
    <col min="519" max="519" width="14" style="454" customWidth="1"/>
    <col min="520" max="520" width="14.28515625" style="454" customWidth="1"/>
    <col min="521" max="521" width="11.28515625" style="454" customWidth="1"/>
    <col min="522" max="768" width="9.140625" style="454"/>
    <col min="769" max="769" width="4.28515625" style="454" customWidth="1"/>
    <col min="770" max="770" width="8.7109375" style="454" customWidth="1"/>
    <col min="771" max="771" width="5.5703125" style="454" customWidth="1"/>
    <col min="772" max="772" width="10.140625" style="454" customWidth="1"/>
    <col min="773" max="773" width="10.42578125" style="454" customWidth="1"/>
    <col min="774" max="774" width="10.28515625" style="454" customWidth="1"/>
    <col min="775" max="775" width="14" style="454" customWidth="1"/>
    <col min="776" max="776" width="14.28515625" style="454" customWidth="1"/>
    <col min="777" max="777" width="11.28515625" style="454" customWidth="1"/>
    <col min="778" max="1024" width="9.140625" style="454"/>
    <col min="1025" max="1025" width="4.28515625" style="454" customWidth="1"/>
    <col min="1026" max="1026" width="8.7109375" style="454" customWidth="1"/>
    <col min="1027" max="1027" width="5.5703125" style="454" customWidth="1"/>
    <col min="1028" max="1028" width="10.140625" style="454" customWidth="1"/>
    <col min="1029" max="1029" width="10.42578125" style="454" customWidth="1"/>
    <col min="1030" max="1030" width="10.28515625" style="454" customWidth="1"/>
    <col min="1031" max="1031" width="14" style="454" customWidth="1"/>
    <col min="1032" max="1032" width="14.28515625" style="454" customWidth="1"/>
    <col min="1033" max="1033" width="11.28515625" style="454" customWidth="1"/>
    <col min="1034" max="1280" width="9.140625" style="454"/>
    <col min="1281" max="1281" width="4.28515625" style="454" customWidth="1"/>
    <col min="1282" max="1282" width="8.7109375" style="454" customWidth="1"/>
    <col min="1283" max="1283" width="5.5703125" style="454" customWidth="1"/>
    <col min="1284" max="1284" width="10.140625" style="454" customWidth="1"/>
    <col min="1285" max="1285" width="10.42578125" style="454" customWidth="1"/>
    <col min="1286" max="1286" width="10.28515625" style="454" customWidth="1"/>
    <col min="1287" max="1287" width="14" style="454" customWidth="1"/>
    <col min="1288" max="1288" width="14.28515625" style="454" customWidth="1"/>
    <col min="1289" max="1289" width="11.28515625" style="454" customWidth="1"/>
    <col min="1290" max="1536" width="9.140625" style="454"/>
    <col min="1537" max="1537" width="4.28515625" style="454" customWidth="1"/>
    <col min="1538" max="1538" width="8.7109375" style="454" customWidth="1"/>
    <col min="1539" max="1539" width="5.5703125" style="454" customWidth="1"/>
    <col min="1540" max="1540" width="10.140625" style="454" customWidth="1"/>
    <col min="1541" max="1541" width="10.42578125" style="454" customWidth="1"/>
    <col min="1542" max="1542" width="10.28515625" style="454" customWidth="1"/>
    <col min="1543" max="1543" width="14" style="454" customWidth="1"/>
    <col min="1544" max="1544" width="14.28515625" style="454" customWidth="1"/>
    <col min="1545" max="1545" width="11.28515625" style="454" customWidth="1"/>
    <col min="1546" max="1792" width="9.140625" style="454"/>
    <col min="1793" max="1793" width="4.28515625" style="454" customWidth="1"/>
    <col min="1794" max="1794" width="8.7109375" style="454" customWidth="1"/>
    <col min="1795" max="1795" width="5.5703125" style="454" customWidth="1"/>
    <col min="1796" max="1796" width="10.140625" style="454" customWidth="1"/>
    <col min="1797" max="1797" width="10.42578125" style="454" customWidth="1"/>
    <col min="1798" max="1798" width="10.28515625" style="454" customWidth="1"/>
    <col min="1799" max="1799" width="14" style="454" customWidth="1"/>
    <col min="1800" max="1800" width="14.28515625" style="454" customWidth="1"/>
    <col min="1801" max="1801" width="11.28515625" style="454" customWidth="1"/>
    <col min="1802" max="2048" width="9.140625" style="454"/>
    <col min="2049" max="2049" width="4.28515625" style="454" customWidth="1"/>
    <col min="2050" max="2050" width="8.7109375" style="454" customWidth="1"/>
    <col min="2051" max="2051" width="5.5703125" style="454" customWidth="1"/>
    <col min="2052" max="2052" width="10.140625" style="454" customWidth="1"/>
    <col min="2053" max="2053" width="10.42578125" style="454" customWidth="1"/>
    <col min="2054" max="2054" width="10.28515625" style="454" customWidth="1"/>
    <col min="2055" max="2055" width="14" style="454" customWidth="1"/>
    <col min="2056" max="2056" width="14.28515625" style="454" customWidth="1"/>
    <col min="2057" max="2057" width="11.28515625" style="454" customWidth="1"/>
    <col min="2058" max="2304" width="9.140625" style="454"/>
    <col min="2305" max="2305" width="4.28515625" style="454" customWidth="1"/>
    <col min="2306" max="2306" width="8.7109375" style="454" customWidth="1"/>
    <col min="2307" max="2307" width="5.5703125" style="454" customWidth="1"/>
    <col min="2308" max="2308" width="10.140625" style="454" customWidth="1"/>
    <col min="2309" max="2309" width="10.42578125" style="454" customWidth="1"/>
    <col min="2310" max="2310" width="10.28515625" style="454" customWidth="1"/>
    <col min="2311" max="2311" width="14" style="454" customWidth="1"/>
    <col min="2312" max="2312" width="14.28515625" style="454" customWidth="1"/>
    <col min="2313" max="2313" width="11.28515625" style="454" customWidth="1"/>
    <col min="2314" max="2560" width="9.140625" style="454"/>
    <col min="2561" max="2561" width="4.28515625" style="454" customWidth="1"/>
    <col min="2562" max="2562" width="8.7109375" style="454" customWidth="1"/>
    <col min="2563" max="2563" width="5.5703125" style="454" customWidth="1"/>
    <col min="2564" max="2564" width="10.140625" style="454" customWidth="1"/>
    <col min="2565" max="2565" width="10.42578125" style="454" customWidth="1"/>
    <col min="2566" max="2566" width="10.28515625" style="454" customWidth="1"/>
    <col min="2567" max="2567" width="14" style="454" customWidth="1"/>
    <col min="2568" max="2568" width="14.28515625" style="454" customWidth="1"/>
    <col min="2569" max="2569" width="11.28515625" style="454" customWidth="1"/>
    <col min="2570" max="2816" width="9.140625" style="454"/>
    <col min="2817" max="2817" width="4.28515625" style="454" customWidth="1"/>
    <col min="2818" max="2818" width="8.7109375" style="454" customWidth="1"/>
    <col min="2819" max="2819" width="5.5703125" style="454" customWidth="1"/>
    <col min="2820" max="2820" width="10.140625" style="454" customWidth="1"/>
    <col min="2821" max="2821" width="10.42578125" style="454" customWidth="1"/>
    <col min="2822" max="2822" width="10.28515625" style="454" customWidth="1"/>
    <col min="2823" max="2823" width="14" style="454" customWidth="1"/>
    <col min="2824" max="2824" width="14.28515625" style="454" customWidth="1"/>
    <col min="2825" max="2825" width="11.28515625" style="454" customWidth="1"/>
    <col min="2826" max="3072" width="9.140625" style="454"/>
    <col min="3073" max="3073" width="4.28515625" style="454" customWidth="1"/>
    <col min="3074" max="3074" width="8.7109375" style="454" customWidth="1"/>
    <col min="3075" max="3075" width="5.5703125" style="454" customWidth="1"/>
    <col min="3076" max="3076" width="10.140625" style="454" customWidth="1"/>
    <col min="3077" max="3077" width="10.42578125" style="454" customWidth="1"/>
    <col min="3078" max="3078" width="10.28515625" style="454" customWidth="1"/>
    <col min="3079" max="3079" width="14" style="454" customWidth="1"/>
    <col min="3080" max="3080" width="14.28515625" style="454" customWidth="1"/>
    <col min="3081" max="3081" width="11.28515625" style="454" customWidth="1"/>
    <col min="3082" max="3328" width="9.140625" style="454"/>
    <col min="3329" max="3329" width="4.28515625" style="454" customWidth="1"/>
    <col min="3330" max="3330" width="8.7109375" style="454" customWidth="1"/>
    <col min="3331" max="3331" width="5.5703125" style="454" customWidth="1"/>
    <col min="3332" max="3332" width="10.140625" style="454" customWidth="1"/>
    <col min="3333" max="3333" width="10.42578125" style="454" customWidth="1"/>
    <col min="3334" max="3334" width="10.28515625" style="454" customWidth="1"/>
    <col min="3335" max="3335" width="14" style="454" customWidth="1"/>
    <col min="3336" max="3336" width="14.28515625" style="454" customWidth="1"/>
    <col min="3337" max="3337" width="11.28515625" style="454" customWidth="1"/>
    <col min="3338" max="3584" width="9.140625" style="454"/>
    <col min="3585" max="3585" width="4.28515625" style="454" customWidth="1"/>
    <col min="3586" max="3586" width="8.7109375" style="454" customWidth="1"/>
    <col min="3587" max="3587" width="5.5703125" style="454" customWidth="1"/>
    <col min="3588" max="3588" width="10.140625" style="454" customWidth="1"/>
    <col min="3589" max="3589" width="10.42578125" style="454" customWidth="1"/>
    <col min="3590" max="3590" width="10.28515625" style="454" customWidth="1"/>
    <col min="3591" max="3591" width="14" style="454" customWidth="1"/>
    <col min="3592" max="3592" width="14.28515625" style="454" customWidth="1"/>
    <col min="3593" max="3593" width="11.28515625" style="454" customWidth="1"/>
    <col min="3594" max="3840" width="9.140625" style="454"/>
    <col min="3841" max="3841" width="4.28515625" style="454" customWidth="1"/>
    <col min="3842" max="3842" width="8.7109375" style="454" customWidth="1"/>
    <col min="3843" max="3843" width="5.5703125" style="454" customWidth="1"/>
    <col min="3844" max="3844" width="10.140625" style="454" customWidth="1"/>
    <col min="3845" max="3845" width="10.42578125" style="454" customWidth="1"/>
    <col min="3846" max="3846" width="10.28515625" style="454" customWidth="1"/>
    <col min="3847" max="3847" width="14" style="454" customWidth="1"/>
    <col min="3848" max="3848" width="14.28515625" style="454" customWidth="1"/>
    <col min="3849" max="3849" width="11.28515625" style="454" customWidth="1"/>
    <col min="3850" max="4096" width="9.140625" style="454"/>
    <col min="4097" max="4097" width="4.28515625" style="454" customWidth="1"/>
    <col min="4098" max="4098" width="8.7109375" style="454" customWidth="1"/>
    <col min="4099" max="4099" width="5.5703125" style="454" customWidth="1"/>
    <col min="4100" max="4100" width="10.140625" style="454" customWidth="1"/>
    <col min="4101" max="4101" width="10.42578125" style="454" customWidth="1"/>
    <col min="4102" max="4102" width="10.28515625" style="454" customWidth="1"/>
    <col min="4103" max="4103" width="14" style="454" customWidth="1"/>
    <col min="4104" max="4104" width="14.28515625" style="454" customWidth="1"/>
    <col min="4105" max="4105" width="11.28515625" style="454" customWidth="1"/>
    <col min="4106" max="4352" width="9.140625" style="454"/>
    <col min="4353" max="4353" width="4.28515625" style="454" customWidth="1"/>
    <col min="4354" max="4354" width="8.7109375" style="454" customWidth="1"/>
    <col min="4355" max="4355" width="5.5703125" style="454" customWidth="1"/>
    <col min="4356" max="4356" width="10.140625" style="454" customWidth="1"/>
    <col min="4357" max="4357" width="10.42578125" style="454" customWidth="1"/>
    <col min="4358" max="4358" width="10.28515625" style="454" customWidth="1"/>
    <col min="4359" max="4359" width="14" style="454" customWidth="1"/>
    <col min="4360" max="4360" width="14.28515625" style="454" customWidth="1"/>
    <col min="4361" max="4361" width="11.28515625" style="454" customWidth="1"/>
    <col min="4362" max="4608" width="9.140625" style="454"/>
    <col min="4609" max="4609" width="4.28515625" style="454" customWidth="1"/>
    <col min="4610" max="4610" width="8.7109375" style="454" customWidth="1"/>
    <col min="4611" max="4611" width="5.5703125" style="454" customWidth="1"/>
    <col min="4612" max="4612" width="10.140625" style="454" customWidth="1"/>
    <col min="4613" max="4613" width="10.42578125" style="454" customWidth="1"/>
    <col min="4614" max="4614" width="10.28515625" style="454" customWidth="1"/>
    <col min="4615" max="4615" width="14" style="454" customWidth="1"/>
    <col min="4616" max="4616" width="14.28515625" style="454" customWidth="1"/>
    <col min="4617" max="4617" width="11.28515625" style="454" customWidth="1"/>
    <col min="4618" max="4864" width="9.140625" style="454"/>
    <col min="4865" max="4865" width="4.28515625" style="454" customWidth="1"/>
    <col min="4866" max="4866" width="8.7109375" style="454" customWidth="1"/>
    <col min="4867" max="4867" width="5.5703125" style="454" customWidth="1"/>
    <col min="4868" max="4868" width="10.140625" style="454" customWidth="1"/>
    <col min="4869" max="4869" width="10.42578125" style="454" customWidth="1"/>
    <col min="4870" max="4870" width="10.28515625" style="454" customWidth="1"/>
    <col min="4871" max="4871" width="14" style="454" customWidth="1"/>
    <col min="4872" max="4872" width="14.28515625" style="454" customWidth="1"/>
    <col min="4873" max="4873" width="11.28515625" style="454" customWidth="1"/>
    <col min="4874" max="5120" width="9.140625" style="454"/>
    <col min="5121" max="5121" width="4.28515625" style="454" customWidth="1"/>
    <col min="5122" max="5122" width="8.7109375" style="454" customWidth="1"/>
    <col min="5123" max="5123" width="5.5703125" style="454" customWidth="1"/>
    <col min="5124" max="5124" width="10.140625" style="454" customWidth="1"/>
    <col min="5125" max="5125" width="10.42578125" style="454" customWidth="1"/>
    <col min="5126" max="5126" width="10.28515625" style="454" customWidth="1"/>
    <col min="5127" max="5127" width="14" style="454" customWidth="1"/>
    <col min="5128" max="5128" width="14.28515625" style="454" customWidth="1"/>
    <col min="5129" max="5129" width="11.28515625" style="454" customWidth="1"/>
    <col min="5130" max="5376" width="9.140625" style="454"/>
    <col min="5377" max="5377" width="4.28515625" style="454" customWidth="1"/>
    <col min="5378" max="5378" width="8.7109375" style="454" customWidth="1"/>
    <col min="5379" max="5379" width="5.5703125" style="454" customWidth="1"/>
    <col min="5380" max="5380" width="10.140625" style="454" customWidth="1"/>
    <col min="5381" max="5381" width="10.42578125" style="454" customWidth="1"/>
    <col min="5382" max="5382" width="10.28515625" style="454" customWidth="1"/>
    <col min="5383" max="5383" width="14" style="454" customWidth="1"/>
    <col min="5384" max="5384" width="14.28515625" style="454" customWidth="1"/>
    <col min="5385" max="5385" width="11.28515625" style="454" customWidth="1"/>
    <col min="5386" max="5632" width="9.140625" style="454"/>
    <col min="5633" max="5633" width="4.28515625" style="454" customWidth="1"/>
    <col min="5634" max="5634" width="8.7109375" style="454" customWidth="1"/>
    <col min="5635" max="5635" width="5.5703125" style="454" customWidth="1"/>
    <col min="5636" max="5636" width="10.140625" style="454" customWidth="1"/>
    <col min="5637" max="5637" width="10.42578125" style="454" customWidth="1"/>
    <col min="5638" max="5638" width="10.28515625" style="454" customWidth="1"/>
    <col min="5639" max="5639" width="14" style="454" customWidth="1"/>
    <col min="5640" max="5640" width="14.28515625" style="454" customWidth="1"/>
    <col min="5641" max="5641" width="11.28515625" style="454" customWidth="1"/>
    <col min="5642" max="5888" width="9.140625" style="454"/>
    <col min="5889" max="5889" width="4.28515625" style="454" customWidth="1"/>
    <col min="5890" max="5890" width="8.7109375" style="454" customWidth="1"/>
    <col min="5891" max="5891" width="5.5703125" style="454" customWidth="1"/>
    <col min="5892" max="5892" width="10.140625" style="454" customWidth="1"/>
    <col min="5893" max="5893" width="10.42578125" style="454" customWidth="1"/>
    <col min="5894" max="5894" width="10.28515625" style="454" customWidth="1"/>
    <col min="5895" max="5895" width="14" style="454" customWidth="1"/>
    <col min="5896" max="5896" width="14.28515625" style="454" customWidth="1"/>
    <col min="5897" max="5897" width="11.28515625" style="454" customWidth="1"/>
    <col min="5898" max="6144" width="9.140625" style="454"/>
    <col min="6145" max="6145" width="4.28515625" style="454" customWidth="1"/>
    <col min="6146" max="6146" width="8.7109375" style="454" customWidth="1"/>
    <col min="6147" max="6147" width="5.5703125" style="454" customWidth="1"/>
    <col min="6148" max="6148" width="10.140625" style="454" customWidth="1"/>
    <col min="6149" max="6149" width="10.42578125" style="454" customWidth="1"/>
    <col min="6150" max="6150" width="10.28515625" style="454" customWidth="1"/>
    <col min="6151" max="6151" width="14" style="454" customWidth="1"/>
    <col min="6152" max="6152" width="14.28515625" style="454" customWidth="1"/>
    <col min="6153" max="6153" width="11.28515625" style="454" customWidth="1"/>
    <col min="6154" max="6400" width="9.140625" style="454"/>
    <col min="6401" max="6401" width="4.28515625" style="454" customWidth="1"/>
    <col min="6402" max="6402" width="8.7109375" style="454" customWidth="1"/>
    <col min="6403" max="6403" width="5.5703125" style="454" customWidth="1"/>
    <col min="6404" max="6404" width="10.140625" style="454" customWidth="1"/>
    <col min="6405" max="6405" width="10.42578125" style="454" customWidth="1"/>
    <col min="6406" max="6406" width="10.28515625" style="454" customWidth="1"/>
    <col min="6407" max="6407" width="14" style="454" customWidth="1"/>
    <col min="6408" max="6408" width="14.28515625" style="454" customWidth="1"/>
    <col min="6409" max="6409" width="11.28515625" style="454" customWidth="1"/>
    <col min="6410" max="6656" width="9.140625" style="454"/>
    <col min="6657" max="6657" width="4.28515625" style="454" customWidth="1"/>
    <col min="6658" max="6658" width="8.7109375" style="454" customWidth="1"/>
    <col min="6659" max="6659" width="5.5703125" style="454" customWidth="1"/>
    <col min="6660" max="6660" width="10.140625" style="454" customWidth="1"/>
    <col min="6661" max="6661" width="10.42578125" style="454" customWidth="1"/>
    <col min="6662" max="6662" width="10.28515625" style="454" customWidth="1"/>
    <col min="6663" max="6663" width="14" style="454" customWidth="1"/>
    <col min="6664" max="6664" width="14.28515625" style="454" customWidth="1"/>
    <col min="6665" max="6665" width="11.28515625" style="454" customWidth="1"/>
    <col min="6666" max="6912" width="9.140625" style="454"/>
    <col min="6913" max="6913" width="4.28515625" style="454" customWidth="1"/>
    <col min="6914" max="6914" width="8.7109375" style="454" customWidth="1"/>
    <col min="6915" max="6915" width="5.5703125" style="454" customWidth="1"/>
    <col min="6916" max="6916" width="10.140625" style="454" customWidth="1"/>
    <col min="6917" max="6917" width="10.42578125" style="454" customWidth="1"/>
    <col min="6918" max="6918" width="10.28515625" style="454" customWidth="1"/>
    <col min="6919" max="6919" width="14" style="454" customWidth="1"/>
    <col min="6920" max="6920" width="14.28515625" style="454" customWidth="1"/>
    <col min="6921" max="6921" width="11.28515625" style="454" customWidth="1"/>
    <col min="6922" max="7168" width="9.140625" style="454"/>
    <col min="7169" max="7169" width="4.28515625" style="454" customWidth="1"/>
    <col min="7170" max="7170" width="8.7109375" style="454" customWidth="1"/>
    <col min="7171" max="7171" width="5.5703125" style="454" customWidth="1"/>
    <col min="7172" max="7172" width="10.140625" style="454" customWidth="1"/>
    <col min="7173" max="7173" width="10.42578125" style="454" customWidth="1"/>
    <col min="7174" max="7174" width="10.28515625" style="454" customWidth="1"/>
    <col min="7175" max="7175" width="14" style="454" customWidth="1"/>
    <col min="7176" max="7176" width="14.28515625" style="454" customWidth="1"/>
    <col min="7177" max="7177" width="11.28515625" style="454" customWidth="1"/>
    <col min="7178" max="7424" width="9.140625" style="454"/>
    <col min="7425" max="7425" width="4.28515625" style="454" customWidth="1"/>
    <col min="7426" max="7426" width="8.7109375" style="454" customWidth="1"/>
    <col min="7427" max="7427" width="5.5703125" style="454" customWidth="1"/>
    <col min="7428" max="7428" width="10.140625" style="454" customWidth="1"/>
    <col min="7429" max="7429" width="10.42578125" style="454" customWidth="1"/>
    <col min="7430" max="7430" width="10.28515625" style="454" customWidth="1"/>
    <col min="7431" max="7431" width="14" style="454" customWidth="1"/>
    <col min="7432" max="7432" width="14.28515625" style="454" customWidth="1"/>
    <col min="7433" max="7433" width="11.28515625" style="454" customWidth="1"/>
    <col min="7434" max="7680" width="9.140625" style="454"/>
    <col min="7681" max="7681" width="4.28515625" style="454" customWidth="1"/>
    <col min="7682" max="7682" width="8.7109375" style="454" customWidth="1"/>
    <col min="7683" max="7683" width="5.5703125" style="454" customWidth="1"/>
    <col min="7684" max="7684" width="10.140625" style="454" customWidth="1"/>
    <col min="7685" max="7685" width="10.42578125" style="454" customWidth="1"/>
    <col min="7686" max="7686" width="10.28515625" style="454" customWidth="1"/>
    <col min="7687" max="7687" width="14" style="454" customWidth="1"/>
    <col min="7688" max="7688" width="14.28515625" style="454" customWidth="1"/>
    <col min="7689" max="7689" width="11.28515625" style="454" customWidth="1"/>
    <col min="7690" max="7936" width="9.140625" style="454"/>
    <col min="7937" max="7937" width="4.28515625" style="454" customWidth="1"/>
    <col min="7938" max="7938" width="8.7109375" style="454" customWidth="1"/>
    <col min="7939" max="7939" width="5.5703125" style="454" customWidth="1"/>
    <col min="7940" max="7940" width="10.140625" style="454" customWidth="1"/>
    <col min="7941" max="7941" width="10.42578125" style="454" customWidth="1"/>
    <col min="7942" max="7942" width="10.28515625" style="454" customWidth="1"/>
    <col min="7943" max="7943" width="14" style="454" customWidth="1"/>
    <col min="7944" max="7944" width="14.28515625" style="454" customWidth="1"/>
    <col min="7945" max="7945" width="11.28515625" style="454" customWidth="1"/>
    <col min="7946" max="8192" width="9.140625" style="454"/>
    <col min="8193" max="8193" width="4.28515625" style="454" customWidth="1"/>
    <col min="8194" max="8194" width="8.7109375" style="454" customWidth="1"/>
    <col min="8195" max="8195" width="5.5703125" style="454" customWidth="1"/>
    <col min="8196" max="8196" width="10.140625" style="454" customWidth="1"/>
    <col min="8197" max="8197" width="10.42578125" style="454" customWidth="1"/>
    <col min="8198" max="8198" width="10.28515625" style="454" customWidth="1"/>
    <col min="8199" max="8199" width="14" style="454" customWidth="1"/>
    <col min="8200" max="8200" width="14.28515625" style="454" customWidth="1"/>
    <col min="8201" max="8201" width="11.28515625" style="454" customWidth="1"/>
    <col min="8202" max="8448" width="9.140625" style="454"/>
    <col min="8449" max="8449" width="4.28515625" style="454" customWidth="1"/>
    <col min="8450" max="8450" width="8.7109375" style="454" customWidth="1"/>
    <col min="8451" max="8451" width="5.5703125" style="454" customWidth="1"/>
    <col min="8452" max="8452" width="10.140625" style="454" customWidth="1"/>
    <col min="8453" max="8453" width="10.42578125" style="454" customWidth="1"/>
    <col min="8454" max="8454" width="10.28515625" style="454" customWidth="1"/>
    <col min="8455" max="8455" width="14" style="454" customWidth="1"/>
    <col min="8456" max="8456" width="14.28515625" style="454" customWidth="1"/>
    <col min="8457" max="8457" width="11.28515625" style="454" customWidth="1"/>
    <col min="8458" max="8704" width="9.140625" style="454"/>
    <col min="8705" max="8705" width="4.28515625" style="454" customWidth="1"/>
    <col min="8706" max="8706" width="8.7109375" style="454" customWidth="1"/>
    <col min="8707" max="8707" width="5.5703125" style="454" customWidth="1"/>
    <col min="8708" max="8708" width="10.140625" style="454" customWidth="1"/>
    <col min="8709" max="8709" width="10.42578125" style="454" customWidth="1"/>
    <col min="8710" max="8710" width="10.28515625" style="454" customWidth="1"/>
    <col min="8711" max="8711" width="14" style="454" customWidth="1"/>
    <col min="8712" max="8712" width="14.28515625" style="454" customWidth="1"/>
    <col min="8713" max="8713" width="11.28515625" style="454" customWidth="1"/>
    <col min="8714" max="8960" width="9.140625" style="454"/>
    <col min="8961" max="8961" width="4.28515625" style="454" customWidth="1"/>
    <col min="8962" max="8962" width="8.7109375" style="454" customWidth="1"/>
    <col min="8963" max="8963" width="5.5703125" style="454" customWidth="1"/>
    <col min="8964" max="8964" width="10.140625" style="454" customWidth="1"/>
    <col min="8965" max="8965" width="10.42578125" style="454" customWidth="1"/>
    <col min="8966" max="8966" width="10.28515625" style="454" customWidth="1"/>
    <col min="8967" max="8967" width="14" style="454" customWidth="1"/>
    <col min="8968" max="8968" width="14.28515625" style="454" customWidth="1"/>
    <col min="8969" max="8969" width="11.28515625" style="454" customWidth="1"/>
    <col min="8970" max="9216" width="9.140625" style="454"/>
    <col min="9217" max="9217" width="4.28515625" style="454" customWidth="1"/>
    <col min="9218" max="9218" width="8.7109375" style="454" customWidth="1"/>
    <col min="9219" max="9219" width="5.5703125" style="454" customWidth="1"/>
    <col min="9220" max="9220" width="10.140625" style="454" customWidth="1"/>
    <col min="9221" max="9221" width="10.42578125" style="454" customWidth="1"/>
    <col min="9222" max="9222" width="10.28515625" style="454" customWidth="1"/>
    <col min="9223" max="9223" width="14" style="454" customWidth="1"/>
    <col min="9224" max="9224" width="14.28515625" style="454" customWidth="1"/>
    <col min="9225" max="9225" width="11.28515625" style="454" customWidth="1"/>
    <col min="9226" max="9472" width="9.140625" style="454"/>
    <col min="9473" max="9473" width="4.28515625" style="454" customWidth="1"/>
    <col min="9474" max="9474" width="8.7109375" style="454" customWidth="1"/>
    <col min="9475" max="9475" width="5.5703125" style="454" customWidth="1"/>
    <col min="9476" max="9476" width="10.140625" style="454" customWidth="1"/>
    <col min="9477" max="9477" width="10.42578125" style="454" customWidth="1"/>
    <col min="9478" max="9478" width="10.28515625" style="454" customWidth="1"/>
    <col min="9479" max="9479" width="14" style="454" customWidth="1"/>
    <col min="9480" max="9480" width="14.28515625" style="454" customWidth="1"/>
    <col min="9481" max="9481" width="11.28515625" style="454" customWidth="1"/>
    <col min="9482" max="9728" width="9.140625" style="454"/>
    <col min="9729" max="9729" width="4.28515625" style="454" customWidth="1"/>
    <col min="9730" max="9730" width="8.7109375" style="454" customWidth="1"/>
    <col min="9731" max="9731" width="5.5703125" style="454" customWidth="1"/>
    <col min="9732" max="9732" width="10.140625" style="454" customWidth="1"/>
    <col min="9733" max="9733" width="10.42578125" style="454" customWidth="1"/>
    <col min="9734" max="9734" width="10.28515625" style="454" customWidth="1"/>
    <col min="9735" max="9735" width="14" style="454" customWidth="1"/>
    <col min="9736" max="9736" width="14.28515625" style="454" customWidth="1"/>
    <col min="9737" max="9737" width="11.28515625" style="454" customWidth="1"/>
    <col min="9738" max="9984" width="9.140625" style="454"/>
    <col min="9985" max="9985" width="4.28515625" style="454" customWidth="1"/>
    <col min="9986" max="9986" width="8.7109375" style="454" customWidth="1"/>
    <col min="9987" max="9987" width="5.5703125" style="454" customWidth="1"/>
    <col min="9988" max="9988" width="10.140625" style="454" customWidth="1"/>
    <col min="9989" max="9989" width="10.42578125" style="454" customWidth="1"/>
    <col min="9990" max="9990" width="10.28515625" style="454" customWidth="1"/>
    <col min="9991" max="9991" width="14" style="454" customWidth="1"/>
    <col min="9992" max="9992" width="14.28515625" style="454" customWidth="1"/>
    <col min="9993" max="9993" width="11.28515625" style="454" customWidth="1"/>
    <col min="9994" max="10240" width="9.140625" style="454"/>
    <col min="10241" max="10241" width="4.28515625" style="454" customWidth="1"/>
    <col min="10242" max="10242" width="8.7109375" style="454" customWidth="1"/>
    <col min="10243" max="10243" width="5.5703125" style="454" customWidth="1"/>
    <col min="10244" max="10244" width="10.140625" style="454" customWidth="1"/>
    <col min="10245" max="10245" width="10.42578125" style="454" customWidth="1"/>
    <col min="10246" max="10246" width="10.28515625" style="454" customWidth="1"/>
    <col min="10247" max="10247" width="14" style="454" customWidth="1"/>
    <col min="10248" max="10248" width="14.28515625" style="454" customWidth="1"/>
    <col min="10249" max="10249" width="11.28515625" style="454" customWidth="1"/>
    <col min="10250" max="10496" width="9.140625" style="454"/>
    <col min="10497" max="10497" width="4.28515625" style="454" customWidth="1"/>
    <col min="10498" max="10498" width="8.7109375" style="454" customWidth="1"/>
    <col min="10499" max="10499" width="5.5703125" style="454" customWidth="1"/>
    <col min="10500" max="10500" width="10.140625" style="454" customWidth="1"/>
    <col min="10501" max="10501" width="10.42578125" style="454" customWidth="1"/>
    <col min="10502" max="10502" width="10.28515625" style="454" customWidth="1"/>
    <col min="10503" max="10503" width="14" style="454" customWidth="1"/>
    <col min="10504" max="10504" width="14.28515625" style="454" customWidth="1"/>
    <col min="10505" max="10505" width="11.28515625" style="454" customWidth="1"/>
    <col min="10506" max="10752" width="9.140625" style="454"/>
    <col min="10753" max="10753" width="4.28515625" style="454" customWidth="1"/>
    <col min="10754" max="10754" width="8.7109375" style="454" customWidth="1"/>
    <col min="10755" max="10755" width="5.5703125" style="454" customWidth="1"/>
    <col min="10756" max="10756" width="10.140625" style="454" customWidth="1"/>
    <col min="10757" max="10757" width="10.42578125" style="454" customWidth="1"/>
    <col min="10758" max="10758" width="10.28515625" style="454" customWidth="1"/>
    <col min="10759" max="10759" width="14" style="454" customWidth="1"/>
    <col min="10760" max="10760" width="14.28515625" style="454" customWidth="1"/>
    <col min="10761" max="10761" width="11.28515625" style="454" customWidth="1"/>
    <col min="10762" max="11008" width="9.140625" style="454"/>
    <col min="11009" max="11009" width="4.28515625" style="454" customWidth="1"/>
    <col min="11010" max="11010" width="8.7109375" style="454" customWidth="1"/>
    <col min="11011" max="11011" width="5.5703125" style="454" customWidth="1"/>
    <col min="11012" max="11012" width="10.140625" style="454" customWidth="1"/>
    <col min="11013" max="11013" width="10.42578125" style="454" customWidth="1"/>
    <col min="11014" max="11014" width="10.28515625" style="454" customWidth="1"/>
    <col min="11015" max="11015" width="14" style="454" customWidth="1"/>
    <col min="11016" max="11016" width="14.28515625" style="454" customWidth="1"/>
    <col min="11017" max="11017" width="11.28515625" style="454" customWidth="1"/>
    <col min="11018" max="11264" width="9.140625" style="454"/>
    <col min="11265" max="11265" width="4.28515625" style="454" customWidth="1"/>
    <col min="11266" max="11266" width="8.7109375" style="454" customWidth="1"/>
    <col min="11267" max="11267" width="5.5703125" style="454" customWidth="1"/>
    <col min="11268" max="11268" width="10.140625" style="454" customWidth="1"/>
    <col min="11269" max="11269" width="10.42578125" style="454" customWidth="1"/>
    <col min="11270" max="11270" width="10.28515625" style="454" customWidth="1"/>
    <col min="11271" max="11271" width="14" style="454" customWidth="1"/>
    <col min="11272" max="11272" width="14.28515625" style="454" customWidth="1"/>
    <col min="11273" max="11273" width="11.28515625" style="454" customWidth="1"/>
    <col min="11274" max="11520" width="9.140625" style="454"/>
    <col min="11521" max="11521" width="4.28515625" style="454" customWidth="1"/>
    <col min="11522" max="11522" width="8.7109375" style="454" customWidth="1"/>
    <col min="11523" max="11523" width="5.5703125" style="454" customWidth="1"/>
    <col min="11524" max="11524" width="10.140625" style="454" customWidth="1"/>
    <col min="11525" max="11525" width="10.42578125" style="454" customWidth="1"/>
    <col min="11526" max="11526" width="10.28515625" style="454" customWidth="1"/>
    <col min="11527" max="11527" width="14" style="454" customWidth="1"/>
    <col min="11528" max="11528" width="14.28515625" style="454" customWidth="1"/>
    <col min="11529" max="11529" width="11.28515625" style="454" customWidth="1"/>
    <col min="11530" max="11776" width="9.140625" style="454"/>
    <col min="11777" max="11777" width="4.28515625" style="454" customWidth="1"/>
    <col min="11778" max="11778" width="8.7109375" style="454" customWidth="1"/>
    <col min="11779" max="11779" width="5.5703125" style="454" customWidth="1"/>
    <col min="11780" max="11780" width="10.140625" style="454" customWidth="1"/>
    <col min="11781" max="11781" width="10.42578125" style="454" customWidth="1"/>
    <col min="11782" max="11782" width="10.28515625" style="454" customWidth="1"/>
    <col min="11783" max="11783" width="14" style="454" customWidth="1"/>
    <col min="11784" max="11784" width="14.28515625" style="454" customWidth="1"/>
    <col min="11785" max="11785" width="11.28515625" style="454" customWidth="1"/>
    <col min="11786" max="12032" width="9.140625" style="454"/>
    <col min="12033" max="12033" width="4.28515625" style="454" customWidth="1"/>
    <col min="12034" max="12034" width="8.7109375" style="454" customWidth="1"/>
    <col min="12035" max="12035" width="5.5703125" style="454" customWidth="1"/>
    <col min="12036" max="12036" width="10.140625" style="454" customWidth="1"/>
    <col min="12037" max="12037" width="10.42578125" style="454" customWidth="1"/>
    <col min="12038" max="12038" width="10.28515625" style="454" customWidth="1"/>
    <col min="12039" max="12039" width="14" style="454" customWidth="1"/>
    <col min="12040" max="12040" width="14.28515625" style="454" customWidth="1"/>
    <col min="12041" max="12041" width="11.28515625" style="454" customWidth="1"/>
    <col min="12042" max="12288" width="9.140625" style="454"/>
    <col min="12289" max="12289" width="4.28515625" style="454" customWidth="1"/>
    <col min="12290" max="12290" width="8.7109375" style="454" customWidth="1"/>
    <col min="12291" max="12291" width="5.5703125" style="454" customWidth="1"/>
    <col min="12292" max="12292" width="10.140625" style="454" customWidth="1"/>
    <col min="12293" max="12293" width="10.42578125" style="454" customWidth="1"/>
    <col min="12294" max="12294" width="10.28515625" style="454" customWidth="1"/>
    <col min="12295" max="12295" width="14" style="454" customWidth="1"/>
    <col min="12296" max="12296" width="14.28515625" style="454" customWidth="1"/>
    <col min="12297" max="12297" width="11.28515625" style="454" customWidth="1"/>
    <col min="12298" max="12544" width="9.140625" style="454"/>
    <col min="12545" max="12545" width="4.28515625" style="454" customWidth="1"/>
    <col min="12546" max="12546" width="8.7109375" style="454" customWidth="1"/>
    <col min="12547" max="12547" width="5.5703125" style="454" customWidth="1"/>
    <col min="12548" max="12548" width="10.140625" style="454" customWidth="1"/>
    <col min="12549" max="12549" width="10.42578125" style="454" customWidth="1"/>
    <col min="12550" max="12550" width="10.28515625" style="454" customWidth="1"/>
    <col min="12551" max="12551" width="14" style="454" customWidth="1"/>
    <col min="12552" max="12552" width="14.28515625" style="454" customWidth="1"/>
    <col min="12553" max="12553" width="11.28515625" style="454" customWidth="1"/>
    <col min="12554" max="12800" width="9.140625" style="454"/>
    <col min="12801" max="12801" width="4.28515625" style="454" customWidth="1"/>
    <col min="12802" max="12802" width="8.7109375" style="454" customWidth="1"/>
    <col min="12803" max="12803" width="5.5703125" style="454" customWidth="1"/>
    <col min="12804" max="12804" width="10.140625" style="454" customWidth="1"/>
    <col min="12805" max="12805" width="10.42578125" style="454" customWidth="1"/>
    <col min="12806" max="12806" width="10.28515625" style="454" customWidth="1"/>
    <col min="12807" max="12807" width="14" style="454" customWidth="1"/>
    <col min="12808" max="12808" width="14.28515625" style="454" customWidth="1"/>
    <col min="12809" max="12809" width="11.28515625" style="454" customWidth="1"/>
    <col min="12810" max="13056" width="9.140625" style="454"/>
    <col min="13057" max="13057" width="4.28515625" style="454" customWidth="1"/>
    <col min="13058" max="13058" width="8.7109375" style="454" customWidth="1"/>
    <col min="13059" max="13059" width="5.5703125" style="454" customWidth="1"/>
    <col min="13060" max="13060" width="10.140625" style="454" customWidth="1"/>
    <col min="13061" max="13061" width="10.42578125" style="454" customWidth="1"/>
    <col min="13062" max="13062" width="10.28515625" style="454" customWidth="1"/>
    <col min="13063" max="13063" width="14" style="454" customWidth="1"/>
    <col min="13064" max="13064" width="14.28515625" style="454" customWidth="1"/>
    <col min="13065" max="13065" width="11.28515625" style="454" customWidth="1"/>
    <col min="13066" max="13312" width="9.140625" style="454"/>
    <col min="13313" max="13313" width="4.28515625" style="454" customWidth="1"/>
    <col min="13314" max="13314" width="8.7109375" style="454" customWidth="1"/>
    <col min="13315" max="13315" width="5.5703125" style="454" customWidth="1"/>
    <col min="13316" max="13316" width="10.140625" style="454" customWidth="1"/>
    <col min="13317" max="13317" width="10.42578125" style="454" customWidth="1"/>
    <col min="13318" max="13318" width="10.28515625" style="454" customWidth="1"/>
    <col min="13319" max="13319" width="14" style="454" customWidth="1"/>
    <col min="13320" max="13320" width="14.28515625" style="454" customWidth="1"/>
    <col min="13321" max="13321" width="11.28515625" style="454" customWidth="1"/>
    <col min="13322" max="13568" width="9.140625" style="454"/>
    <col min="13569" max="13569" width="4.28515625" style="454" customWidth="1"/>
    <col min="13570" max="13570" width="8.7109375" style="454" customWidth="1"/>
    <col min="13571" max="13571" width="5.5703125" style="454" customWidth="1"/>
    <col min="13572" max="13572" width="10.140625" style="454" customWidth="1"/>
    <col min="13573" max="13573" width="10.42578125" style="454" customWidth="1"/>
    <col min="13574" max="13574" width="10.28515625" style="454" customWidth="1"/>
    <col min="13575" max="13575" width="14" style="454" customWidth="1"/>
    <col min="13576" max="13576" width="14.28515625" style="454" customWidth="1"/>
    <col min="13577" max="13577" width="11.28515625" style="454" customWidth="1"/>
    <col min="13578" max="13824" width="9.140625" style="454"/>
    <col min="13825" max="13825" width="4.28515625" style="454" customWidth="1"/>
    <col min="13826" max="13826" width="8.7109375" style="454" customWidth="1"/>
    <col min="13827" max="13827" width="5.5703125" style="454" customWidth="1"/>
    <col min="13828" max="13828" width="10.140625" style="454" customWidth="1"/>
    <col min="13829" max="13829" width="10.42578125" style="454" customWidth="1"/>
    <col min="13830" max="13830" width="10.28515625" style="454" customWidth="1"/>
    <col min="13831" max="13831" width="14" style="454" customWidth="1"/>
    <col min="13832" max="13832" width="14.28515625" style="454" customWidth="1"/>
    <col min="13833" max="13833" width="11.28515625" style="454" customWidth="1"/>
    <col min="13834" max="14080" width="9.140625" style="454"/>
    <col min="14081" max="14081" width="4.28515625" style="454" customWidth="1"/>
    <col min="14082" max="14082" width="8.7109375" style="454" customWidth="1"/>
    <col min="14083" max="14083" width="5.5703125" style="454" customWidth="1"/>
    <col min="14084" max="14084" width="10.140625" style="454" customWidth="1"/>
    <col min="14085" max="14085" width="10.42578125" style="454" customWidth="1"/>
    <col min="14086" max="14086" width="10.28515625" style="454" customWidth="1"/>
    <col min="14087" max="14087" width="14" style="454" customWidth="1"/>
    <col min="14088" max="14088" width="14.28515625" style="454" customWidth="1"/>
    <col min="14089" max="14089" width="11.28515625" style="454" customWidth="1"/>
    <col min="14090" max="14336" width="9.140625" style="454"/>
    <col min="14337" max="14337" width="4.28515625" style="454" customWidth="1"/>
    <col min="14338" max="14338" width="8.7109375" style="454" customWidth="1"/>
    <col min="14339" max="14339" width="5.5703125" style="454" customWidth="1"/>
    <col min="14340" max="14340" width="10.140625" style="454" customWidth="1"/>
    <col min="14341" max="14341" width="10.42578125" style="454" customWidth="1"/>
    <col min="14342" max="14342" width="10.28515625" style="454" customWidth="1"/>
    <col min="14343" max="14343" width="14" style="454" customWidth="1"/>
    <col min="14344" max="14344" width="14.28515625" style="454" customWidth="1"/>
    <col min="14345" max="14345" width="11.28515625" style="454" customWidth="1"/>
    <col min="14346" max="14592" width="9.140625" style="454"/>
    <col min="14593" max="14593" width="4.28515625" style="454" customWidth="1"/>
    <col min="14594" max="14594" width="8.7109375" style="454" customWidth="1"/>
    <col min="14595" max="14595" width="5.5703125" style="454" customWidth="1"/>
    <col min="14596" max="14596" width="10.140625" style="454" customWidth="1"/>
    <col min="14597" max="14597" width="10.42578125" style="454" customWidth="1"/>
    <col min="14598" max="14598" width="10.28515625" style="454" customWidth="1"/>
    <col min="14599" max="14599" width="14" style="454" customWidth="1"/>
    <col min="14600" max="14600" width="14.28515625" style="454" customWidth="1"/>
    <col min="14601" max="14601" width="11.28515625" style="454" customWidth="1"/>
    <col min="14602" max="14848" width="9.140625" style="454"/>
    <col min="14849" max="14849" width="4.28515625" style="454" customWidth="1"/>
    <col min="14850" max="14850" width="8.7109375" style="454" customWidth="1"/>
    <col min="14851" max="14851" width="5.5703125" style="454" customWidth="1"/>
    <col min="14852" max="14852" width="10.140625" style="454" customWidth="1"/>
    <col min="14853" max="14853" width="10.42578125" style="454" customWidth="1"/>
    <col min="14854" max="14854" width="10.28515625" style="454" customWidth="1"/>
    <col min="14855" max="14855" width="14" style="454" customWidth="1"/>
    <col min="14856" max="14856" width="14.28515625" style="454" customWidth="1"/>
    <col min="14857" max="14857" width="11.28515625" style="454" customWidth="1"/>
    <col min="14858" max="15104" width="9.140625" style="454"/>
    <col min="15105" max="15105" width="4.28515625" style="454" customWidth="1"/>
    <col min="15106" max="15106" width="8.7109375" style="454" customWidth="1"/>
    <col min="15107" max="15107" width="5.5703125" style="454" customWidth="1"/>
    <col min="15108" max="15108" width="10.140625" style="454" customWidth="1"/>
    <col min="15109" max="15109" width="10.42578125" style="454" customWidth="1"/>
    <col min="15110" max="15110" width="10.28515625" style="454" customWidth="1"/>
    <col min="15111" max="15111" width="14" style="454" customWidth="1"/>
    <col min="15112" max="15112" width="14.28515625" style="454" customWidth="1"/>
    <col min="15113" max="15113" width="11.28515625" style="454" customWidth="1"/>
    <col min="15114" max="15360" width="9.140625" style="454"/>
    <col min="15361" max="15361" width="4.28515625" style="454" customWidth="1"/>
    <col min="15362" max="15362" width="8.7109375" style="454" customWidth="1"/>
    <col min="15363" max="15363" width="5.5703125" style="454" customWidth="1"/>
    <col min="15364" max="15364" width="10.140625" style="454" customWidth="1"/>
    <col min="15365" max="15365" width="10.42578125" style="454" customWidth="1"/>
    <col min="15366" max="15366" width="10.28515625" style="454" customWidth="1"/>
    <col min="15367" max="15367" width="14" style="454" customWidth="1"/>
    <col min="15368" max="15368" width="14.28515625" style="454" customWidth="1"/>
    <col min="15369" max="15369" width="11.28515625" style="454" customWidth="1"/>
    <col min="15370" max="15616" width="9.140625" style="454"/>
    <col min="15617" max="15617" width="4.28515625" style="454" customWidth="1"/>
    <col min="15618" max="15618" width="8.7109375" style="454" customWidth="1"/>
    <col min="15619" max="15619" width="5.5703125" style="454" customWidth="1"/>
    <col min="15620" max="15620" width="10.140625" style="454" customWidth="1"/>
    <col min="15621" max="15621" width="10.42578125" style="454" customWidth="1"/>
    <col min="15622" max="15622" width="10.28515625" style="454" customWidth="1"/>
    <col min="15623" max="15623" width="14" style="454" customWidth="1"/>
    <col min="15624" max="15624" width="14.28515625" style="454" customWidth="1"/>
    <col min="15625" max="15625" width="11.28515625" style="454" customWidth="1"/>
    <col min="15626" max="15872" width="9.140625" style="454"/>
    <col min="15873" max="15873" width="4.28515625" style="454" customWidth="1"/>
    <col min="15874" max="15874" width="8.7109375" style="454" customWidth="1"/>
    <col min="15875" max="15875" width="5.5703125" style="454" customWidth="1"/>
    <col min="15876" max="15876" width="10.140625" style="454" customWidth="1"/>
    <col min="15877" max="15877" width="10.42578125" style="454" customWidth="1"/>
    <col min="15878" max="15878" width="10.28515625" style="454" customWidth="1"/>
    <col min="15879" max="15879" width="14" style="454" customWidth="1"/>
    <col min="15880" max="15880" width="14.28515625" style="454" customWidth="1"/>
    <col min="15881" max="15881" width="11.28515625" style="454" customWidth="1"/>
    <col min="15882" max="16128" width="9.140625" style="454"/>
    <col min="16129" max="16129" width="4.28515625" style="454" customWidth="1"/>
    <col min="16130" max="16130" width="8.7109375" style="454" customWidth="1"/>
    <col min="16131" max="16131" width="5.5703125" style="454" customWidth="1"/>
    <col min="16132" max="16132" width="10.140625" style="454" customWidth="1"/>
    <col min="16133" max="16133" width="10.42578125" style="454" customWidth="1"/>
    <col min="16134" max="16134" width="10.28515625" style="454" customWidth="1"/>
    <col min="16135" max="16135" width="14" style="454" customWidth="1"/>
    <col min="16136" max="16136" width="14.28515625" style="454" customWidth="1"/>
    <col min="16137" max="16137" width="11.28515625" style="454" customWidth="1"/>
    <col min="16138" max="16384" width="9.140625" style="454"/>
  </cols>
  <sheetData>
    <row r="1" spans="1:9" x14ac:dyDescent="0.2">
      <c r="G1" s="221"/>
      <c r="H1" s="221" t="s">
        <v>256</v>
      </c>
    </row>
    <row r="2" spans="1:9" x14ac:dyDescent="0.2">
      <c r="G2" s="221"/>
      <c r="H2" s="3" t="s">
        <v>187</v>
      </c>
    </row>
    <row r="3" spans="1:9" x14ac:dyDescent="0.2">
      <c r="G3" s="221"/>
      <c r="H3" s="3" t="s">
        <v>1</v>
      </c>
    </row>
    <row r="4" spans="1:9" x14ac:dyDescent="0.2">
      <c r="G4" s="221"/>
      <c r="H4" s="3" t="s">
        <v>188</v>
      </c>
    </row>
    <row r="5" spans="1:9" x14ac:dyDescent="0.2">
      <c r="H5" s="222"/>
    </row>
    <row r="7" spans="1:9" ht="35.25" customHeight="1" x14ac:dyDescent="0.2">
      <c r="A7" s="223" t="s">
        <v>257</v>
      </c>
      <c r="B7" s="223"/>
      <c r="C7" s="223"/>
      <c r="D7" s="223"/>
      <c r="E7" s="223"/>
      <c r="F7" s="223"/>
      <c r="G7" s="223"/>
      <c r="H7" s="223"/>
      <c r="I7" s="223"/>
    </row>
    <row r="8" spans="1:9" ht="18" customHeight="1" x14ac:dyDescent="0.2">
      <c r="A8" s="224"/>
      <c r="B8" s="224"/>
      <c r="C8" s="224"/>
      <c r="D8" s="224"/>
      <c r="E8" s="224"/>
      <c r="F8" s="224"/>
      <c r="G8" s="224"/>
      <c r="H8" s="224"/>
      <c r="I8" s="224"/>
    </row>
    <row r="9" spans="1:9" ht="13.5" customHeight="1" x14ac:dyDescent="0.2">
      <c r="I9" s="225" t="s">
        <v>3</v>
      </c>
    </row>
    <row r="10" spans="1:9" ht="13.5" customHeight="1" x14ac:dyDescent="0.2">
      <c r="A10" s="226"/>
      <c r="B10" s="226"/>
      <c r="C10" s="226"/>
      <c r="D10" s="227"/>
      <c r="E10" s="227"/>
      <c r="F10" s="228" t="s">
        <v>258</v>
      </c>
      <c r="G10" s="229"/>
      <c r="H10" s="229"/>
      <c r="I10" s="230"/>
    </row>
    <row r="11" spans="1:9" ht="33.75" customHeight="1" x14ac:dyDescent="0.2">
      <c r="A11" s="231" t="s">
        <v>202</v>
      </c>
      <c r="B11" s="231" t="s">
        <v>203</v>
      </c>
      <c r="C11" s="231" t="s">
        <v>7</v>
      </c>
      <c r="D11" s="232" t="s">
        <v>259</v>
      </c>
      <c r="E11" s="232" t="s">
        <v>260</v>
      </c>
      <c r="F11" s="227"/>
      <c r="G11" s="228" t="s">
        <v>229</v>
      </c>
      <c r="H11" s="230"/>
      <c r="I11" s="227"/>
    </row>
    <row r="12" spans="1:9" ht="39.75" customHeight="1" x14ac:dyDescent="0.2">
      <c r="A12" s="233"/>
      <c r="B12" s="233"/>
      <c r="C12" s="233"/>
      <c r="D12" s="233"/>
      <c r="E12" s="234"/>
      <c r="F12" s="235" t="s">
        <v>261</v>
      </c>
      <c r="G12" s="236" t="s">
        <v>262</v>
      </c>
      <c r="H12" s="236" t="s">
        <v>263</v>
      </c>
      <c r="I12" s="235" t="s">
        <v>264</v>
      </c>
    </row>
    <row r="13" spans="1:9" ht="10.5" customHeight="1" x14ac:dyDescent="0.2">
      <c r="A13" s="237">
        <v>1</v>
      </c>
      <c r="B13" s="237">
        <v>2</v>
      </c>
      <c r="C13" s="237">
        <v>3</v>
      </c>
      <c r="D13" s="237">
        <v>4</v>
      </c>
      <c r="E13" s="237">
        <v>5</v>
      </c>
      <c r="F13" s="237">
        <v>6</v>
      </c>
      <c r="G13" s="237">
        <v>7</v>
      </c>
      <c r="H13" s="237">
        <v>8</v>
      </c>
      <c r="I13" s="237">
        <v>9</v>
      </c>
    </row>
    <row r="14" spans="1:9" ht="20.25" customHeight="1" x14ac:dyDescent="0.2">
      <c r="A14" s="456">
        <v>710</v>
      </c>
      <c r="B14" s="456">
        <v>71035</v>
      </c>
      <c r="C14" s="456">
        <v>2020</v>
      </c>
      <c r="D14" s="457">
        <v>9000</v>
      </c>
      <c r="E14" s="457">
        <f t="shared" ref="E14:E19" si="0">SUM(F14,I14)</f>
        <v>9000</v>
      </c>
      <c r="F14" s="457">
        <v>9000</v>
      </c>
      <c r="G14" s="457">
        <v>0</v>
      </c>
      <c r="H14" s="457">
        <v>0</v>
      </c>
      <c r="I14" s="457">
        <v>0</v>
      </c>
    </row>
    <row r="15" spans="1:9" ht="20.25" customHeight="1" x14ac:dyDescent="0.2">
      <c r="A15" s="456">
        <v>750</v>
      </c>
      <c r="B15" s="456">
        <v>75045</v>
      </c>
      <c r="C15" s="458">
        <v>2120</v>
      </c>
      <c r="D15" s="459">
        <f>25400+3340+960</f>
        <v>29700</v>
      </c>
      <c r="E15" s="457">
        <f t="shared" si="0"/>
        <v>29700</v>
      </c>
      <c r="F15" s="457">
        <f>25400+3340+960</f>
        <v>29700</v>
      </c>
      <c r="G15" s="457">
        <f>25400+3340-6600+960</f>
        <v>23100</v>
      </c>
      <c r="H15" s="457">
        <v>0</v>
      </c>
      <c r="I15" s="457">
        <v>0</v>
      </c>
    </row>
    <row r="16" spans="1:9" ht="20.25" customHeight="1" x14ac:dyDescent="0.2">
      <c r="A16" s="456">
        <v>754</v>
      </c>
      <c r="B16" s="456">
        <v>75421</v>
      </c>
      <c r="C16" s="458">
        <v>2020</v>
      </c>
      <c r="D16" s="459">
        <f>414000-342000</f>
        <v>72000</v>
      </c>
      <c r="E16" s="457">
        <f t="shared" si="0"/>
        <v>72000</v>
      </c>
      <c r="F16" s="457">
        <f>414000-342000</f>
        <v>72000</v>
      </c>
      <c r="G16" s="457">
        <v>0</v>
      </c>
      <c r="H16" s="457">
        <v>0</v>
      </c>
      <c r="I16" s="457">
        <v>0</v>
      </c>
    </row>
    <row r="17" spans="1:11" ht="20.25" customHeight="1" x14ac:dyDescent="0.2">
      <c r="A17" s="456">
        <v>801</v>
      </c>
      <c r="B17" s="456">
        <v>80146</v>
      </c>
      <c r="C17" s="458">
        <v>2020</v>
      </c>
      <c r="D17" s="459">
        <v>13423</v>
      </c>
      <c r="E17" s="457">
        <f t="shared" si="0"/>
        <v>13423</v>
      </c>
      <c r="F17" s="457">
        <v>13423</v>
      </c>
      <c r="G17" s="457">
        <v>13423</v>
      </c>
      <c r="H17" s="457">
        <v>0</v>
      </c>
      <c r="I17" s="457">
        <v>0</v>
      </c>
      <c r="K17" s="238"/>
    </row>
    <row r="18" spans="1:11" ht="20.25" customHeight="1" x14ac:dyDescent="0.2">
      <c r="A18" s="456">
        <v>801</v>
      </c>
      <c r="B18" s="456">
        <v>80146</v>
      </c>
      <c r="C18" s="458">
        <v>2120</v>
      </c>
      <c r="D18" s="459">
        <f>186000+116810</f>
        <v>302810</v>
      </c>
      <c r="E18" s="457">
        <f t="shared" si="0"/>
        <v>302810</v>
      </c>
      <c r="F18" s="457">
        <f>186000+116810</f>
        <v>302810</v>
      </c>
      <c r="G18" s="457">
        <f>178933+109204-1115</f>
        <v>287022</v>
      </c>
      <c r="H18" s="457">
        <f>1115</f>
        <v>1115</v>
      </c>
      <c r="I18" s="457">
        <v>0</v>
      </c>
    </row>
    <row r="19" spans="1:11" ht="20.25" customHeight="1" x14ac:dyDescent="0.2">
      <c r="A19" s="456">
        <v>801</v>
      </c>
      <c r="B19" s="456">
        <v>80195</v>
      </c>
      <c r="C19" s="458">
        <v>2120</v>
      </c>
      <c r="D19" s="459">
        <v>351450</v>
      </c>
      <c r="E19" s="457">
        <f t="shared" si="0"/>
        <v>351450</v>
      </c>
      <c r="F19" s="457">
        <v>351450</v>
      </c>
      <c r="G19" s="457">
        <v>319500</v>
      </c>
      <c r="H19" s="457">
        <v>0</v>
      </c>
      <c r="I19" s="457">
        <v>0</v>
      </c>
    </row>
    <row r="20" spans="1:11" ht="20.25" customHeight="1" x14ac:dyDescent="0.2">
      <c r="A20" s="456">
        <v>852</v>
      </c>
      <c r="B20" s="456">
        <v>85205</v>
      </c>
      <c r="C20" s="458">
        <v>2020</v>
      </c>
      <c r="D20" s="459">
        <v>71260</v>
      </c>
      <c r="E20" s="457">
        <f>SUM(F20,I20)</f>
        <v>89950</v>
      </c>
      <c r="F20" s="457">
        <v>89950</v>
      </c>
      <c r="G20" s="457">
        <v>6000</v>
      </c>
      <c r="H20" s="457">
        <v>0</v>
      </c>
      <c r="I20" s="457">
        <v>0</v>
      </c>
    </row>
    <row r="21" spans="1:11" ht="23.25" customHeight="1" x14ac:dyDescent="0.2">
      <c r="A21" s="460" t="s">
        <v>265</v>
      </c>
      <c r="B21" s="461"/>
      <c r="C21" s="462"/>
      <c r="D21" s="463">
        <f t="shared" ref="D21:I21" si="1">SUM(D14:D20)</f>
        <v>849643</v>
      </c>
      <c r="E21" s="463">
        <f t="shared" si="1"/>
        <v>868333</v>
      </c>
      <c r="F21" s="463">
        <f t="shared" si="1"/>
        <v>868333</v>
      </c>
      <c r="G21" s="463">
        <f t="shared" si="1"/>
        <v>649045</v>
      </c>
      <c r="H21" s="463">
        <f t="shared" si="1"/>
        <v>1115</v>
      </c>
      <c r="I21" s="463">
        <f t="shared" si="1"/>
        <v>0</v>
      </c>
    </row>
    <row r="22" spans="1:11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85A3-7946-4AED-AD46-2227D43B16EB}">
  <dimension ref="A1:G46"/>
  <sheetViews>
    <sheetView zoomScale="120" zoomScaleNormal="120" workbookViewId="0"/>
  </sheetViews>
  <sheetFormatPr defaultRowHeight="12.75" x14ac:dyDescent="0.2"/>
  <cols>
    <col min="1" max="1" width="4" style="464" customWidth="1"/>
    <col min="2" max="2" width="6.28515625" style="464" customWidth="1"/>
    <col min="3" max="3" width="8.42578125" style="464" customWidth="1"/>
    <col min="4" max="4" width="51.28515625" style="464" customWidth="1"/>
    <col min="5" max="5" width="21" style="464" customWidth="1"/>
    <col min="6" max="6" width="9.140625" style="464"/>
    <col min="7" max="7" width="10.7109375" style="239" customWidth="1"/>
    <col min="8" max="16384" width="9.140625" style="464"/>
  </cols>
  <sheetData>
    <row r="1" spans="1:7" x14ac:dyDescent="0.2">
      <c r="A1" s="239"/>
      <c r="E1" s="274" t="s">
        <v>292</v>
      </c>
    </row>
    <row r="2" spans="1:7" x14ac:dyDescent="0.2">
      <c r="D2" s="274"/>
      <c r="E2" s="3" t="s">
        <v>187</v>
      </c>
    </row>
    <row r="3" spans="1:7" x14ac:dyDescent="0.2">
      <c r="D3" s="274"/>
      <c r="E3" s="3" t="s">
        <v>1</v>
      </c>
    </row>
    <row r="4" spans="1:7" x14ac:dyDescent="0.2">
      <c r="D4" s="274"/>
      <c r="E4" s="3" t="s">
        <v>188</v>
      </c>
    </row>
    <row r="5" spans="1:7" x14ac:dyDescent="0.2">
      <c r="D5" s="274"/>
      <c r="E5" s="274"/>
    </row>
    <row r="6" spans="1:7" ht="15" customHeight="1" x14ac:dyDescent="0.2">
      <c r="A6" s="273" t="s">
        <v>291</v>
      </c>
      <c r="B6" s="273"/>
      <c r="C6" s="273"/>
      <c r="D6" s="273"/>
      <c r="E6" s="273"/>
    </row>
    <row r="7" spans="1:7" ht="15" customHeight="1" x14ac:dyDescent="0.2">
      <c r="A7" s="273" t="s">
        <v>290</v>
      </c>
      <c r="B7" s="273"/>
      <c r="C7" s="273"/>
      <c r="D7" s="273"/>
      <c r="E7" s="273"/>
    </row>
    <row r="8" spans="1:7" ht="16.5" customHeight="1" x14ac:dyDescent="0.2">
      <c r="D8" s="272"/>
      <c r="E8" s="272"/>
    </row>
    <row r="9" spans="1:7" ht="12" customHeight="1" x14ac:dyDescent="0.2">
      <c r="D9" s="465"/>
      <c r="E9" s="271" t="s">
        <v>3</v>
      </c>
    </row>
    <row r="10" spans="1:7" ht="22.5" customHeight="1" x14ac:dyDescent="0.2">
      <c r="A10" s="270" t="s">
        <v>234</v>
      </c>
      <c r="B10" s="270" t="s">
        <v>202</v>
      </c>
      <c r="C10" s="270" t="s">
        <v>203</v>
      </c>
      <c r="D10" s="270" t="s">
        <v>289</v>
      </c>
      <c r="E10" s="270" t="s">
        <v>288</v>
      </c>
    </row>
    <row r="11" spans="1:7" s="267" customFormat="1" ht="9.75" customHeight="1" x14ac:dyDescent="0.2">
      <c r="A11" s="269">
        <v>1</v>
      </c>
      <c r="B11" s="269">
        <v>2</v>
      </c>
      <c r="C11" s="269">
        <v>3</v>
      </c>
      <c r="D11" s="269">
        <v>4</v>
      </c>
      <c r="E11" s="269">
        <v>5</v>
      </c>
      <c r="G11" s="268"/>
    </row>
    <row r="12" spans="1:7" ht="18" customHeight="1" x14ac:dyDescent="0.2">
      <c r="A12" s="257" t="s">
        <v>287</v>
      </c>
      <c r="B12" s="256"/>
      <c r="C12" s="256"/>
      <c r="D12" s="256"/>
      <c r="E12" s="255"/>
    </row>
    <row r="13" spans="1:7" ht="28.5" customHeight="1" x14ac:dyDescent="0.2">
      <c r="A13" s="264">
        <v>1</v>
      </c>
      <c r="B13" s="264">
        <v>750</v>
      </c>
      <c r="C13" s="264">
        <v>75023</v>
      </c>
      <c r="D13" s="263" t="s">
        <v>286</v>
      </c>
      <c r="E13" s="262">
        <v>8369</v>
      </c>
    </row>
    <row r="14" spans="1:7" ht="55.15" customHeight="1" x14ac:dyDescent="0.2">
      <c r="A14" s="264">
        <v>2</v>
      </c>
      <c r="B14" s="264">
        <v>750</v>
      </c>
      <c r="C14" s="264">
        <v>75058</v>
      </c>
      <c r="D14" s="263" t="s">
        <v>285</v>
      </c>
      <c r="E14" s="262">
        <v>65033</v>
      </c>
      <c r="G14" s="265"/>
    </row>
    <row r="15" spans="1:7" ht="15" customHeight="1" x14ac:dyDescent="0.2">
      <c r="A15" s="264">
        <v>3</v>
      </c>
      <c r="B15" s="264">
        <v>801</v>
      </c>
      <c r="C15" s="264">
        <v>80104</v>
      </c>
      <c r="D15" s="263" t="s">
        <v>90</v>
      </c>
      <c r="E15" s="262">
        <v>240000</v>
      </c>
      <c r="G15" s="265"/>
    </row>
    <row r="16" spans="1:7" ht="16.5" customHeight="1" x14ac:dyDescent="0.2">
      <c r="A16" s="264">
        <v>4</v>
      </c>
      <c r="B16" s="264">
        <v>801</v>
      </c>
      <c r="C16" s="264">
        <v>80195</v>
      </c>
      <c r="D16" s="266" t="s">
        <v>284</v>
      </c>
      <c r="E16" s="262">
        <v>3000</v>
      </c>
      <c r="G16" s="265"/>
    </row>
    <row r="17" spans="1:7" ht="16.5" customHeight="1" x14ac:dyDescent="0.2">
      <c r="A17" s="264">
        <v>5</v>
      </c>
      <c r="B17" s="260">
        <v>851</v>
      </c>
      <c r="C17" s="260">
        <v>85149</v>
      </c>
      <c r="D17" s="263" t="s">
        <v>283</v>
      </c>
      <c r="E17" s="262">
        <v>16000</v>
      </c>
      <c r="G17" s="265"/>
    </row>
    <row r="18" spans="1:7" ht="25.5" customHeight="1" x14ac:dyDescent="0.2">
      <c r="A18" s="264">
        <v>6</v>
      </c>
      <c r="B18" s="264">
        <v>851</v>
      </c>
      <c r="C18" s="264">
        <v>85154</v>
      </c>
      <c r="D18" s="263" t="s">
        <v>282</v>
      </c>
      <c r="E18" s="262">
        <v>6000</v>
      </c>
    </row>
    <row r="19" spans="1:7" ht="17.25" customHeight="1" x14ac:dyDescent="0.2">
      <c r="A19" s="261">
        <v>7</v>
      </c>
      <c r="B19" s="261">
        <v>853</v>
      </c>
      <c r="C19" s="261">
        <v>85333</v>
      </c>
      <c r="D19" s="249" t="s">
        <v>281</v>
      </c>
      <c r="E19" s="248">
        <v>3422964</v>
      </c>
    </row>
    <row r="20" spans="1:7" ht="36.75" customHeight="1" x14ac:dyDescent="0.2">
      <c r="A20" s="260">
        <v>8</v>
      </c>
      <c r="B20" s="260">
        <v>900</v>
      </c>
      <c r="C20" s="260">
        <v>90095</v>
      </c>
      <c r="D20" s="259" t="s">
        <v>280</v>
      </c>
      <c r="E20" s="248">
        <v>40000</v>
      </c>
    </row>
    <row r="21" spans="1:7" ht="17.25" customHeight="1" x14ac:dyDescent="0.2">
      <c r="A21" s="249">
        <v>9</v>
      </c>
      <c r="B21" s="249">
        <v>921</v>
      </c>
      <c r="C21" s="249">
        <v>92110</v>
      </c>
      <c r="D21" s="249" t="s">
        <v>279</v>
      </c>
      <c r="E21" s="248">
        <v>40000</v>
      </c>
    </row>
    <row r="22" spans="1:7" ht="13.5" customHeight="1" x14ac:dyDescent="0.2">
      <c r="A22" s="247"/>
      <c r="B22" s="246"/>
      <c r="C22" s="254"/>
      <c r="D22" s="253" t="s">
        <v>272</v>
      </c>
      <c r="E22" s="244"/>
    </row>
    <row r="23" spans="1:7" ht="13.5" customHeight="1" x14ac:dyDescent="0.2">
      <c r="A23" s="249">
        <v>10</v>
      </c>
      <c r="B23" s="249">
        <v>921</v>
      </c>
      <c r="C23" s="249">
        <v>92113</v>
      </c>
      <c r="D23" s="249" t="s">
        <v>271</v>
      </c>
      <c r="E23" s="248">
        <v>480804.39</v>
      </c>
    </row>
    <row r="24" spans="1:7" ht="37.9" customHeight="1" x14ac:dyDescent="0.2">
      <c r="A24" s="247"/>
      <c r="B24" s="246"/>
      <c r="C24" s="254"/>
      <c r="D24" s="258" t="s">
        <v>278</v>
      </c>
      <c r="E24" s="244"/>
    </row>
    <row r="25" spans="1:7" ht="15.75" customHeight="1" x14ac:dyDescent="0.2">
      <c r="A25" s="249">
        <v>11</v>
      </c>
      <c r="B25" s="249">
        <v>921</v>
      </c>
      <c r="C25" s="249">
        <v>92114</v>
      </c>
      <c r="D25" s="249" t="s">
        <v>277</v>
      </c>
      <c r="E25" s="248">
        <v>40000</v>
      </c>
    </row>
    <row r="26" spans="1:7" ht="15.75" customHeight="1" x14ac:dyDescent="0.2">
      <c r="A26" s="247"/>
      <c r="B26" s="246"/>
      <c r="C26" s="246"/>
      <c r="D26" s="245" t="s">
        <v>268</v>
      </c>
      <c r="E26" s="244"/>
    </row>
    <row r="27" spans="1:7" ht="14.25" customHeight="1" x14ac:dyDescent="0.2">
      <c r="A27" s="249">
        <v>12</v>
      </c>
      <c r="B27" s="249">
        <v>921</v>
      </c>
      <c r="C27" s="249">
        <v>92116</v>
      </c>
      <c r="D27" s="249" t="s">
        <v>276</v>
      </c>
      <c r="E27" s="248">
        <v>238500</v>
      </c>
    </row>
    <row r="28" spans="1:7" ht="12" customHeight="1" x14ac:dyDescent="0.2">
      <c r="A28" s="247"/>
      <c r="B28" s="246"/>
      <c r="C28" s="246"/>
      <c r="D28" s="245" t="s">
        <v>267</v>
      </c>
      <c r="E28" s="244"/>
    </row>
    <row r="29" spans="1:7" ht="14.25" customHeight="1" x14ac:dyDescent="0.2">
      <c r="A29" s="249">
        <v>13</v>
      </c>
      <c r="B29" s="249">
        <v>921</v>
      </c>
      <c r="C29" s="249">
        <v>92116</v>
      </c>
      <c r="D29" s="249" t="s">
        <v>170</v>
      </c>
      <c r="E29" s="248">
        <f>15000+40000</f>
        <v>55000</v>
      </c>
    </row>
    <row r="30" spans="1:7" ht="12" customHeight="1" x14ac:dyDescent="0.2">
      <c r="A30" s="247"/>
      <c r="B30" s="246"/>
      <c r="C30" s="246"/>
      <c r="D30" s="245" t="s">
        <v>267</v>
      </c>
      <c r="E30" s="244"/>
    </row>
    <row r="31" spans="1:7" ht="13.5" customHeight="1" x14ac:dyDescent="0.2">
      <c r="A31" s="466" t="s">
        <v>266</v>
      </c>
      <c r="B31" s="467"/>
      <c r="C31" s="467"/>
      <c r="D31" s="468"/>
      <c r="E31" s="469">
        <f>SUM(E13:E29)</f>
        <v>4655670.3899999997</v>
      </c>
    </row>
    <row r="32" spans="1:7" ht="16.5" customHeight="1" x14ac:dyDescent="0.2">
      <c r="A32" s="257" t="s">
        <v>275</v>
      </c>
      <c r="B32" s="256"/>
      <c r="C32" s="256"/>
      <c r="D32" s="256"/>
      <c r="E32" s="255"/>
    </row>
    <row r="33" spans="1:5" ht="15.75" customHeight="1" x14ac:dyDescent="0.2">
      <c r="A33" s="249">
        <v>1</v>
      </c>
      <c r="B33" s="249">
        <v>853</v>
      </c>
      <c r="C33" s="249">
        <v>85395</v>
      </c>
      <c r="D33" s="249" t="s">
        <v>40</v>
      </c>
      <c r="E33" s="248">
        <v>529080</v>
      </c>
    </row>
    <row r="34" spans="1:5" ht="12.75" customHeight="1" x14ac:dyDescent="0.2">
      <c r="A34" s="247"/>
      <c r="B34" s="246"/>
      <c r="C34" s="254"/>
      <c r="D34" s="253" t="s">
        <v>274</v>
      </c>
      <c r="E34" s="244"/>
    </row>
    <row r="35" spans="1:5" ht="15" customHeight="1" x14ac:dyDescent="0.2">
      <c r="A35" s="249">
        <v>2</v>
      </c>
      <c r="B35" s="249">
        <v>921</v>
      </c>
      <c r="C35" s="249">
        <v>92110</v>
      </c>
      <c r="D35" s="249" t="s">
        <v>273</v>
      </c>
      <c r="E35" s="248">
        <f>604731+22572.48</f>
        <v>627303.48</v>
      </c>
    </row>
    <row r="36" spans="1:5" ht="12.75" customHeight="1" x14ac:dyDescent="0.2">
      <c r="A36" s="247"/>
      <c r="B36" s="246"/>
      <c r="C36" s="254"/>
      <c r="D36" s="253" t="s">
        <v>272</v>
      </c>
      <c r="E36" s="244"/>
    </row>
    <row r="37" spans="1:5" ht="15.75" customHeight="1" x14ac:dyDescent="0.2">
      <c r="A37" s="249">
        <v>3</v>
      </c>
      <c r="B37" s="249">
        <v>921</v>
      </c>
      <c r="C37" s="249">
        <v>92113</v>
      </c>
      <c r="D37" s="249" t="s">
        <v>271</v>
      </c>
      <c r="E37" s="248">
        <f>3389340+88204.73+50000</f>
        <v>3527544.73</v>
      </c>
    </row>
    <row r="38" spans="1:5" ht="12" customHeight="1" x14ac:dyDescent="0.2">
      <c r="A38" s="252"/>
      <c r="B38" s="251"/>
      <c r="C38" s="251"/>
      <c r="D38" s="245" t="s">
        <v>270</v>
      </c>
      <c r="E38" s="250"/>
    </row>
    <row r="39" spans="1:5" ht="15.75" customHeight="1" x14ac:dyDescent="0.2">
      <c r="A39" s="249">
        <v>4</v>
      </c>
      <c r="B39" s="249">
        <v>921</v>
      </c>
      <c r="C39" s="249">
        <v>92114</v>
      </c>
      <c r="D39" s="249" t="s">
        <v>269</v>
      </c>
      <c r="E39" s="248">
        <f>1389200+188498.16-171596.16</f>
        <v>1406102</v>
      </c>
    </row>
    <row r="40" spans="1:5" ht="12.75" customHeight="1" x14ac:dyDescent="0.2">
      <c r="A40" s="247"/>
      <c r="B40" s="246"/>
      <c r="C40" s="246"/>
      <c r="D40" s="245" t="s">
        <v>268</v>
      </c>
      <c r="E40" s="244"/>
    </row>
    <row r="41" spans="1:5" ht="15.75" customHeight="1" x14ac:dyDescent="0.2">
      <c r="A41" s="249">
        <v>5</v>
      </c>
      <c r="B41" s="249">
        <v>921</v>
      </c>
      <c r="C41" s="249">
        <v>92116</v>
      </c>
      <c r="D41" s="249" t="s">
        <v>170</v>
      </c>
      <c r="E41" s="248">
        <f>3781970+16902+171596.16</f>
        <v>3970468.16</v>
      </c>
    </row>
    <row r="42" spans="1:5" ht="12.75" customHeight="1" x14ac:dyDescent="0.2">
      <c r="A42" s="247"/>
      <c r="B42" s="246"/>
      <c r="C42" s="246"/>
      <c r="D42" s="245" t="s">
        <v>267</v>
      </c>
      <c r="E42" s="244"/>
    </row>
    <row r="43" spans="1:5" ht="14.25" customHeight="1" x14ac:dyDescent="0.2">
      <c r="A43" s="466" t="s">
        <v>266</v>
      </c>
      <c r="B43" s="467"/>
      <c r="C43" s="467"/>
      <c r="D43" s="468"/>
      <c r="E43" s="469">
        <f>SUM(E33:E42)</f>
        <v>10060498.370000001</v>
      </c>
    </row>
    <row r="44" spans="1:5" ht="16.5" customHeight="1" x14ac:dyDescent="0.2">
      <c r="A44" s="243" t="s">
        <v>265</v>
      </c>
      <c r="B44" s="242"/>
      <c r="C44" s="242"/>
      <c r="D44" s="241"/>
      <c r="E44" s="240">
        <f>SUM(E31,E43)</f>
        <v>14716168.760000002</v>
      </c>
    </row>
    <row r="46" spans="1:5" x14ac:dyDescent="0.2">
      <c r="A46" s="47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3185-AA9C-4C81-867A-8465DE64EE51}">
  <dimension ref="A1:G165"/>
  <sheetViews>
    <sheetView zoomScale="120" zoomScaleNormal="120" workbookViewId="0"/>
  </sheetViews>
  <sheetFormatPr defaultColWidth="4" defaultRowHeight="12.75" x14ac:dyDescent="0.2"/>
  <cols>
    <col min="1" max="1" width="4" style="464"/>
    <col min="2" max="2" width="5.7109375" style="464" customWidth="1"/>
    <col min="3" max="3" width="8.42578125" style="464" customWidth="1"/>
    <col min="4" max="4" width="49.140625" style="464" customWidth="1"/>
    <col min="5" max="5" width="21.42578125" style="464" customWidth="1"/>
    <col min="6" max="6" width="9.140625" style="239" customWidth="1"/>
    <col min="7" max="7" width="12.28515625" style="275" customWidth="1"/>
    <col min="8" max="255" width="9.140625" style="464" customWidth="1"/>
    <col min="256" max="16384" width="4" style="464"/>
  </cols>
  <sheetData>
    <row r="1" spans="1:7" x14ac:dyDescent="0.2">
      <c r="A1" s="239"/>
      <c r="D1" s="268"/>
      <c r="E1" s="274" t="s">
        <v>395</v>
      </c>
    </row>
    <row r="2" spans="1:7" x14ac:dyDescent="0.2">
      <c r="D2" s="268"/>
      <c r="E2" s="3" t="s">
        <v>187</v>
      </c>
    </row>
    <row r="3" spans="1:7" x14ac:dyDescent="0.2">
      <c r="D3" s="268"/>
      <c r="E3" s="3" t="s">
        <v>1</v>
      </c>
    </row>
    <row r="4" spans="1:7" x14ac:dyDescent="0.2">
      <c r="D4" s="268"/>
      <c r="E4" s="3" t="s">
        <v>188</v>
      </c>
    </row>
    <row r="5" spans="1:7" x14ac:dyDescent="0.2">
      <c r="D5" s="274"/>
      <c r="E5" s="239"/>
    </row>
    <row r="6" spans="1:7" ht="15.75" customHeight="1" x14ac:dyDescent="0.2">
      <c r="A6" s="273" t="s">
        <v>291</v>
      </c>
      <c r="B6" s="273"/>
      <c r="C6" s="273"/>
      <c r="D6" s="273"/>
      <c r="E6" s="273"/>
    </row>
    <row r="7" spans="1:7" ht="15.75" customHeight="1" x14ac:dyDescent="0.2">
      <c r="A7" s="273" t="s">
        <v>394</v>
      </c>
      <c r="B7" s="273"/>
      <c r="C7" s="273"/>
      <c r="D7" s="273"/>
      <c r="E7" s="273"/>
    </row>
    <row r="8" spans="1:7" ht="27" customHeight="1" x14ac:dyDescent="0.2">
      <c r="E8" s="272"/>
    </row>
    <row r="9" spans="1:7" ht="19.5" customHeight="1" x14ac:dyDescent="0.2">
      <c r="E9" s="357" t="s">
        <v>3</v>
      </c>
    </row>
    <row r="10" spans="1:7" ht="20.25" customHeight="1" x14ac:dyDescent="0.2">
      <c r="A10" s="270" t="s">
        <v>234</v>
      </c>
      <c r="B10" s="270" t="s">
        <v>202</v>
      </c>
      <c r="C10" s="270" t="s">
        <v>203</v>
      </c>
      <c r="D10" s="327" t="s">
        <v>289</v>
      </c>
      <c r="E10" s="270" t="s">
        <v>288</v>
      </c>
    </row>
    <row r="11" spans="1:7" s="267" customFormat="1" ht="10.5" customHeight="1" x14ac:dyDescent="0.2">
      <c r="A11" s="269">
        <v>1</v>
      </c>
      <c r="B11" s="269">
        <v>2</v>
      </c>
      <c r="C11" s="269">
        <v>3</v>
      </c>
      <c r="D11" s="356">
        <v>4</v>
      </c>
      <c r="E11" s="269">
        <v>5</v>
      </c>
      <c r="F11" s="268"/>
      <c r="G11" s="355"/>
    </row>
    <row r="12" spans="1:7" ht="17.25" customHeight="1" x14ac:dyDescent="0.2">
      <c r="A12" s="257" t="s">
        <v>287</v>
      </c>
      <c r="B12" s="256"/>
      <c r="C12" s="256"/>
      <c r="D12" s="256"/>
      <c r="E12" s="255"/>
    </row>
    <row r="13" spans="1:7" ht="17.25" customHeight="1" x14ac:dyDescent="0.2">
      <c r="A13" s="354">
        <v>1</v>
      </c>
      <c r="B13" s="354">
        <v>700</v>
      </c>
      <c r="C13" s="354">
        <v>70095</v>
      </c>
      <c r="D13" s="353" t="s">
        <v>393</v>
      </c>
      <c r="E13" s="248">
        <v>1500000</v>
      </c>
      <c r="F13" s="329"/>
    </row>
    <row r="14" spans="1:7" ht="26.25" customHeight="1" x14ac:dyDescent="0.2">
      <c r="A14" s="264">
        <v>2</v>
      </c>
      <c r="B14" s="264">
        <v>750</v>
      </c>
      <c r="C14" s="264">
        <v>75095</v>
      </c>
      <c r="D14" s="302" t="s">
        <v>392</v>
      </c>
      <c r="E14" s="262">
        <v>85000</v>
      </c>
      <c r="G14" s="336"/>
    </row>
    <row r="15" spans="1:7" ht="15.75" customHeight="1" x14ac:dyDescent="0.2">
      <c r="A15" s="264">
        <v>3</v>
      </c>
      <c r="B15" s="264">
        <v>755</v>
      </c>
      <c r="C15" s="264">
        <v>75515</v>
      </c>
      <c r="D15" s="302" t="s">
        <v>391</v>
      </c>
      <c r="E15" s="248">
        <v>128040</v>
      </c>
      <c r="G15" s="336"/>
    </row>
    <row r="16" spans="1:7" ht="15.75" customHeight="1" x14ac:dyDescent="0.2">
      <c r="A16" s="249">
        <v>4</v>
      </c>
      <c r="B16" s="249">
        <v>801</v>
      </c>
      <c r="C16" s="249">
        <v>80101</v>
      </c>
      <c r="D16" s="279" t="s">
        <v>84</v>
      </c>
      <c r="E16" s="248">
        <v>24797.85</v>
      </c>
      <c r="G16" s="336"/>
    </row>
    <row r="17" spans="1:7" ht="15.75" customHeight="1" x14ac:dyDescent="0.2">
      <c r="A17" s="301"/>
      <c r="B17" s="300"/>
      <c r="C17" s="299"/>
      <c r="D17" s="326" t="s">
        <v>321</v>
      </c>
      <c r="E17" s="297"/>
      <c r="G17" s="336"/>
    </row>
    <row r="18" spans="1:7" ht="23.25" customHeight="1" x14ac:dyDescent="0.2">
      <c r="A18" s="290"/>
      <c r="B18" s="289"/>
      <c r="C18" s="288"/>
      <c r="D18" s="352" t="s">
        <v>364</v>
      </c>
      <c r="E18" s="286"/>
      <c r="G18" s="336"/>
    </row>
    <row r="19" spans="1:7" ht="15.75" customHeight="1" x14ac:dyDescent="0.2">
      <c r="A19" s="247"/>
      <c r="B19" s="246"/>
      <c r="C19" s="282"/>
      <c r="D19" s="309" t="s">
        <v>325</v>
      </c>
      <c r="E19" s="280"/>
      <c r="G19" s="336"/>
    </row>
    <row r="20" spans="1:7" ht="15.75" customHeight="1" x14ac:dyDescent="0.2">
      <c r="A20" s="249">
        <v>5</v>
      </c>
      <c r="B20" s="249">
        <v>801</v>
      </c>
      <c r="C20" s="249">
        <v>80120</v>
      </c>
      <c r="D20" s="279" t="s">
        <v>103</v>
      </c>
      <c r="E20" s="248">
        <v>12774.65</v>
      </c>
      <c r="G20" s="336"/>
    </row>
    <row r="21" spans="1:7" ht="15.75" customHeight="1" x14ac:dyDescent="0.2">
      <c r="A21" s="279"/>
      <c r="B21" s="278"/>
      <c r="C21" s="254"/>
      <c r="D21" s="351" t="s">
        <v>313</v>
      </c>
      <c r="E21" s="248"/>
      <c r="G21" s="336"/>
    </row>
    <row r="22" spans="1:7" ht="15.75" customHeight="1" x14ac:dyDescent="0.2">
      <c r="A22" s="350">
        <v>6</v>
      </c>
      <c r="B22" s="350">
        <v>801</v>
      </c>
      <c r="C22" s="350">
        <v>80153</v>
      </c>
      <c r="D22" s="349" t="s">
        <v>390</v>
      </c>
      <c r="E22" s="348">
        <v>33841</v>
      </c>
      <c r="G22" s="336"/>
    </row>
    <row r="23" spans="1:7" ht="15.75" customHeight="1" x14ac:dyDescent="0.2">
      <c r="A23" s="347"/>
      <c r="B23" s="347"/>
      <c r="C23" s="347"/>
      <c r="D23" s="346" t="s">
        <v>389</v>
      </c>
      <c r="E23" s="345"/>
      <c r="G23" s="336"/>
    </row>
    <row r="24" spans="1:7" ht="15.75" customHeight="1" x14ac:dyDescent="0.2">
      <c r="A24" s="344"/>
      <c r="B24" s="344"/>
      <c r="C24" s="344"/>
      <c r="D24" s="343" t="s">
        <v>325</v>
      </c>
      <c r="E24" s="342"/>
      <c r="G24" s="336"/>
    </row>
    <row r="25" spans="1:7" ht="15.75" customHeight="1" x14ac:dyDescent="0.2">
      <c r="A25" s="341"/>
      <c r="B25" s="341"/>
      <c r="C25" s="341"/>
      <c r="D25" s="340" t="s">
        <v>388</v>
      </c>
      <c r="E25" s="339"/>
      <c r="G25" s="336"/>
    </row>
    <row r="26" spans="1:7" ht="42" customHeight="1" x14ac:dyDescent="0.2">
      <c r="A26" s="332">
        <v>7</v>
      </c>
      <c r="B26" s="332">
        <v>801</v>
      </c>
      <c r="C26" s="332">
        <v>80195</v>
      </c>
      <c r="D26" s="338" t="s">
        <v>387</v>
      </c>
      <c r="E26" s="337">
        <f>533646-31962+295000</f>
        <v>796684</v>
      </c>
      <c r="G26" s="336"/>
    </row>
    <row r="27" spans="1:7" ht="15" customHeight="1" x14ac:dyDescent="0.2">
      <c r="A27" s="249">
        <v>8</v>
      </c>
      <c r="B27" s="249">
        <v>851</v>
      </c>
      <c r="C27" s="249">
        <v>85153</v>
      </c>
      <c r="D27" s="247" t="s">
        <v>386</v>
      </c>
      <c r="E27" s="280">
        <v>55000</v>
      </c>
      <c r="G27" s="336"/>
    </row>
    <row r="28" spans="1:7" ht="39.75" customHeight="1" x14ac:dyDescent="0.2">
      <c r="A28" s="264">
        <v>9</v>
      </c>
      <c r="B28" s="264">
        <v>851</v>
      </c>
      <c r="C28" s="264">
        <v>85154</v>
      </c>
      <c r="D28" s="302" t="s">
        <v>385</v>
      </c>
      <c r="E28" s="262">
        <v>550000</v>
      </c>
    </row>
    <row r="29" spans="1:7" ht="29.25" customHeight="1" x14ac:dyDescent="0.2">
      <c r="A29" s="260">
        <v>10</v>
      </c>
      <c r="B29" s="260">
        <v>851</v>
      </c>
      <c r="C29" s="335">
        <v>85195</v>
      </c>
      <c r="D29" s="302" t="s">
        <v>384</v>
      </c>
      <c r="E29" s="262">
        <v>67500</v>
      </c>
    </row>
    <row r="30" spans="1:7" ht="25.5" customHeight="1" x14ac:dyDescent="0.2">
      <c r="A30" s="334">
        <v>11</v>
      </c>
      <c r="B30" s="334">
        <v>852</v>
      </c>
      <c r="C30" s="333">
        <v>85228</v>
      </c>
      <c r="D30" s="328" t="s">
        <v>383</v>
      </c>
      <c r="E30" s="248">
        <v>7049731</v>
      </c>
    </row>
    <row r="31" spans="1:7" ht="25.5" customHeight="1" x14ac:dyDescent="0.2">
      <c r="A31" s="332"/>
      <c r="B31" s="332"/>
      <c r="C31" s="331"/>
      <c r="D31" s="330" t="s">
        <v>382</v>
      </c>
      <c r="E31" s="280">
        <f>1327900+746426+746426</f>
        <v>2820752</v>
      </c>
    </row>
    <row r="32" spans="1:7" ht="25.5" customHeight="1" x14ac:dyDescent="0.2">
      <c r="A32" s="264">
        <v>12</v>
      </c>
      <c r="B32" s="264">
        <v>852</v>
      </c>
      <c r="C32" s="264">
        <v>85295</v>
      </c>
      <c r="D32" s="302" t="s">
        <v>381</v>
      </c>
      <c r="E32" s="248">
        <v>1230600</v>
      </c>
    </row>
    <row r="33" spans="1:6" ht="26.25" customHeight="1" x14ac:dyDescent="0.2">
      <c r="A33" s="264">
        <v>13</v>
      </c>
      <c r="B33" s="264">
        <v>852</v>
      </c>
      <c r="C33" s="264">
        <v>85295</v>
      </c>
      <c r="D33" s="302" t="s">
        <v>380</v>
      </c>
      <c r="E33" s="248">
        <v>413452.32</v>
      </c>
    </row>
    <row r="34" spans="1:6" ht="26.25" customHeight="1" x14ac:dyDescent="0.2">
      <c r="A34" s="264">
        <v>14</v>
      </c>
      <c r="B34" s="264">
        <v>853</v>
      </c>
      <c r="C34" s="264">
        <v>85395</v>
      </c>
      <c r="D34" s="302" t="s">
        <v>379</v>
      </c>
      <c r="E34" s="262">
        <f>40000-10005</f>
        <v>29995</v>
      </c>
    </row>
    <row r="35" spans="1:6" ht="41.45" customHeight="1" x14ac:dyDescent="0.2">
      <c r="A35" s="264">
        <v>15</v>
      </c>
      <c r="B35" s="264">
        <v>853</v>
      </c>
      <c r="C35" s="264">
        <v>85395</v>
      </c>
      <c r="D35" s="302" t="s">
        <v>372</v>
      </c>
      <c r="E35" s="262">
        <v>265510.90999999997</v>
      </c>
    </row>
    <row r="36" spans="1:6" ht="15.75" customHeight="1" x14ac:dyDescent="0.2">
      <c r="A36" s="249">
        <v>16</v>
      </c>
      <c r="B36" s="249">
        <v>855</v>
      </c>
      <c r="C36" s="249">
        <v>85510</v>
      </c>
      <c r="D36" s="328" t="s">
        <v>378</v>
      </c>
      <c r="E36" s="248">
        <v>1568400</v>
      </c>
    </row>
    <row r="37" spans="1:6" ht="28.5" customHeight="1" x14ac:dyDescent="0.2">
      <c r="A37" s="264">
        <v>17</v>
      </c>
      <c r="B37" s="264">
        <v>900</v>
      </c>
      <c r="C37" s="264">
        <v>90095</v>
      </c>
      <c r="D37" s="302" t="s">
        <v>377</v>
      </c>
      <c r="E37" s="262">
        <v>67500</v>
      </c>
      <c r="F37" s="329"/>
    </row>
    <row r="38" spans="1:6" ht="26.25" customHeight="1" x14ac:dyDescent="0.2">
      <c r="A38" s="264">
        <v>18</v>
      </c>
      <c r="B38" s="264">
        <v>900</v>
      </c>
      <c r="C38" s="264">
        <v>90095</v>
      </c>
      <c r="D38" s="302" t="s">
        <v>376</v>
      </c>
      <c r="E38" s="262">
        <f>200000+100000-32000</f>
        <v>268000</v>
      </c>
      <c r="F38" s="329"/>
    </row>
    <row r="39" spans="1:6" ht="26.25" customHeight="1" x14ac:dyDescent="0.2">
      <c r="A39" s="264">
        <v>19</v>
      </c>
      <c r="B39" s="264">
        <v>900</v>
      </c>
      <c r="C39" s="264">
        <v>90095</v>
      </c>
      <c r="D39" s="302" t="s">
        <v>375</v>
      </c>
      <c r="E39" s="262">
        <f>200000+100000+32000</f>
        <v>332000</v>
      </c>
      <c r="F39" s="329"/>
    </row>
    <row r="40" spans="1:6" ht="16.5" customHeight="1" x14ac:dyDescent="0.2">
      <c r="A40" s="249">
        <v>20</v>
      </c>
      <c r="B40" s="249">
        <v>921</v>
      </c>
      <c r="C40" s="249">
        <v>92120</v>
      </c>
      <c r="D40" s="279" t="s">
        <v>374</v>
      </c>
      <c r="E40" s="248">
        <v>500000</v>
      </c>
    </row>
    <row r="41" spans="1:6" ht="39.75" customHeight="1" x14ac:dyDescent="0.2">
      <c r="A41" s="264">
        <v>21</v>
      </c>
      <c r="B41" s="264">
        <v>921</v>
      </c>
      <c r="C41" s="264">
        <v>92195</v>
      </c>
      <c r="D41" s="302" t="s">
        <v>373</v>
      </c>
      <c r="E41" s="248">
        <v>239100</v>
      </c>
    </row>
    <row r="42" spans="1:6" ht="39.75" customHeight="1" x14ac:dyDescent="0.2">
      <c r="A42" s="264">
        <v>22</v>
      </c>
      <c r="B42" s="264">
        <v>921</v>
      </c>
      <c r="C42" s="264">
        <v>92195</v>
      </c>
      <c r="D42" s="302" t="s">
        <v>372</v>
      </c>
      <c r="E42" s="248">
        <v>320536.26</v>
      </c>
    </row>
    <row r="43" spans="1:6" ht="14.45" customHeight="1" x14ac:dyDescent="0.2">
      <c r="A43" s="249">
        <v>23</v>
      </c>
      <c r="B43" s="249">
        <v>926</v>
      </c>
      <c r="C43" s="249">
        <v>92605</v>
      </c>
      <c r="D43" s="328" t="s">
        <v>371</v>
      </c>
      <c r="E43" s="248">
        <v>1833375</v>
      </c>
    </row>
    <row r="44" spans="1:6" ht="38.450000000000003" customHeight="1" x14ac:dyDescent="0.2">
      <c r="A44" s="264">
        <v>24</v>
      </c>
      <c r="B44" s="264">
        <v>926</v>
      </c>
      <c r="C44" s="264">
        <v>92605</v>
      </c>
      <c r="D44" s="328" t="s">
        <v>370</v>
      </c>
      <c r="E44" s="248">
        <v>106845.42</v>
      </c>
    </row>
    <row r="45" spans="1:6" ht="15" customHeight="1" x14ac:dyDescent="0.2">
      <c r="A45" s="471"/>
      <c r="B45" s="472"/>
      <c r="C45" s="472"/>
      <c r="D45" s="472" t="s">
        <v>266</v>
      </c>
      <c r="E45" s="469">
        <f>SUM(E13:E44)</f>
        <v>20299435.410000004</v>
      </c>
    </row>
    <row r="46" spans="1:6" ht="17.25" customHeight="1" x14ac:dyDescent="0.2">
      <c r="A46" s="257" t="s">
        <v>275</v>
      </c>
      <c r="B46" s="256"/>
      <c r="C46" s="256"/>
      <c r="D46" s="256"/>
      <c r="E46" s="255"/>
    </row>
    <row r="47" spans="1:6" ht="17.25" customHeight="1" x14ac:dyDescent="0.2">
      <c r="A47" s="270" t="s">
        <v>234</v>
      </c>
      <c r="B47" s="270" t="s">
        <v>202</v>
      </c>
      <c r="C47" s="270" t="s">
        <v>203</v>
      </c>
      <c r="D47" s="327" t="s">
        <v>369</v>
      </c>
      <c r="E47" s="270" t="s">
        <v>288</v>
      </c>
    </row>
    <row r="48" spans="1:6" ht="14.25" customHeight="1" x14ac:dyDescent="0.2">
      <c r="A48" s="249">
        <v>1</v>
      </c>
      <c r="B48" s="249">
        <v>801</v>
      </c>
      <c r="C48" s="249">
        <v>80101</v>
      </c>
      <c r="D48" s="279" t="s">
        <v>84</v>
      </c>
      <c r="E48" s="248">
        <v>7612585</v>
      </c>
    </row>
    <row r="49" spans="1:6" ht="13.5" customHeight="1" x14ac:dyDescent="0.2">
      <c r="A49" s="301"/>
      <c r="B49" s="300"/>
      <c r="C49" s="299"/>
      <c r="D49" s="326" t="s">
        <v>321</v>
      </c>
      <c r="E49" s="297"/>
    </row>
    <row r="50" spans="1:6" ht="13.5" customHeight="1" x14ac:dyDescent="0.2">
      <c r="A50" s="290"/>
      <c r="B50" s="289"/>
      <c r="C50" s="288"/>
      <c r="D50" s="307" t="s">
        <v>319</v>
      </c>
      <c r="E50" s="292"/>
      <c r="F50" s="305"/>
    </row>
    <row r="51" spans="1:6" ht="13.5" customHeight="1" x14ac:dyDescent="0.2">
      <c r="A51" s="290"/>
      <c r="B51" s="289"/>
      <c r="C51" s="288"/>
      <c r="D51" s="316" t="s">
        <v>368</v>
      </c>
      <c r="E51" s="286"/>
    </row>
    <row r="52" spans="1:6" ht="26.25" customHeight="1" x14ac:dyDescent="0.2">
      <c r="A52" s="290"/>
      <c r="B52" s="289"/>
      <c r="C52" s="288"/>
      <c r="D52" s="293" t="s">
        <v>362</v>
      </c>
      <c r="E52" s="292"/>
    </row>
    <row r="53" spans="1:6" ht="27" customHeight="1" x14ac:dyDescent="0.2">
      <c r="A53" s="290"/>
      <c r="B53" s="289"/>
      <c r="C53" s="288"/>
      <c r="D53" s="293" t="s">
        <v>367</v>
      </c>
      <c r="E53" s="292"/>
    </row>
    <row r="54" spans="1:6" ht="24.75" customHeight="1" x14ac:dyDescent="0.2">
      <c r="A54" s="290"/>
      <c r="B54" s="289"/>
      <c r="C54" s="288"/>
      <c r="D54" s="307" t="s">
        <v>366</v>
      </c>
      <c r="E54" s="292"/>
    </row>
    <row r="55" spans="1:6" ht="25.5" customHeight="1" x14ac:dyDescent="0.2">
      <c r="A55" s="290"/>
      <c r="B55" s="289"/>
      <c r="C55" s="288"/>
      <c r="D55" s="291" t="s">
        <v>365</v>
      </c>
      <c r="E55" s="286"/>
    </row>
    <row r="56" spans="1:6" ht="13.5" customHeight="1" x14ac:dyDescent="0.2">
      <c r="A56" s="290"/>
      <c r="B56" s="289"/>
      <c r="C56" s="288"/>
      <c r="D56" s="313" t="s">
        <v>325</v>
      </c>
      <c r="E56" s="292"/>
    </row>
    <row r="57" spans="1:6" ht="24" customHeight="1" x14ac:dyDescent="0.2">
      <c r="A57" s="247"/>
      <c r="B57" s="246"/>
      <c r="C57" s="282"/>
      <c r="D57" s="306" t="s">
        <v>364</v>
      </c>
      <c r="E57" s="280"/>
    </row>
    <row r="58" spans="1:6" ht="13.5" customHeight="1" x14ac:dyDescent="0.2">
      <c r="A58" s="249">
        <v>2</v>
      </c>
      <c r="B58" s="249">
        <v>801</v>
      </c>
      <c r="C58" s="249">
        <v>80103</v>
      </c>
      <c r="D58" s="279" t="s">
        <v>363</v>
      </c>
      <c r="E58" s="248">
        <v>124687</v>
      </c>
    </row>
    <row r="59" spans="1:6" ht="24" customHeight="1" x14ac:dyDescent="0.2">
      <c r="A59" s="290"/>
      <c r="B59" s="289"/>
      <c r="C59" s="288"/>
      <c r="D59" s="308" t="s">
        <v>362</v>
      </c>
      <c r="E59" s="297"/>
    </row>
    <row r="60" spans="1:6" ht="13.5" customHeight="1" x14ac:dyDescent="0.2">
      <c r="A60" s="247"/>
      <c r="B60" s="246"/>
      <c r="C60" s="282"/>
      <c r="D60" s="253" t="s">
        <v>325</v>
      </c>
      <c r="E60" s="280"/>
    </row>
    <row r="61" spans="1:6" ht="14.25" customHeight="1" x14ac:dyDescent="0.2">
      <c r="A61" s="249">
        <v>3</v>
      </c>
      <c r="B61" s="249">
        <v>801</v>
      </c>
      <c r="C61" s="249">
        <v>80104</v>
      </c>
      <c r="D61" s="279" t="s">
        <v>90</v>
      </c>
      <c r="E61" s="248">
        <v>8825749</v>
      </c>
    </row>
    <row r="62" spans="1:6" ht="14.25" customHeight="1" x14ac:dyDescent="0.2">
      <c r="A62" s="301"/>
      <c r="B62" s="300"/>
      <c r="C62" s="299"/>
      <c r="D62" s="326" t="s">
        <v>299</v>
      </c>
      <c r="E62" s="297"/>
    </row>
    <row r="63" spans="1:6" ht="14.25" customHeight="1" x14ac:dyDescent="0.2">
      <c r="A63" s="290"/>
      <c r="B63" s="289"/>
      <c r="C63" s="288"/>
      <c r="D63" s="296" t="s">
        <v>324</v>
      </c>
      <c r="E63" s="292"/>
    </row>
    <row r="64" spans="1:6" ht="13.5" customHeight="1" x14ac:dyDescent="0.2">
      <c r="A64" s="290"/>
      <c r="B64" s="289"/>
      <c r="C64" s="288"/>
      <c r="D64" s="296" t="s">
        <v>305</v>
      </c>
      <c r="E64" s="292"/>
    </row>
    <row r="65" spans="1:5" ht="23.25" customHeight="1" x14ac:dyDescent="0.2">
      <c r="A65" s="247"/>
      <c r="B65" s="246"/>
      <c r="C65" s="282"/>
      <c r="D65" s="325" t="s">
        <v>304</v>
      </c>
      <c r="E65" s="311"/>
    </row>
    <row r="66" spans="1:5" ht="13.5" customHeight="1" x14ac:dyDescent="0.2">
      <c r="A66" s="290"/>
      <c r="B66" s="289"/>
      <c r="C66" s="288"/>
      <c r="D66" s="287" t="s">
        <v>361</v>
      </c>
      <c r="E66" s="286"/>
    </row>
    <row r="67" spans="1:5" ht="13.5" customHeight="1" x14ac:dyDescent="0.2">
      <c r="A67" s="290"/>
      <c r="B67" s="289"/>
      <c r="C67" s="288"/>
      <c r="D67" s="293" t="s">
        <v>360</v>
      </c>
      <c r="E67" s="292"/>
    </row>
    <row r="68" spans="1:5" ht="13.5" customHeight="1" x14ac:dyDescent="0.2">
      <c r="A68" s="290"/>
      <c r="B68" s="289"/>
      <c r="C68" s="288"/>
      <c r="D68" s="293" t="s">
        <v>300</v>
      </c>
      <c r="E68" s="292"/>
    </row>
    <row r="69" spans="1:5" ht="13.5" customHeight="1" x14ac:dyDescent="0.2">
      <c r="A69" s="290"/>
      <c r="B69" s="289"/>
      <c r="C69" s="288"/>
      <c r="D69" s="296" t="s">
        <v>302</v>
      </c>
      <c r="E69" s="292"/>
    </row>
    <row r="70" spans="1:5" ht="13.5" customHeight="1" x14ac:dyDescent="0.2">
      <c r="A70" s="290"/>
      <c r="B70" s="289"/>
      <c r="C70" s="288"/>
      <c r="D70" s="287" t="s">
        <v>359</v>
      </c>
      <c r="E70" s="286"/>
    </row>
    <row r="71" spans="1:5" ht="13.5" customHeight="1" x14ac:dyDescent="0.2">
      <c r="A71" s="290"/>
      <c r="B71" s="289"/>
      <c r="C71" s="288"/>
      <c r="D71" s="293" t="s">
        <v>358</v>
      </c>
      <c r="E71" s="292"/>
    </row>
    <row r="72" spans="1:5" ht="13.5" customHeight="1" x14ac:dyDescent="0.2">
      <c r="A72" s="290"/>
      <c r="B72" s="289"/>
      <c r="C72" s="288"/>
      <c r="D72" s="313" t="s">
        <v>326</v>
      </c>
      <c r="E72" s="292"/>
    </row>
    <row r="73" spans="1:5" ht="13.5" customHeight="1" x14ac:dyDescent="0.2">
      <c r="A73" s="290"/>
      <c r="B73" s="289"/>
      <c r="C73" s="288"/>
      <c r="D73" s="313" t="s">
        <v>357</v>
      </c>
      <c r="E73" s="292"/>
    </row>
    <row r="74" spans="1:5" ht="13.5" customHeight="1" x14ac:dyDescent="0.2">
      <c r="A74" s="290"/>
      <c r="B74" s="289"/>
      <c r="C74" s="288"/>
      <c r="D74" s="310" t="s">
        <v>306</v>
      </c>
      <c r="E74" s="286"/>
    </row>
    <row r="75" spans="1:5" ht="13.5" customHeight="1" x14ac:dyDescent="0.2">
      <c r="A75" s="290"/>
      <c r="B75" s="289"/>
      <c r="C75" s="288"/>
      <c r="D75" s="313" t="s">
        <v>356</v>
      </c>
      <c r="E75" s="292"/>
    </row>
    <row r="76" spans="1:5" ht="13.5" customHeight="1" x14ac:dyDescent="0.2">
      <c r="A76" s="247"/>
      <c r="B76" s="246"/>
      <c r="C76" s="282"/>
      <c r="D76" s="309" t="s">
        <v>323</v>
      </c>
      <c r="E76" s="280"/>
    </row>
    <row r="77" spans="1:5" ht="24" customHeight="1" x14ac:dyDescent="0.2">
      <c r="A77" s="264">
        <v>4</v>
      </c>
      <c r="B77" s="264">
        <v>801</v>
      </c>
      <c r="C77" s="264">
        <v>80106</v>
      </c>
      <c r="D77" s="302" t="s">
        <v>355</v>
      </c>
      <c r="E77" s="262">
        <v>62237</v>
      </c>
    </row>
    <row r="78" spans="1:5" ht="13.5" customHeight="1" x14ac:dyDescent="0.2">
      <c r="A78" s="279"/>
      <c r="B78" s="278"/>
      <c r="C78" s="254"/>
      <c r="D78" s="324" t="s">
        <v>354</v>
      </c>
      <c r="E78" s="248"/>
    </row>
    <row r="79" spans="1:5" ht="13.5" customHeight="1" x14ac:dyDescent="0.2">
      <c r="A79" s="249">
        <v>5</v>
      </c>
      <c r="B79" s="249">
        <v>801</v>
      </c>
      <c r="C79" s="249">
        <v>80115</v>
      </c>
      <c r="D79" s="278" t="s">
        <v>98</v>
      </c>
      <c r="E79" s="248">
        <v>2505180</v>
      </c>
    </row>
    <row r="80" spans="1:5" ht="23.25" customHeight="1" x14ac:dyDescent="0.2">
      <c r="A80" s="279"/>
      <c r="B80" s="278"/>
      <c r="C80" s="254"/>
      <c r="D80" s="323" t="s">
        <v>312</v>
      </c>
      <c r="E80" s="248"/>
    </row>
    <row r="81" spans="1:5" ht="13.5" customHeight="1" x14ac:dyDescent="0.2">
      <c r="A81" s="249">
        <v>6</v>
      </c>
      <c r="B81" s="249">
        <v>801</v>
      </c>
      <c r="C81" s="249">
        <v>80116</v>
      </c>
      <c r="D81" s="278" t="s">
        <v>99</v>
      </c>
      <c r="E81" s="248">
        <f>5272240-50000</f>
        <v>5222240</v>
      </c>
    </row>
    <row r="82" spans="1:5" ht="13.5" customHeight="1" x14ac:dyDescent="0.2">
      <c r="A82" s="301"/>
      <c r="B82" s="300"/>
      <c r="C82" s="299"/>
      <c r="D82" s="322" t="s">
        <v>353</v>
      </c>
      <c r="E82" s="297"/>
    </row>
    <row r="83" spans="1:5" ht="25.5" customHeight="1" x14ac:dyDescent="0.2">
      <c r="A83" s="290"/>
      <c r="B83" s="289"/>
      <c r="C83" s="288"/>
      <c r="D83" s="307" t="s">
        <v>352</v>
      </c>
      <c r="E83" s="292"/>
    </row>
    <row r="84" spans="1:5" ht="22.5" customHeight="1" x14ac:dyDescent="0.2">
      <c r="A84" s="290"/>
      <c r="B84" s="289"/>
      <c r="C84" s="288"/>
      <c r="D84" s="293" t="s">
        <v>351</v>
      </c>
      <c r="E84" s="292"/>
    </row>
    <row r="85" spans="1:5" ht="13.5" customHeight="1" x14ac:dyDescent="0.2">
      <c r="A85" s="290"/>
      <c r="B85" s="289"/>
      <c r="C85" s="288"/>
      <c r="D85" s="310" t="s">
        <v>350</v>
      </c>
      <c r="E85" s="286"/>
    </row>
    <row r="86" spans="1:5" ht="13.5" customHeight="1" x14ac:dyDescent="0.2">
      <c r="A86" s="290"/>
      <c r="B86" s="289"/>
      <c r="C86" s="288"/>
      <c r="D86" s="321" t="s">
        <v>349</v>
      </c>
      <c r="E86" s="320"/>
    </row>
    <row r="87" spans="1:5" ht="25.5" customHeight="1" x14ac:dyDescent="0.2">
      <c r="A87" s="290"/>
      <c r="B87" s="289"/>
      <c r="C87" s="288"/>
      <c r="D87" s="316" t="s">
        <v>348</v>
      </c>
      <c r="E87" s="286"/>
    </row>
    <row r="88" spans="1:5" ht="13.5" customHeight="1" x14ac:dyDescent="0.2">
      <c r="A88" s="290"/>
      <c r="B88" s="289"/>
      <c r="C88" s="288"/>
      <c r="D88" s="307" t="s">
        <v>347</v>
      </c>
      <c r="E88" s="292"/>
    </row>
    <row r="89" spans="1:5" ht="13.5" customHeight="1" x14ac:dyDescent="0.2">
      <c r="A89" s="290"/>
      <c r="B89" s="289"/>
      <c r="C89" s="288"/>
      <c r="D89" s="307" t="s">
        <v>346</v>
      </c>
      <c r="E89" s="292"/>
    </row>
    <row r="90" spans="1:5" ht="12.75" customHeight="1" x14ac:dyDescent="0.2">
      <c r="A90" s="290"/>
      <c r="B90" s="289"/>
      <c r="C90" s="288"/>
      <c r="D90" s="293" t="s">
        <v>345</v>
      </c>
      <c r="E90" s="292"/>
    </row>
    <row r="91" spans="1:5" ht="13.5" customHeight="1" x14ac:dyDescent="0.2">
      <c r="A91" s="290"/>
      <c r="B91" s="289"/>
      <c r="C91" s="288"/>
      <c r="D91" s="313" t="s">
        <v>316</v>
      </c>
      <c r="E91" s="292"/>
    </row>
    <row r="92" spans="1:5" ht="13.5" customHeight="1" x14ac:dyDescent="0.2">
      <c r="A92" s="290"/>
      <c r="B92" s="289"/>
      <c r="C92" s="288"/>
      <c r="D92" s="319" t="s">
        <v>344</v>
      </c>
      <c r="E92" s="286"/>
    </row>
    <row r="93" spans="1:5" ht="13.5" customHeight="1" x14ac:dyDescent="0.2">
      <c r="A93" s="290"/>
      <c r="B93" s="289"/>
      <c r="C93" s="288"/>
      <c r="D93" s="318" t="s">
        <v>343</v>
      </c>
      <c r="E93" s="292"/>
    </row>
    <row r="94" spans="1:5" ht="13.5" customHeight="1" x14ac:dyDescent="0.2">
      <c r="A94" s="290"/>
      <c r="B94" s="289"/>
      <c r="C94" s="288"/>
      <c r="D94" s="313" t="s">
        <v>342</v>
      </c>
      <c r="E94" s="292"/>
    </row>
    <row r="95" spans="1:5" ht="25.5" customHeight="1" x14ac:dyDescent="0.2">
      <c r="A95" s="247"/>
      <c r="B95" s="246"/>
      <c r="C95" s="282"/>
      <c r="D95" s="306" t="s">
        <v>341</v>
      </c>
      <c r="E95" s="280"/>
    </row>
    <row r="96" spans="1:5" ht="13.5" customHeight="1" x14ac:dyDescent="0.2">
      <c r="A96" s="249">
        <v>7</v>
      </c>
      <c r="B96" s="249">
        <v>801</v>
      </c>
      <c r="C96" s="249">
        <v>80117</v>
      </c>
      <c r="D96" s="279" t="s">
        <v>102</v>
      </c>
      <c r="E96" s="248">
        <v>2656984</v>
      </c>
    </row>
    <row r="97" spans="1:5" ht="15" customHeight="1" x14ac:dyDescent="0.2">
      <c r="A97" s="301"/>
      <c r="B97" s="300"/>
      <c r="C97" s="299"/>
      <c r="D97" s="317" t="s">
        <v>314</v>
      </c>
      <c r="E97" s="297"/>
    </row>
    <row r="98" spans="1:5" ht="15" customHeight="1" x14ac:dyDescent="0.2">
      <c r="A98" s="290"/>
      <c r="B98" s="289"/>
      <c r="C98" s="288"/>
      <c r="D98" s="316" t="s">
        <v>340</v>
      </c>
      <c r="E98" s="286"/>
    </row>
    <row r="99" spans="1:5" ht="25.5" customHeight="1" x14ac:dyDescent="0.2">
      <c r="A99" s="290"/>
      <c r="B99" s="289"/>
      <c r="C99" s="288"/>
      <c r="D99" s="316" t="s">
        <v>339</v>
      </c>
      <c r="E99" s="286"/>
    </row>
    <row r="100" spans="1:5" ht="24.75" customHeight="1" x14ac:dyDescent="0.2">
      <c r="A100" s="290"/>
      <c r="B100" s="289"/>
      <c r="C100" s="288"/>
      <c r="D100" s="315" t="s">
        <v>338</v>
      </c>
      <c r="E100" s="292"/>
    </row>
    <row r="101" spans="1:5" ht="25.5" customHeight="1" x14ac:dyDescent="0.2">
      <c r="A101" s="290"/>
      <c r="B101" s="289"/>
      <c r="C101" s="288"/>
      <c r="D101" s="306" t="s">
        <v>337</v>
      </c>
      <c r="E101" s="314"/>
    </row>
    <row r="102" spans="1:5" ht="15.75" customHeight="1" x14ac:dyDescent="0.2">
      <c r="A102" s="249">
        <v>8</v>
      </c>
      <c r="B102" s="249">
        <v>801</v>
      </c>
      <c r="C102" s="249">
        <v>80120</v>
      </c>
      <c r="D102" s="279" t="s">
        <v>103</v>
      </c>
      <c r="E102" s="248">
        <v>6769589</v>
      </c>
    </row>
    <row r="103" spans="1:5" ht="13.5" customHeight="1" x14ac:dyDescent="0.2">
      <c r="A103" s="290"/>
      <c r="B103" s="289"/>
      <c r="C103" s="288"/>
      <c r="D103" s="307" t="s">
        <v>336</v>
      </c>
      <c r="E103" s="292"/>
    </row>
    <row r="104" spans="1:5" ht="13.5" customHeight="1" x14ac:dyDescent="0.2">
      <c r="A104" s="290"/>
      <c r="B104" s="289"/>
      <c r="C104" s="288"/>
      <c r="D104" s="307" t="s">
        <v>335</v>
      </c>
      <c r="E104" s="292"/>
    </row>
    <row r="105" spans="1:5" ht="13.5" customHeight="1" x14ac:dyDescent="0.2">
      <c r="A105" s="290"/>
      <c r="B105" s="289"/>
      <c r="C105" s="288"/>
      <c r="D105" s="313" t="s">
        <v>334</v>
      </c>
      <c r="E105" s="292"/>
    </row>
    <row r="106" spans="1:5" ht="24.75" customHeight="1" x14ac:dyDescent="0.2">
      <c r="A106" s="290"/>
      <c r="B106" s="289"/>
      <c r="C106" s="288"/>
      <c r="D106" s="307" t="s">
        <v>333</v>
      </c>
      <c r="E106" s="292"/>
    </row>
    <row r="107" spans="1:5" ht="13.5" customHeight="1" x14ac:dyDescent="0.2">
      <c r="A107" s="290"/>
      <c r="B107" s="289"/>
      <c r="C107" s="288"/>
      <c r="D107" s="313" t="s">
        <v>332</v>
      </c>
      <c r="E107" s="292"/>
    </row>
    <row r="108" spans="1:5" ht="15" customHeight="1" x14ac:dyDescent="0.2">
      <c r="A108" s="290"/>
      <c r="B108" s="289"/>
      <c r="C108" s="288"/>
      <c r="D108" s="307" t="s">
        <v>331</v>
      </c>
      <c r="E108" s="292"/>
    </row>
    <row r="109" spans="1:5" ht="25.5" customHeight="1" x14ac:dyDescent="0.2">
      <c r="A109" s="247"/>
      <c r="B109" s="246"/>
      <c r="C109" s="282"/>
      <c r="D109" s="312" t="s">
        <v>330</v>
      </c>
      <c r="E109" s="311"/>
    </row>
    <row r="110" spans="1:5" ht="25.5" customHeight="1" x14ac:dyDescent="0.2">
      <c r="A110" s="290"/>
      <c r="B110" s="289"/>
      <c r="C110" s="288"/>
      <c r="D110" s="291" t="s">
        <v>329</v>
      </c>
      <c r="E110" s="286"/>
    </row>
    <row r="111" spans="1:5" ht="25.5" customHeight="1" x14ac:dyDescent="0.2">
      <c r="A111" s="290"/>
      <c r="B111" s="289"/>
      <c r="C111" s="288"/>
      <c r="D111" s="293" t="s">
        <v>311</v>
      </c>
      <c r="E111" s="292"/>
    </row>
    <row r="112" spans="1:5" ht="13.5" customHeight="1" x14ac:dyDescent="0.2">
      <c r="A112" s="290"/>
      <c r="B112" s="289"/>
      <c r="C112" s="288"/>
      <c r="D112" s="310" t="s">
        <v>328</v>
      </c>
      <c r="E112" s="286"/>
    </row>
    <row r="113" spans="1:5" ht="13.5" customHeight="1" x14ac:dyDescent="0.2">
      <c r="A113" s="247"/>
      <c r="B113" s="246"/>
      <c r="C113" s="282"/>
      <c r="D113" s="309" t="s">
        <v>313</v>
      </c>
      <c r="E113" s="280"/>
    </row>
    <row r="114" spans="1:5" ht="51" customHeight="1" x14ac:dyDescent="0.2">
      <c r="A114" s="264">
        <v>9</v>
      </c>
      <c r="B114" s="264">
        <v>801</v>
      </c>
      <c r="C114" s="264">
        <v>80149</v>
      </c>
      <c r="D114" s="302" t="s">
        <v>327</v>
      </c>
      <c r="E114" s="262">
        <v>2707080</v>
      </c>
    </row>
    <row r="115" spans="1:5" ht="25.5" customHeight="1" x14ac:dyDescent="0.2">
      <c r="A115" s="301"/>
      <c r="B115" s="300"/>
      <c r="C115" s="299"/>
      <c r="D115" s="308" t="s">
        <v>304</v>
      </c>
      <c r="E115" s="297"/>
    </row>
    <row r="116" spans="1:5" ht="13.5" customHeight="1" x14ac:dyDescent="0.2">
      <c r="A116" s="290"/>
      <c r="B116" s="289"/>
      <c r="C116" s="288"/>
      <c r="D116" s="291" t="s">
        <v>326</v>
      </c>
      <c r="E116" s="286"/>
    </row>
    <row r="117" spans="1:5" ht="13.5" customHeight="1" x14ac:dyDescent="0.2">
      <c r="A117" s="290"/>
      <c r="B117" s="289"/>
      <c r="C117" s="288"/>
      <c r="D117" s="293" t="s">
        <v>303</v>
      </c>
      <c r="E117" s="292"/>
    </row>
    <row r="118" spans="1:5" ht="13.5" customHeight="1" x14ac:dyDescent="0.2">
      <c r="A118" s="290"/>
      <c r="B118" s="289"/>
      <c r="C118" s="288"/>
      <c r="D118" s="287" t="s">
        <v>299</v>
      </c>
      <c r="E118" s="286"/>
    </row>
    <row r="119" spans="1:5" ht="13.5" customHeight="1" x14ac:dyDescent="0.2">
      <c r="A119" s="290"/>
      <c r="B119" s="289"/>
      <c r="C119" s="288"/>
      <c r="D119" s="296" t="s">
        <v>305</v>
      </c>
      <c r="E119" s="292"/>
    </row>
    <row r="120" spans="1:5" ht="13.5" customHeight="1" x14ac:dyDescent="0.2">
      <c r="A120" s="290"/>
      <c r="B120" s="289"/>
      <c r="C120" s="288"/>
      <c r="D120" s="293" t="s">
        <v>301</v>
      </c>
      <c r="E120" s="292"/>
    </row>
    <row r="121" spans="1:5" ht="13.5" customHeight="1" x14ac:dyDescent="0.2">
      <c r="A121" s="290"/>
      <c r="B121" s="289"/>
      <c r="C121" s="288"/>
      <c r="D121" s="293" t="s">
        <v>298</v>
      </c>
      <c r="E121" s="292"/>
    </row>
    <row r="122" spans="1:5" ht="13.5" customHeight="1" x14ac:dyDescent="0.2">
      <c r="A122" s="290"/>
      <c r="B122" s="289"/>
      <c r="C122" s="288"/>
      <c r="D122" s="293" t="s">
        <v>325</v>
      </c>
      <c r="E122" s="292"/>
    </row>
    <row r="123" spans="1:5" ht="13.5" customHeight="1" x14ac:dyDescent="0.2">
      <c r="A123" s="290"/>
      <c r="B123" s="289"/>
      <c r="C123" s="288"/>
      <c r="D123" s="293" t="s">
        <v>300</v>
      </c>
      <c r="E123" s="292"/>
    </row>
    <row r="124" spans="1:5" ht="13.5" customHeight="1" x14ac:dyDescent="0.2">
      <c r="A124" s="290"/>
      <c r="B124" s="289"/>
      <c r="C124" s="288"/>
      <c r="D124" s="296" t="s">
        <v>324</v>
      </c>
      <c r="E124" s="292"/>
    </row>
    <row r="125" spans="1:5" ht="13.5" customHeight="1" x14ac:dyDescent="0.2">
      <c r="A125" s="290"/>
      <c r="B125" s="289"/>
      <c r="C125" s="288"/>
      <c r="D125" s="293" t="s">
        <v>323</v>
      </c>
      <c r="E125" s="292"/>
    </row>
    <row r="126" spans="1:5" ht="15" customHeight="1" x14ac:dyDescent="0.2">
      <c r="A126" s="247"/>
      <c r="B126" s="246"/>
      <c r="C126" s="282"/>
      <c r="D126" s="285" t="s">
        <v>306</v>
      </c>
      <c r="E126" s="280"/>
    </row>
    <row r="127" spans="1:5" ht="39" customHeight="1" x14ac:dyDescent="0.2">
      <c r="A127" s="264">
        <v>10</v>
      </c>
      <c r="B127" s="264">
        <v>801</v>
      </c>
      <c r="C127" s="264">
        <v>80150</v>
      </c>
      <c r="D127" s="302" t="s">
        <v>322</v>
      </c>
      <c r="E127" s="262">
        <f>165299+20000</f>
        <v>185299</v>
      </c>
    </row>
    <row r="128" spans="1:5" ht="13.5" customHeight="1" x14ac:dyDescent="0.2">
      <c r="A128" s="301"/>
      <c r="B128" s="300"/>
      <c r="C128" s="299"/>
      <c r="D128" s="308" t="s">
        <v>321</v>
      </c>
      <c r="E128" s="297"/>
    </row>
    <row r="129" spans="1:6" ht="25.5" customHeight="1" x14ac:dyDescent="0.2">
      <c r="A129" s="290"/>
      <c r="B129" s="289"/>
      <c r="C129" s="288"/>
      <c r="D129" s="307" t="s">
        <v>320</v>
      </c>
      <c r="E129" s="292"/>
    </row>
    <row r="130" spans="1:6" ht="15.75" customHeight="1" x14ac:dyDescent="0.2">
      <c r="A130" s="247"/>
      <c r="B130" s="246"/>
      <c r="C130" s="282"/>
      <c r="D130" s="306" t="s">
        <v>319</v>
      </c>
      <c r="E130" s="280"/>
      <c r="F130" s="305"/>
    </row>
    <row r="131" spans="1:6" ht="13.5" customHeight="1" x14ac:dyDescent="0.2">
      <c r="A131" s="249">
        <v>11</v>
      </c>
      <c r="B131" s="249">
        <v>801</v>
      </c>
      <c r="C131" s="249">
        <v>80151</v>
      </c>
      <c r="D131" s="278" t="s">
        <v>318</v>
      </c>
      <c r="E131" s="248">
        <v>108410</v>
      </c>
    </row>
    <row r="132" spans="1:6" ht="13.5" customHeight="1" x14ac:dyDescent="0.2">
      <c r="A132" s="279"/>
      <c r="B132" s="278"/>
      <c r="C132" s="254"/>
      <c r="D132" s="304" t="s">
        <v>317</v>
      </c>
      <c r="E132" s="248"/>
    </row>
    <row r="133" spans="1:6" ht="13.5" customHeight="1" x14ac:dyDescent="0.2">
      <c r="A133" s="247"/>
      <c r="B133" s="246"/>
      <c r="C133" s="282"/>
      <c r="D133" s="303" t="s">
        <v>316</v>
      </c>
      <c r="E133" s="280"/>
    </row>
    <row r="134" spans="1:6" ht="114" customHeight="1" x14ac:dyDescent="0.2">
      <c r="A134" s="264">
        <v>12</v>
      </c>
      <c r="B134" s="264">
        <v>801</v>
      </c>
      <c r="C134" s="264">
        <v>80152</v>
      </c>
      <c r="D134" s="302" t="s">
        <v>315</v>
      </c>
      <c r="E134" s="262">
        <f>413835+30000</f>
        <v>443835</v>
      </c>
    </row>
    <row r="135" spans="1:6" ht="12.75" customHeight="1" x14ac:dyDescent="0.2">
      <c r="A135" s="301"/>
      <c r="B135" s="300"/>
      <c r="C135" s="299"/>
      <c r="D135" s="298" t="s">
        <v>314</v>
      </c>
      <c r="E135" s="297"/>
    </row>
    <row r="136" spans="1:6" ht="15" customHeight="1" x14ac:dyDescent="0.2">
      <c r="A136" s="290"/>
      <c r="B136" s="289"/>
      <c r="C136" s="288"/>
      <c r="D136" s="296" t="s">
        <v>313</v>
      </c>
      <c r="E136" s="292"/>
    </row>
    <row r="137" spans="1:6" ht="22.9" customHeight="1" x14ac:dyDescent="0.2">
      <c r="A137" s="290"/>
      <c r="B137" s="289"/>
      <c r="C137" s="288"/>
      <c r="D137" s="295" t="s">
        <v>312</v>
      </c>
      <c r="E137" s="292"/>
    </row>
    <row r="138" spans="1:6" ht="23.25" customHeight="1" x14ac:dyDescent="0.2">
      <c r="A138" s="247"/>
      <c r="B138" s="246"/>
      <c r="C138" s="282"/>
      <c r="D138" s="285" t="s">
        <v>311</v>
      </c>
      <c r="E138" s="280"/>
    </row>
    <row r="139" spans="1:6" ht="15.75" customHeight="1" x14ac:dyDescent="0.2">
      <c r="A139" s="294">
        <v>13</v>
      </c>
      <c r="B139" s="294">
        <v>853</v>
      </c>
      <c r="C139" s="294">
        <v>85311</v>
      </c>
      <c r="D139" s="246" t="s">
        <v>310</v>
      </c>
      <c r="E139" s="280">
        <f>190800+10005</f>
        <v>200805</v>
      </c>
    </row>
    <row r="140" spans="1:6" ht="15" customHeight="1" x14ac:dyDescent="0.2">
      <c r="A140" s="279"/>
      <c r="B140" s="278"/>
      <c r="C140" s="282"/>
      <c r="D140" s="253" t="s">
        <v>309</v>
      </c>
      <c r="E140" s="280"/>
    </row>
    <row r="141" spans="1:6" ht="15.75" customHeight="1" x14ac:dyDescent="0.2">
      <c r="A141" s="249">
        <v>14</v>
      </c>
      <c r="B141" s="249">
        <v>854</v>
      </c>
      <c r="C141" s="249">
        <v>85402</v>
      </c>
      <c r="D141" s="278" t="s">
        <v>150</v>
      </c>
      <c r="E141" s="248">
        <f>706538+70000</f>
        <v>776538</v>
      </c>
    </row>
    <row r="142" spans="1:6" ht="13.5" customHeight="1" x14ac:dyDescent="0.2">
      <c r="A142" s="279"/>
      <c r="B142" s="278"/>
      <c r="C142" s="254"/>
      <c r="D142" s="283" t="s">
        <v>308</v>
      </c>
      <c r="E142" s="248"/>
    </row>
    <row r="143" spans="1:6" ht="15.75" customHeight="1" x14ac:dyDescent="0.2">
      <c r="A143" s="249">
        <v>15</v>
      </c>
      <c r="B143" s="249">
        <v>854</v>
      </c>
      <c r="C143" s="249">
        <v>85404</v>
      </c>
      <c r="D143" s="278" t="s">
        <v>307</v>
      </c>
      <c r="E143" s="248">
        <v>500188</v>
      </c>
    </row>
    <row r="144" spans="1:6" ht="13.5" customHeight="1" x14ac:dyDescent="0.2">
      <c r="A144" s="279"/>
      <c r="B144" s="278"/>
      <c r="C144" s="254"/>
      <c r="D144" s="252" t="s">
        <v>306</v>
      </c>
      <c r="E144" s="248"/>
    </row>
    <row r="145" spans="1:5" ht="13.5" customHeight="1" x14ac:dyDescent="0.2">
      <c r="A145" s="290"/>
      <c r="B145" s="289"/>
      <c r="C145" s="288"/>
      <c r="D145" s="287" t="s">
        <v>305</v>
      </c>
      <c r="E145" s="286"/>
    </row>
    <row r="146" spans="1:5" ht="24.75" customHeight="1" x14ac:dyDescent="0.2">
      <c r="A146" s="290"/>
      <c r="B146" s="289"/>
      <c r="C146" s="288"/>
      <c r="D146" s="293" t="s">
        <v>304</v>
      </c>
      <c r="E146" s="292"/>
    </row>
    <row r="147" spans="1:5" ht="13.5" customHeight="1" x14ac:dyDescent="0.2">
      <c r="A147" s="290"/>
      <c r="B147" s="289"/>
      <c r="C147" s="288"/>
      <c r="D147" s="293" t="s">
        <v>303</v>
      </c>
      <c r="E147" s="292"/>
    </row>
    <row r="148" spans="1:5" ht="13.5" customHeight="1" x14ac:dyDescent="0.2">
      <c r="A148" s="290"/>
      <c r="B148" s="289"/>
      <c r="C148" s="288"/>
      <c r="D148" s="287" t="s">
        <v>302</v>
      </c>
      <c r="E148" s="286"/>
    </row>
    <row r="149" spans="1:5" ht="13.5" customHeight="1" x14ac:dyDescent="0.2">
      <c r="A149" s="290"/>
      <c r="B149" s="289"/>
      <c r="C149" s="288"/>
      <c r="D149" s="293" t="s">
        <v>301</v>
      </c>
      <c r="E149" s="292"/>
    </row>
    <row r="150" spans="1:5" ht="13.5" customHeight="1" x14ac:dyDescent="0.2">
      <c r="A150" s="290"/>
      <c r="B150" s="289"/>
      <c r="C150" s="288"/>
      <c r="D150" s="291" t="s">
        <v>300</v>
      </c>
      <c r="E150" s="286"/>
    </row>
    <row r="151" spans="1:5" ht="13.5" customHeight="1" x14ac:dyDescent="0.2">
      <c r="A151" s="290"/>
      <c r="B151" s="289"/>
      <c r="C151" s="288"/>
      <c r="D151" s="287" t="s">
        <v>299</v>
      </c>
      <c r="E151" s="286"/>
    </row>
    <row r="152" spans="1:5" ht="14.25" customHeight="1" x14ac:dyDescent="0.2">
      <c r="A152" s="247"/>
      <c r="B152" s="246"/>
      <c r="C152" s="282"/>
      <c r="D152" s="285" t="s">
        <v>298</v>
      </c>
      <c r="E152" s="280"/>
    </row>
    <row r="153" spans="1:5" ht="25.5" customHeight="1" x14ac:dyDescent="0.2">
      <c r="A153" s="264">
        <v>16</v>
      </c>
      <c r="B153" s="264">
        <v>854</v>
      </c>
      <c r="C153" s="264">
        <v>85406</v>
      </c>
      <c r="D153" s="284" t="s">
        <v>297</v>
      </c>
      <c r="E153" s="248">
        <f>217601-70000</f>
        <v>147601</v>
      </c>
    </row>
    <row r="154" spans="1:5" ht="12.75" customHeight="1" x14ac:dyDescent="0.2">
      <c r="A154" s="279"/>
      <c r="B154" s="278"/>
      <c r="C154" s="254"/>
      <c r="D154" s="283" t="s">
        <v>296</v>
      </c>
      <c r="E154" s="248"/>
    </row>
    <row r="155" spans="1:5" ht="37.5" customHeight="1" x14ac:dyDescent="0.2">
      <c r="A155" s="247"/>
      <c r="B155" s="246"/>
      <c r="C155" s="282"/>
      <c r="D155" s="281" t="s">
        <v>295</v>
      </c>
      <c r="E155" s="280"/>
    </row>
    <row r="156" spans="1:5" ht="13.5" customHeight="1" x14ac:dyDescent="0.2">
      <c r="A156" s="249">
        <v>17</v>
      </c>
      <c r="B156" s="249">
        <v>854</v>
      </c>
      <c r="C156" s="249">
        <v>85410</v>
      </c>
      <c r="D156" s="278" t="s">
        <v>294</v>
      </c>
      <c r="E156" s="248">
        <v>952007</v>
      </c>
    </row>
    <row r="157" spans="1:5" ht="12.75" customHeight="1" x14ac:dyDescent="0.2">
      <c r="A157" s="279"/>
      <c r="B157" s="278"/>
      <c r="C157" s="254"/>
      <c r="D157" s="253" t="s">
        <v>293</v>
      </c>
      <c r="E157" s="248"/>
    </row>
    <row r="158" spans="1:5" ht="14.25" customHeight="1" x14ac:dyDescent="0.2">
      <c r="A158" s="471"/>
      <c r="B158" s="472"/>
      <c r="C158" s="472"/>
      <c r="D158" s="472" t="s">
        <v>266</v>
      </c>
      <c r="E158" s="469">
        <f>SUM(E48:E157)</f>
        <v>39801014</v>
      </c>
    </row>
    <row r="159" spans="1:5" ht="15.75" customHeight="1" x14ac:dyDescent="0.2">
      <c r="A159" s="277"/>
      <c r="B159" s="276"/>
      <c r="C159" s="276"/>
      <c r="D159" s="276" t="s">
        <v>265</v>
      </c>
      <c r="E159" s="240">
        <f>SUM(E45,E158)</f>
        <v>60100449.410000004</v>
      </c>
    </row>
    <row r="161" spans="1:5" ht="12.6" customHeight="1" x14ac:dyDescent="0.2">
      <c r="A161" s="470"/>
      <c r="E161" s="473"/>
    </row>
    <row r="163" spans="1:5" x14ac:dyDescent="0.2">
      <c r="E163" s="473"/>
    </row>
    <row r="165" spans="1:5" x14ac:dyDescent="0.2">
      <c r="E165" s="474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8743-DB76-4E52-B243-3F4CAA3837FC}">
  <dimension ref="A1:G37"/>
  <sheetViews>
    <sheetView zoomScale="110" zoomScaleNormal="110" workbookViewId="0"/>
  </sheetViews>
  <sheetFormatPr defaultRowHeight="15" x14ac:dyDescent="0.25"/>
  <cols>
    <col min="1" max="1" width="4.42578125" style="418" customWidth="1"/>
    <col min="2" max="2" width="7.5703125" style="418" customWidth="1"/>
    <col min="3" max="3" width="49" style="418" customWidth="1"/>
    <col min="4" max="4" width="14.85546875" style="418" customWidth="1"/>
    <col min="5" max="5" width="14" style="418" customWidth="1"/>
    <col min="6" max="6" width="14.140625" style="418" customWidth="1"/>
    <col min="7" max="7" width="17" style="418" customWidth="1"/>
    <col min="8" max="256" width="9.140625" style="418"/>
    <col min="257" max="257" width="4.42578125" style="418" customWidth="1"/>
    <col min="258" max="258" width="7.5703125" style="418" customWidth="1"/>
    <col min="259" max="259" width="47.42578125" style="418" customWidth="1"/>
    <col min="260" max="260" width="14.85546875" style="418" customWidth="1"/>
    <col min="261" max="261" width="14" style="418" customWidth="1"/>
    <col min="262" max="262" width="14.140625" style="418" customWidth="1"/>
    <col min="263" max="263" width="14.7109375" style="418" customWidth="1"/>
    <col min="264" max="512" width="9.140625" style="418"/>
    <col min="513" max="513" width="4.42578125" style="418" customWidth="1"/>
    <col min="514" max="514" width="7.5703125" style="418" customWidth="1"/>
    <col min="515" max="515" width="47.42578125" style="418" customWidth="1"/>
    <col min="516" max="516" width="14.85546875" style="418" customWidth="1"/>
    <col min="517" max="517" width="14" style="418" customWidth="1"/>
    <col min="518" max="518" width="14.140625" style="418" customWidth="1"/>
    <col min="519" max="519" width="14.7109375" style="418" customWidth="1"/>
    <col min="520" max="768" width="9.140625" style="418"/>
    <col min="769" max="769" width="4.42578125" style="418" customWidth="1"/>
    <col min="770" max="770" width="7.5703125" style="418" customWidth="1"/>
    <col min="771" max="771" width="47.42578125" style="418" customWidth="1"/>
    <col min="772" max="772" width="14.85546875" style="418" customWidth="1"/>
    <col min="773" max="773" width="14" style="418" customWidth="1"/>
    <col min="774" max="774" width="14.140625" style="418" customWidth="1"/>
    <col min="775" max="775" width="14.7109375" style="418" customWidth="1"/>
    <col min="776" max="1024" width="9.140625" style="418"/>
    <col min="1025" max="1025" width="4.42578125" style="418" customWidth="1"/>
    <col min="1026" max="1026" width="7.5703125" style="418" customWidth="1"/>
    <col min="1027" max="1027" width="47.42578125" style="418" customWidth="1"/>
    <col min="1028" max="1028" width="14.85546875" style="418" customWidth="1"/>
    <col min="1029" max="1029" width="14" style="418" customWidth="1"/>
    <col min="1030" max="1030" width="14.140625" style="418" customWidth="1"/>
    <col min="1031" max="1031" width="14.7109375" style="418" customWidth="1"/>
    <col min="1032" max="1280" width="9.140625" style="418"/>
    <col min="1281" max="1281" width="4.42578125" style="418" customWidth="1"/>
    <col min="1282" max="1282" width="7.5703125" style="418" customWidth="1"/>
    <col min="1283" max="1283" width="47.42578125" style="418" customWidth="1"/>
    <col min="1284" max="1284" width="14.85546875" style="418" customWidth="1"/>
    <col min="1285" max="1285" width="14" style="418" customWidth="1"/>
    <col min="1286" max="1286" width="14.140625" style="418" customWidth="1"/>
    <col min="1287" max="1287" width="14.7109375" style="418" customWidth="1"/>
    <col min="1288" max="1536" width="9.140625" style="418"/>
    <col min="1537" max="1537" width="4.42578125" style="418" customWidth="1"/>
    <col min="1538" max="1538" width="7.5703125" style="418" customWidth="1"/>
    <col min="1539" max="1539" width="47.42578125" style="418" customWidth="1"/>
    <col min="1540" max="1540" width="14.85546875" style="418" customWidth="1"/>
    <col min="1541" max="1541" width="14" style="418" customWidth="1"/>
    <col min="1542" max="1542" width="14.140625" style="418" customWidth="1"/>
    <col min="1543" max="1543" width="14.7109375" style="418" customWidth="1"/>
    <col min="1544" max="1792" width="9.140625" style="418"/>
    <col min="1793" max="1793" width="4.42578125" style="418" customWidth="1"/>
    <col min="1794" max="1794" width="7.5703125" style="418" customWidth="1"/>
    <col min="1795" max="1795" width="47.42578125" style="418" customWidth="1"/>
    <col min="1796" max="1796" width="14.85546875" style="418" customWidth="1"/>
    <col min="1797" max="1797" width="14" style="418" customWidth="1"/>
    <col min="1798" max="1798" width="14.140625" style="418" customWidth="1"/>
    <col min="1799" max="1799" width="14.7109375" style="418" customWidth="1"/>
    <col min="1800" max="2048" width="9.140625" style="418"/>
    <col min="2049" max="2049" width="4.42578125" style="418" customWidth="1"/>
    <col min="2050" max="2050" width="7.5703125" style="418" customWidth="1"/>
    <col min="2051" max="2051" width="47.42578125" style="418" customWidth="1"/>
    <col min="2052" max="2052" width="14.85546875" style="418" customWidth="1"/>
    <col min="2053" max="2053" width="14" style="418" customWidth="1"/>
    <col min="2054" max="2054" width="14.140625" style="418" customWidth="1"/>
    <col min="2055" max="2055" width="14.7109375" style="418" customWidth="1"/>
    <col min="2056" max="2304" width="9.140625" style="418"/>
    <col min="2305" max="2305" width="4.42578125" style="418" customWidth="1"/>
    <col min="2306" max="2306" width="7.5703125" style="418" customWidth="1"/>
    <col min="2307" max="2307" width="47.42578125" style="418" customWidth="1"/>
    <col min="2308" max="2308" width="14.85546875" style="418" customWidth="1"/>
    <col min="2309" max="2309" width="14" style="418" customWidth="1"/>
    <col min="2310" max="2310" width="14.140625" style="418" customWidth="1"/>
    <col min="2311" max="2311" width="14.7109375" style="418" customWidth="1"/>
    <col min="2312" max="2560" width="9.140625" style="418"/>
    <col min="2561" max="2561" width="4.42578125" style="418" customWidth="1"/>
    <col min="2562" max="2562" width="7.5703125" style="418" customWidth="1"/>
    <col min="2563" max="2563" width="47.42578125" style="418" customWidth="1"/>
    <col min="2564" max="2564" width="14.85546875" style="418" customWidth="1"/>
    <col min="2565" max="2565" width="14" style="418" customWidth="1"/>
    <col min="2566" max="2566" width="14.140625" style="418" customWidth="1"/>
    <col min="2567" max="2567" width="14.7109375" style="418" customWidth="1"/>
    <col min="2568" max="2816" width="9.140625" style="418"/>
    <col min="2817" max="2817" width="4.42578125" style="418" customWidth="1"/>
    <col min="2818" max="2818" width="7.5703125" style="418" customWidth="1"/>
    <col min="2819" max="2819" width="47.42578125" style="418" customWidth="1"/>
    <col min="2820" max="2820" width="14.85546875" style="418" customWidth="1"/>
    <col min="2821" max="2821" width="14" style="418" customWidth="1"/>
    <col min="2822" max="2822" width="14.140625" style="418" customWidth="1"/>
    <col min="2823" max="2823" width="14.7109375" style="418" customWidth="1"/>
    <col min="2824" max="3072" width="9.140625" style="418"/>
    <col min="3073" max="3073" width="4.42578125" style="418" customWidth="1"/>
    <col min="3074" max="3074" width="7.5703125" style="418" customWidth="1"/>
    <col min="3075" max="3075" width="47.42578125" style="418" customWidth="1"/>
    <col min="3076" max="3076" width="14.85546875" style="418" customWidth="1"/>
    <col min="3077" max="3077" width="14" style="418" customWidth="1"/>
    <col min="3078" max="3078" width="14.140625" style="418" customWidth="1"/>
    <col min="3079" max="3079" width="14.7109375" style="418" customWidth="1"/>
    <col min="3080" max="3328" width="9.140625" style="418"/>
    <col min="3329" max="3329" width="4.42578125" style="418" customWidth="1"/>
    <col min="3330" max="3330" width="7.5703125" style="418" customWidth="1"/>
    <col min="3331" max="3331" width="47.42578125" style="418" customWidth="1"/>
    <col min="3332" max="3332" width="14.85546875" style="418" customWidth="1"/>
    <col min="3333" max="3333" width="14" style="418" customWidth="1"/>
    <col min="3334" max="3334" width="14.140625" style="418" customWidth="1"/>
    <col min="3335" max="3335" width="14.7109375" style="418" customWidth="1"/>
    <col min="3336" max="3584" width="9.140625" style="418"/>
    <col min="3585" max="3585" width="4.42578125" style="418" customWidth="1"/>
    <col min="3586" max="3586" width="7.5703125" style="418" customWidth="1"/>
    <col min="3587" max="3587" width="47.42578125" style="418" customWidth="1"/>
    <col min="3588" max="3588" width="14.85546875" style="418" customWidth="1"/>
    <col min="3589" max="3589" width="14" style="418" customWidth="1"/>
    <col min="3590" max="3590" width="14.140625" style="418" customWidth="1"/>
    <col min="3591" max="3591" width="14.7109375" style="418" customWidth="1"/>
    <col min="3592" max="3840" width="9.140625" style="418"/>
    <col min="3841" max="3841" width="4.42578125" style="418" customWidth="1"/>
    <col min="3842" max="3842" width="7.5703125" style="418" customWidth="1"/>
    <col min="3843" max="3843" width="47.42578125" style="418" customWidth="1"/>
    <col min="3844" max="3844" width="14.85546875" style="418" customWidth="1"/>
    <col min="3845" max="3845" width="14" style="418" customWidth="1"/>
    <col min="3846" max="3846" width="14.140625" style="418" customWidth="1"/>
    <col min="3847" max="3847" width="14.7109375" style="418" customWidth="1"/>
    <col min="3848" max="4096" width="9.140625" style="418"/>
    <col min="4097" max="4097" width="4.42578125" style="418" customWidth="1"/>
    <col min="4098" max="4098" width="7.5703125" style="418" customWidth="1"/>
    <col min="4099" max="4099" width="47.42578125" style="418" customWidth="1"/>
    <col min="4100" max="4100" width="14.85546875" style="418" customWidth="1"/>
    <col min="4101" max="4101" width="14" style="418" customWidth="1"/>
    <col min="4102" max="4102" width="14.140625" style="418" customWidth="1"/>
    <col min="4103" max="4103" width="14.7109375" style="418" customWidth="1"/>
    <col min="4104" max="4352" width="9.140625" style="418"/>
    <col min="4353" max="4353" width="4.42578125" style="418" customWidth="1"/>
    <col min="4354" max="4354" width="7.5703125" style="418" customWidth="1"/>
    <col min="4355" max="4355" width="47.42578125" style="418" customWidth="1"/>
    <col min="4356" max="4356" width="14.85546875" style="418" customWidth="1"/>
    <col min="4357" max="4357" width="14" style="418" customWidth="1"/>
    <col min="4358" max="4358" width="14.140625" style="418" customWidth="1"/>
    <col min="4359" max="4359" width="14.7109375" style="418" customWidth="1"/>
    <col min="4360" max="4608" width="9.140625" style="418"/>
    <col min="4609" max="4609" width="4.42578125" style="418" customWidth="1"/>
    <col min="4610" max="4610" width="7.5703125" style="418" customWidth="1"/>
    <col min="4611" max="4611" width="47.42578125" style="418" customWidth="1"/>
    <col min="4612" max="4612" width="14.85546875" style="418" customWidth="1"/>
    <col min="4613" max="4613" width="14" style="418" customWidth="1"/>
    <col min="4614" max="4614" width="14.140625" style="418" customWidth="1"/>
    <col min="4615" max="4615" width="14.7109375" style="418" customWidth="1"/>
    <col min="4616" max="4864" width="9.140625" style="418"/>
    <col min="4865" max="4865" width="4.42578125" style="418" customWidth="1"/>
    <col min="4866" max="4866" width="7.5703125" style="418" customWidth="1"/>
    <col min="4867" max="4867" width="47.42578125" style="418" customWidth="1"/>
    <col min="4868" max="4868" width="14.85546875" style="418" customWidth="1"/>
    <col min="4869" max="4869" width="14" style="418" customWidth="1"/>
    <col min="4870" max="4870" width="14.140625" style="418" customWidth="1"/>
    <col min="4871" max="4871" width="14.7109375" style="418" customWidth="1"/>
    <col min="4872" max="5120" width="9.140625" style="418"/>
    <col min="5121" max="5121" width="4.42578125" style="418" customWidth="1"/>
    <col min="5122" max="5122" width="7.5703125" style="418" customWidth="1"/>
    <col min="5123" max="5123" width="47.42578125" style="418" customWidth="1"/>
    <col min="5124" max="5124" width="14.85546875" style="418" customWidth="1"/>
    <col min="5125" max="5125" width="14" style="418" customWidth="1"/>
    <col min="5126" max="5126" width="14.140625" style="418" customWidth="1"/>
    <col min="5127" max="5127" width="14.7109375" style="418" customWidth="1"/>
    <col min="5128" max="5376" width="9.140625" style="418"/>
    <col min="5377" max="5377" width="4.42578125" style="418" customWidth="1"/>
    <col min="5378" max="5378" width="7.5703125" style="418" customWidth="1"/>
    <col min="5379" max="5379" width="47.42578125" style="418" customWidth="1"/>
    <col min="5380" max="5380" width="14.85546875" style="418" customWidth="1"/>
    <col min="5381" max="5381" width="14" style="418" customWidth="1"/>
    <col min="5382" max="5382" width="14.140625" style="418" customWidth="1"/>
    <col min="5383" max="5383" width="14.7109375" style="418" customWidth="1"/>
    <col min="5384" max="5632" width="9.140625" style="418"/>
    <col min="5633" max="5633" width="4.42578125" style="418" customWidth="1"/>
    <col min="5634" max="5634" width="7.5703125" style="418" customWidth="1"/>
    <col min="5635" max="5635" width="47.42578125" style="418" customWidth="1"/>
    <col min="5636" max="5636" width="14.85546875" style="418" customWidth="1"/>
    <col min="5637" max="5637" width="14" style="418" customWidth="1"/>
    <col min="5638" max="5638" width="14.140625" style="418" customWidth="1"/>
    <col min="5639" max="5639" width="14.7109375" style="418" customWidth="1"/>
    <col min="5640" max="5888" width="9.140625" style="418"/>
    <col min="5889" max="5889" width="4.42578125" style="418" customWidth="1"/>
    <col min="5890" max="5890" width="7.5703125" style="418" customWidth="1"/>
    <col min="5891" max="5891" width="47.42578125" style="418" customWidth="1"/>
    <col min="5892" max="5892" width="14.85546875" style="418" customWidth="1"/>
    <col min="5893" max="5893" width="14" style="418" customWidth="1"/>
    <col min="5894" max="5894" width="14.140625" style="418" customWidth="1"/>
    <col min="5895" max="5895" width="14.7109375" style="418" customWidth="1"/>
    <col min="5896" max="6144" width="9.140625" style="418"/>
    <col min="6145" max="6145" width="4.42578125" style="418" customWidth="1"/>
    <col min="6146" max="6146" width="7.5703125" style="418" customWidth="1"/>
    <col min="6147" max="6147" width="47.42578125" style="418" customWidth="1"/>
    <col min="6148" max="6148" width="14.85546875" style="418" customWidth="1"/>
    <col min="6149" max="6149" width="14" style="418" customWidth="1"/>
    <col min="6150" max="6150" width="14.140625" style="418" customWidth="1"/>
    <col min="6151" max="6151" width="14.7109375" style="418" customWidth="1"/>
    <col min="6152" max="6400" width="9.140625" style="418"/>
    <col min="6401" max="6401" width="4.42578125" style="418" customWidth="1"/>
    <col min="6402" max="6402" width="7.5703125" style="418" customWidth="1"/>
    <col min="6403" max="6403" width="47.42578125" style="418" customWidth="1"/>
    <col min="6404" max="6404" width="14.85546875" style="418" customWidth="1"/>
    <col min="6405" max="6405" width="14" style="418" customWidth="1"/>
    <col min="6406" max="6406" width="14.140625" style="418" customWidth="1"/>
    <col min="6407" max="6407" width="14.7109375" style="418" customWidth="1"/>
    <col min="6408" max="6656" width="9.140625" style="418"/>
    <col min="6657" max="6657" width="4.42578125" style="418" customWidth="1"/>
    <col min="6658" max="6658" width="7.5703125" style="418" customWidth="1"/>
    <col min="6659" max="6659" width="47.42578125" style="418" customWidth="1"/>
    <col min="6660" max="6660" width="14.85546875" style="418" customWidth="1"/>
    <col min="6661" max="6661" width="14" style="418" customWidth="1"/>
    <col min="6662" max="6662" width="14.140625" style="418" customWidth="1"/>
    <col min="6663" max="6663" width="14.7109375" style="418" customWidth="1"/>
    <col min="6664" max="6912" width="9.140625" style="418"/>
    <col min="6913" max="6913" width="4.42578125" style="418" customWidth="1"/>
    <col min="6914" max="6914" width="7.5703125" style="418" customWidth="1"/>
    <col min="6915" max="6915" width="47.42578125" style="418" customWidth="1"/>
    <col min="6916" max="6916" width="14.85546875" style="418" customWidth="1"/>
    <col min="6917" max="6917" width="14" style="418" customWidth="1"/>
    <col min="6918" max="6918" width="14.140625" style="418" customWidth="1"/>
    <col min="6919" max="6919" width="14.7109375" style="418" customWidth="1"/>
    <col min="6920" max="7168" width="9.140625" style="418"/>
    <col min="7169" max="7169" width="4.42578125" style="418" customWidth="1"/>
    <col min="7170" max="7170" width="7.5703125" style="418" customWidth="1"/>
    <col min="7171" max="7171" width="47.42578125" style="418" customWidth="1"/>
    <col min="7172" max="7172" width="14.85546875" style="418" customWidth="1"/>
    <col min="7173" max="7173" width="14" style="418" customWidth="1"/>
    <col min="7174" max="7174" width="14.140625" style="418" customWidth="1"/>
    <col min="7175" max="7175" width="14.7109375" style="418" customWidth="1"/>
    <col min="7176" max="7424" width="9.140625" style="418"/>
    <col min="7425" max="7425" width="4.42578125" style="418" customWidth="1"/>
    <col min="7426" max="7426" width="7.5703125" style="418" customWidth="1"/>
    <col min="7427" max="7427" width="47.42578125" style="418" customWidth="1"/>
    <col min="7428" max="7428" width="14.85546875" style="418" customWidth="1"/>
    <col min="7429" max="7429" width="14" style="418" customWidth="1"/>
    <col min="7430" max="7430" width="14.140625" style="418" customWidth="1"/>
    <col min="7431" max="7431" width="14.7109375" style="418" customWidth="1"/>
    <col min="7432" max="7680" width="9.140625" style="418"/>
    <col min="7681" max="7681" width="4.42578125" style="418" customWidth="1"/>
    <col min="7682" max="7682" width="7.5703125" style="418" customWidth="1"/>
    <col min="7683" max="7683" width="47.42578125" style="418" customWidth="1"/>
    <col min="7684" max="7684" width="14.85546875" style="418" customWidth="1"/>
    <col min="7685" max="7685" width="14" style="418" customWidth="1"/>
    <col min="7686" max="7686" width="14.140625" style="418" customWidth="1"/>
    <col min="7687" max="7687" width="14.7109375" style="418" customWidth="1"/>
    <col min="7688" max="7936" width="9.140625" style="418"/>
    <col min="7937" max="7937" width="4.42578125" style="418" customWidth="1"/>
    <col min="7938" max="7938" width="7.5703125" style="418" customWidth="1"/>
    <col min="7939" max="7939" width="47.42578125" style="418" customWidth="1"/>
    <col min="7940" max="7940" width="14.85546875" style="418" customWidth="1"/>
    <col min="7941" max="7941" width="14" style="418" customWidth="1"/>
    <col min="7942" max="7942" width="14.140625" style="418" customWidth="1"/>
    <col min="7943" max="7943" width="14.7109375" style="418" customWidth="1"/>
    <col min="7944" max="8192" width="9.140625" style="418"/>
    <col min="8193" max="8193" width="4.42578125" style="418" customWidth="1"/>
    <col min="8194" max="8194" width="7.5703125" style="418" customWidth="1"/>
    <col min="8195" max="8195" width="47.42578125" style="418" customWidth="1"/>
    <col min="8196" max="8196" width="14.85546875" style="418" customWidth="1"/>
    <col min="8197" max="8197" width="14" style="418" customWidth="1"/>
    <col min="8198" max="8198" width="14.140625" style="418" customWidth="1"/>
    <col min="8199" max="8199" width="14.7109375" style="418" customWidth="1"/>
    <col min="8200" max="8448" width="9.140625" style="418"/>
    <col min="8449" max="8449" width="4.42578125" style="418" customWidth="1"/>
    <col min="8450" max="8450" width="7.5703125" style="418" customWidth="1"/>
    <col min="8451" max="8451" width="47.42578125" style="418" customWidth="1"/>
    <col min="8452" max="8452" width="14.85546875" style="418" customWidth="1"/>
    <col min="8453" max="8453" width="14" style="418" customWidth="1"/>
    <col min="8454" max="8454" width="14.140625" style="418" customWidth="1"/>
    <col min="8455" max="8455" width="14.7109375" style="418" customWidth="1"/>
    <col min="8456" max="8704" width="9.140625" style="418"/>
    <col min="8705" max="8705" width="4.42578125" style="418" customWidth="1"/>
    <col min="8706" max="8706" width="7.5703125" style="418" customWidth="1"/>
    <col min="8707" max="8707" width="47.42578125" style="418" customWidth="1"/>
    <col min="8708" max="8708" width="14.85546875" style="418" customWidth="1"/>
    <col min="8709" max="8709" width="14" style="418" customWidth="1"/>
    <col min="8710" max="8710" width="14.140625" style="418" customWidth="1"/>
    <col min="8711" max="8711" width="14.7109375" style="418" customWidth="1"/>
    <col min="8712" max="8960" width="9.140625" style="418"/>
    <col min="8961" max="8961" width="4.42578125" style="418" customWidth="1"/>
    <col min="8962" max="8962" width="7.5703125" style="418" customWidth="1"/>
    <col min="8963" max="8963" width="47.42578125" style="418" customWidth="1"/>
    <col min="8964" max="8964" width="14.85546875" style="418" customWidth="1"/>
    <col min="8965" max="8965" width="14" style="418" customWidth="1"/>
    <col min="8966" max="8966" width="14.140625" style="418" customWidth="1"/>
    <col min="8967" max="8967" width="14.7109375" style="418" customWidth="1"/>
    <col min="8968" max="9216" width="9.140625" style="418"/>
    <col min="9217" max="9217" width="4.42578125" style="418" customWidth="1"/>
    <col min="9218" max="9218" width="7.5703125" style="418" customWidth="1"/>
    <col min="9219" max="9219" width="47.42578125" style="418" customWidth="1"/>
    <col min="9220" max="9220" width="14.85546875" style="418" customWidth="1"/>
    <col min="9221" max="9221" width="14" style="418" customWidth="1"/>
    <col min="9222" max="9222" width="14.140625" style="418" customWidth="1"/>
    <col min="9223" max="9223" width="14.7109375" style="418" customWidth="1"/>
    <col min="9224" max="9472" width="9.140625" style="418"/>
    <col min="9473" max="9473" width="4.42578125" style="418" customWidth="1"/>
    <col min="9474" max="9474" width="7.5703125" style="418" customWidth="1"/>
    <col min="9475" max="9475" width="47.42578125" style="418" customWidth="1"/>
    <col min="9476" max="9476" width="14.85546875" style="418" customWidth="1"/>
    <col min="9477" max="9477" width="14" style="418" customWidth="1"/>
    <col min="9478" max="9478" width="14.140625" style="418" customWidth="1"/>
    <col min="9479" max="9479" width="14.7109375" style="418" customWidth="1"/>
    <col min="9480" max="9728" width="9.140625" style="418"/>
    <col min="9729" max="9729" width="4.42578125" style="418" customWidth="1"/>
    <col min="9730" max="9730" width="7.5703125" style="418" customWidth="1"/>
    <col min="9731" max="9731" width="47.42578125" style="418" customWidth="1"/>
    <col min="9732" max="9732" width="14.85546875" style="418" customWidth="1"/>
    <col min="9733" max="9733" width="14" style="418" customWidth="1"/>
    <col min="9734" max="9734" width="14.140625" style="418" customWidth="1"/>
    <col min="9735" max="9735" width="14.7109375" style="418" customWidth="1"/>
    <col min="9736" max="9984" width="9.140625" style="418"/>
    <col min="9985" max="9985" width="4.42578125" style="418" customWidth="1"/>
    <col min="9986" max="9986" width="7.5703125" style="418" customWidth="1"/>
    <col min="9987" max="9987" width="47.42578125" style="418" customWidth="1"/>
    <col min="9988" max="9988" width="14.85546875" style="418" customWidth="1"/>
    <col min="9989" max="9989" width="14" style="418" customWidth="1"/>
    <col min="9990" max="9990" width="14.140625" style="418" customWidth="1"/>
    <col min="9991" max="9991" width="14.7109375" style="418" customWidth="1"/>
    <col min="9992" max="10240" width="9.140625" style="418"/>
    <col min="10241" max="10241" width="4.42578125" style="418" customWidth="1"/>
    <col min="10242" max="10242" width="7.5703125" style="418" customWidth="1"/>
    <col min="10243" max="10243" width="47.42578125" style="418" customWidth="1"/>
    <col min="10244" max="10244" width="14.85546875" style="418" customWidth="1"/>
    <col min="10245" max="10245" width="14" style="418" customWidth="1"/>
    <col min="10246" max="10246" width="14.140625" style="418" customWidth="1"/>
    <col min="10247" max="10247" width="14.7109375" style="418" customWidth="1"/>
    <col min="10248" max="10496" width="9.140625" style="418"/>
    <col min="10497" max="10497" width="4.42578125" style="418" customWidth="1"/>
    <col min="10498" max="10498" width="7.5703125" style="418" customWidth="1"/>
    <col min="10499" max="10499" width="47.42578125" style="418" customWidth="1"/>
    <col min="10500" max="10500" width="14.85546875" style="418" customWidth="1"/>
    <col min="10501" max="10501" width="14" style="418" customWidth="1"/>
    <col min="10502" max="10502" width="14.140625" style="418" customWidth="1"/>
    <col min="10503" max="10503" width="14.7109375" style="418" customWidth="1"/>
    <col min="10504" max="10752" width="9.140625" style="418"/>
    <col min="10753" max="10753" width="4.42578125" style="418" customWidth="1"/>
    <col min="10754" max="10754" width="7.5703125" style="418" customWidth="1"/>
    <col min="10755" max="10755" width="47.42578125" style="418" customWidth="1"/>
    <col min="10756" max="10756" width="14.85546875" style="418" customWidth="1"/>
    <col min="10757" max="10757" width="14" style="418" customWidth="1"/>
    <col min="10758" max="10758" width="14.140625" style="418" customWidth="1"/>
    <col min="10759" max="10759" width="14.7109375" style="418" customWidth="1"/>
    <col min="10760" max="11008" width="9.140625" style="418"/>
    <col min="11009" max="11009" width="4.42578125" style="418" customWidth="1"/>
    <col min="11010" max="11010" width="7.5703125" style="418" customWidth="1"/>
    <col min="11011" max="11011" width="47.42578125" style="418" customWidth="1"/>
    <col min="11012" max="11012" width="14.85546875" style="418" customWidth="1"/>
    <col min="11013" max="11013" width="14" style="418" customWidth="1"/>
    <col min="11014" max="11014" width="14.140625" style="418" customWidth="1"/>
    <col min="11015" max="11015" width="14.7109375" style="418" customWidth="1"/>
    <col min="11016" max="11264" width="9.140625" style="418"/>
    <col min="11265" max="11265" width="4.42578125" style="418" customWidth="1"/>
    <col min="11266" max="11266" width="7.5703125" style="418" customWidth="1"/>
    <col min="11267" max="11267" width="47.42578125" style="418" customWidth="1"/>
    <col min="11268" max="11268" width="14.85546875" style="418" customWidth="1"/>
    <col min="11269" max="11269" width="14" style="418" customWidth="1"/>
    <col min="11270" max="11270" width="14.140625" style="418" customWidth="1"/>
    <col min="11271" max="11271" width="14.7109375" style="418" customWidth="1"/>
    <col min="11272" max="11520" width="9.140625" style="418"/>
    <col min="11521" max="11521" width="4.42578125" style="418" customWidth="1"/>
    <col min="11522" max="11522" width="7.5703125" style="418" customWidth="1"/>
    <col min="11523" max="11523" width="47.42578125" style="418" customWidth="1"/>
    <col min="11524" max="11524" width="14.85546875" style="418" customWidth="1"/>
    <col min="11525" max="11525" width="14" style="418" customWidth="1"/>
    <col min="11526" max="11526" width="14.140625" style="418" customWidth="1"/>
    <col min="11527" max="11527" width="14.7109375" style="418" customWidth="1"/>
    <col min="11528" max="11776" width="9.140625" style="418"/>
    <col min="11777" max="11777" width="4.42578125" style="418" customWidth="1"/>
    <col min="11778" max="11778" width="7.5703125" style="418" customWidth="1"/>
    <col min="11779" max="11779" width="47.42578125" style="418" customWidth="1"/>
    <col min="11780" max="11780" width="14.85546875" style="418" customWidth="1"/>
    <col min="11781" max="11781" width="14" style="418" customWidth="1"/>
    <col min="11782" max="11782" width="14.140625" style="418" customWidth="1"/>
    <col min="11783" max="11783" width="14.7109375" style="418" customWidth="1"/>
    <col min="11784" max="12032" width="9.140625" style="418"/>
    <col min="12033" max="12033" width="4.42578125" style="418" customWidth="1"/>
    <col min="12034" max="12034" width="7.5703125" style="418" customWidth="1"/>
    <col min="12035" max="12035" width="47.42578125" style="418" customWidth="1"/>
    <col min="12036" max="12036" width="14.85546875" style="418" customWidth="1"/>
    <col min="12037" max="12037" width="14" style="418" customWidth="1"/>
    <col min="12038" max="12038" width="14.140625" style="418" customWidth="1"/>
    <col min="12039" max="12039" width="14.7109375" style="418" customWidth="1"/>
    <col min="12040" max="12288" width="9.140625" style="418"/>
    <col min="12289" max="12289" width="4.42578125" style="418" customWidth="1"/>
    <col min="12290" max="12290" width="7.5703125" style="418" customWidth="1"/>
    <col min="12291" max="12291" width="47.42578125" style="418" customWidth="1"/>
    <col min="12292" max="12292" width="14.85546875" style="418" customWidth="1"/>
    <col min="12293" max="12293" width="14" style="418" customWidth="1"/>
    <col min="12294" max="12294" width="14.140625" style="418" customWidth="1"/>
    <col min="12295" max="12295" width="14.7109375" style="418" customWidth="1"/>
    <col min="12296" max="12544" width="9.140625" style="418"/>
    <col min="12545" max="12545" width="4.42578125" style="418" customWidth="1"/>
    <col min="12546" max="12546" width="7.5703125" style="418" customWidth="1"/>
    <col min="12547" max="12547" width="47.42578125" style="418" customWidth="1"/>
    <col min="12548" max="12548" width="14.85546875" style="418" customWidth="1"/>
    <col min="12549" max="12549" width="14" style="418" customWidth="1"/>
    <col min="12550" max="12550" width="14.140625" style="418" customWidth="1"/>
    <col min="12551" max="12551" width="14.7109375" style="418" customWidth="1"/>
    <col min="12552" max="12800" width="9.140625" style="418"/>
    <col min="12801" max="12801" width="4.42578125" style="418" customWidth="1"/>
    <col min="12802" max="12802" width="7.5703125" style="418" customWidth="1"/>
    <col min="12803" max="12803" width="47.42578125" style="418" customWidth="1"/>
    <col min="12804" max="12804" width="14.85546875" style="418" customWidth="1"/>
    <col min="12805" max="12805" width="14" style="418" customWidth="1"/>
    <col min="12806" max="12806" width="14.140625" style="418" customWidth="1"/>
    <col min="12807" max="12807" width="14.7109375" style="418" customWidth="1"/>
    <col min="12808" max="13056" width="9.140625" style="418"/>
    <col min="13057" max="13057" width="4.42578125" style="418" customWidth="1"/>
    <col min="13058" max="13058" width="7.5703125" style="418" customWidth="1"/>
    <col min="13059" max="13059" width="47.42578125" style="418" customWidth="1"/>
    <col min="13060" max="13060" width="14.85546875" style="418" customWidth="1"/>
    <col min="13061" max="13061" width="14" style="418" customWidth="1"/>
    <col min="13062" max="13062" width="14.140625" style="418" customWidth="1"/>
    <col min="13063" max="13063" width="14.7109375" style="418" customWidth="1"/>
    <col min="13064" max="13312" width="9.140625" style="418"/>
    <col min="13313" max="13313" width="4.42578125" style="418" customWidth="1"/>
    <col min="13314" max="13314" width="7.5703125" style="418" customWidth="1"/>
    <col min="13315" max="13315" width="47.42578125" style="418" customWidth="1"/>
    <col min="13316" max="13316" width="14.85546875" style="418" customWidth="1"/>
    <col min="13317" max="13317" width="14" style="418" customWidth="1"/>
    <col min="13318" max="13318" width="14.140625" style="418" customWidth="1"/>
    <col min="13319" max="13319" width="14.7109375" style="418" customWidth="1"/>
    <col min="13320" max="13568" width="9.140625" style="418"/>
    <col min="13569" max="13569" width="4.42578125" style="418" customWidth="1"/>
    <col min="13570" max="13570" width="7.5703125" style="418" customWidth="1"/>
    <col min="13571" max="13571" width="47.42578125" style="418" customWidth="1"/>
    <col min="13572" max="13572" width="14.85546875" style="418" customWidth="1"/>
    <col min="13573" max="13573" width="14" style="418" customWidth="1"/>
    <col min="13574" max="13574" width="14.140625" style="418" customWidth="1"/>
    <col min="13575" max="13575" width="14.7109375" style="418" customWidth="1"/>
    <col min="13576" max="13824" width="9.140625" style="418"/>
    <col min="13825" max="13825" width="4.42578125" style="418" customWidth="1"/>
    <col min="13826" max="13826" width="7.5703125" style="418" customWidth="1"/>
    <col min="13827" max="13827" width="47.42578125" style="418" customWidth="1"/>
    <col min="13828" max="13828" width="14.85546875" style="418" customWidth="1"/>
    <col min="13829" max="13829" width="14" style="418" customWidth="1"/>
    <col min="13830" max="13830" width="14.140625" style="418" customWidth="1"/>
    <col min="13831" max="13831" width="14.7109375" style="418" customWidth="1"/>
    <col min="13832" max="14080" width="9.140625" style="418"/>
    <col min="14081" max="14081" width="4.42578125" style="418" customWidth="1"/>
    <col min="14082" max="14082" width="7.5703125" style="418" customWidth="1"/>
    <col min="14083" max="14083" width="47.42578125" style="418" customWidth="1"/>
    <col min="14084" max="14084" width="14.85546875" style="418" customWidth="1"/>
    <col min="14085" max="14085" width="14" style="418" customWidth="1"/>
    <col min="14086" max="14086" width="14.140625" style="418" customWidth="1"/>
    <col min="14087" max="14087" width="14.7109375" style="418" customWidth="1"/>
    <col min="14088" max="14336" width="9.140625" style="418"/>
    <col min="14337" max="14337" width="4.42578125" style="418" customWidth="1"/>
    <col min="14338" max="14338" width="7.5703125" style="418" customWidth="1"/>
    <col min="14339" max="14339" width="47.42578125" style="418" customWidth="1"/>
    <col min="14340" max="14340" width="14.85546875" style="418" customWidth="1"/>
    <col min="14341" max="14341" width="14" style="418" customWidth="1"/>
    <col min="14342" max="14342" width="14.140625" style="418" customWidth="1"/>
    <col min="14343" max="14343" width="14.7109375" style="418" customWidth="1"/>
    <col min="14344" max="14592" width="9.140625" style="418"/>
    <col min="14593" max="14593" width="4.42578125" style="418" customWidth="1"/>
    <col min="14594" max="14594" width="7.5703125" style="418" customWidth="1"/>
    <col min="14595" max="14595" width="47.42578125" style="418" customWidth="1"/>
    <col min="14596" max="14596" width="14.85546875" style="418" customWidth="1"/>
    <col min="14597" max="14597" width="14" style="418" customWidth="1"/>
    <col min="14598" max="14598" width="14.140625" style="418" customWidth="1"/>
    <col min="14599" max="14599" width="14.7109375" style="418" customWidth="1"/>
    <col min="14600" max="14848" width="9.140625" style="418"/>
    <col min="14849" max="14849" width="4.42578125" style="418" customWidth="1"/>
    <col min="14850" max="14850" width="7.5703125" style="418" customWidth="1"/>
    <col min="14851" max="14851" width="47.42578125" style="418" customWidth="1"/>
    <col min="14852" max="14852" width="14.85546875" style="418" customWidth="1"/>
    <col min="14853" max="14853" width="14" style="418" customWidth="1"/>
    <col min="14854" max="14854" width="14.140625" style="418" customWidth="1"/>
    <col min="14855" max="14855" width="14.7109375" style="418" customWidth="1"/>
    <col min="14856" max="15104" width="9.140625" style="418"/>
    <col min="15105" max="15105" width="4.42578125" style="418" customWidth="1"/>
    <col min="15106" max="15106" width="7.5703125" style="418" customWidth="1"/>
    <col min="15107" max="15107" width="47.42578125" style="418" customWidth="1"/>
    <col min="15108" max="15108" width="14.85546875" style="418" customWidth="1"/>
    <col min="15109" max="15109" width="14" style="418" customWidth="1"/>
    <col min="15110" max="15110" width="14.140625" style="418" customWidth="1"/>
    <col min="15111" max="15111" width="14.7109375" style="418" customWidth="1"/>
    <col min="15112" max="15360" width="9.140625" style="418"/>
    <col min="15361" max="15361" width="4.42578125" style="418" customWidth="1"/>
    <col min="15362" max="15362" width="7.5703125" style="418" customWidth="1"/>
    <col min="15363" max="15363" width="47.42578125" style="418" customWidth="1"/>
    <col min="15364" max="15364" width="14.85546875" style="418" customWidth="1"/>
    <col min="15365" max="15365" width="14" style="418" customWidth="1"/>
    <col min="15366" max="15366" width="14.140625" style="418" customWidth="1"/>
    <col min="15367" max="15367" width="14.7109375" style="418" customWidth="1"/>
    <col min="15368" max="15616" width="9.140625" style="418"/>
    <col min="15617" max="15617" width="4.42578125" style="418" customWidth="1"/>
    <col min="15618" max="15618" width="7.5703125" style="418" customWidth="1"/>
    <col min="15619" max="15619" width="47.42578125" style="418" customWidth="1"/>
    <col min="15620" max="15620" width="14.85546875" style="418" customWidth="1"/>
    <col min="15621" max="15621" width="14" style="418" customWidth="1"/>
    <col min="15622" max="15622" width="14.140625" style="418" customWidth="1"/>
    <col min="15623" max="15623" width="14.7109375" style="418" customWidth="1"/>
    <col min="15624" max="15872" width="9.140625" style="418"/>
    <col min="15873" max="15873" width="4.42578125" style="418" customWidth="1"/>
    <col min="15874" max="15874" width="7.5703125" style="418" customWidth="1"/>
    <col min="15875" max="15875" width="47.42578125" style="418" customWidth="1"/>
    <col min="15876" max="15876" width="14.85546875" style="418" customWidth="1"/>
    <col min="15877" max="15877" width="14" style="418" customWidth="1"/>
    <col min="15878" max="15878" width="14.140625" style="418" customWidth="1"/>
    <col min="15879" max="15879" width="14.7109375" style="418" customWidth="1"/>
    <col min="15880" max="16128" width="9.140625" style="418"/>
    <col min="16129" max="16129" width="4.42578125" style="418" customWidth="1"/>
    <col min="16130" max="16130" width="7.5703125" style="418" customWidth="1"/>
    <col min="16131" max="16131" width="47.42578125" style="418" customWidth="1"/>
    <col min="16132" max="16132" width="14.85546875" style="418" customWidth="1"/>
    <col min="16133" max="16133" width="14" style="418" customWidth="1"/>
    <col min="16134" max="16134" width="14.140625" style="418" customWidth="1"/>
    <col min="16135" max="16135" width="14.7109375" style="418" customWidth="1"/>
    <col min="16136" max="16384" width="9.140625" style="418"/>
  </cols>
  <sheetData>
    <row r="1" spans="1:7" x14ac:dyDescent="0.25">
      <c r="F1" s="3" t="s">
        <v>396</v>
      </c>
    </row>
    <row r="2" spans="1:7" x14ac:dyDescent="0.25">
      <c r="F2" s="3" t="s">
        <v>187</v>
      </c>
    </row>
    <row r="3" spans="1:7" x14ac:dyDescent="0.25">
      <c r="F3" s="3" t="s">
        <v>1</v>
      </c>
    </row>
    <row r="4" spans="1:7" x14ac:dyDescent="0.25">
      <c r="F4" s="3" t="s">
        <v>188</v>
      </c>
    </row>
    <row r="6" spans="1:7" s="359" customFormat="1" ht="12.75" x14ac:dyDescent="0.2">
      <c r="A6" s="358" t="s">
        <v>397</v>
      </c>
      <c r="B6" s="358"/>
      <c r="C6" s="358"/>
      <c r="D6" s="358"/>
      <c r="E6" s="358"/>
      <c r="F6" s="358"/>
      <c r="G6" s="358"/>
    </row>
    <row r="7" spans="1:7" s="359" customFormat="1" ht="12.75" x14ac:dyDescent="0.2">
      <c r="A7" s="358" t="s">
        <v>398</v>
      </c>
      <c r="B7" s="358"/>
      <c r="C7" s="358"/>
      <c r="D7" s="358"/>
      <c r="E7" s="358"/>
      <c r="F7" s="358"/>
      <c r="G7" s="358"/>
    </row>
    <row r="8" spans="1:7" x14ac:dyDescent="0.25">
      <c r="A8" s="360" t="s">
        <v>399</v>
      </c>
      <c r="B8" s="360"/>
      <c r="C8" s="360"/>
      <c r="D8" s="360"/>
      <c r="E8" s="360"/>
      <c r="F8" s="360"/>
      <c r="G8" s="360"/>
    </row>
    <row r="9" spans="1:7" x14ac:dyDescent="0.25">
      <c r="A9" s="475"/>
      <c r="B9" s="475"/>
      <c r="C9" s="475"/>
      <c r="D9" s="475"/>
      <c r="E9" s="475"/>
      <c r="F9" s="475"/>
      <c r="G9" s="361" t="s">
        <v>3</v>
      </c>
    </row>
    <row r="10" spans="1:7" ht="15" customHeight="1" x14ac:dyDescent="0.25">
      <c r="A10" s="362"/>
      <c r="B10" s="362"/>
      <c r="C10" s="362"/>
      <c r="D10" s="363" t="s">
        <v>400</v>
      </c>
      <c r="E10" s="364"/>
      <c r="F10" s="365"/>
      <c r="G10" s="363" t="s">
        <v>400</v>
      </c>
    </row>
    <row r="11" spans="1:7" x14ac:dyDescent="0.25">
      <c r="A11" s="366"/>
      <c r="B11" s="366" t="s">
        <v>5</v>
      </c>
      <c r="C11" s="366"/>
      <c r="D11" s="367" t="s">
        <v>401</v>
      </c>
      <c r="E11" s="367"/>
      <c r="F11" s="367"/>
      <c r="G11" s="367" t="s">
        <v>402</v>
      </c>
    </row>
    <row r="12" spans="1:7" x14ac:dyDescent="0.25">
      <c r="A12" s="366" t="s">
        <v>234</v>
      </c>
      <c r="B12" s="368"/>
      <c r="C12" s="366" t="s">
        <v>403</v>
      </c>
      <c r="D12" s="367" t="s">
        <v>404</v>
      </c>
      <c r="E12" s="367" t="s">
        <v>405</v>
      </c>
      <c r="F12" s="367" t="s">
        <v>406</v>
      </c>
      <c r="G12" s="367" t="s">
        <v>407</v>
      </c>
    </row>
    <row r="13" spans="1:7" x14ac:dyDescent="0.25">
      <c r="A13" s="368"/>
      <c r="B13" s="368" t="s">
        <v>6</v>
      </c>
      <c r="C13" s="368"/>
      <c r="D13" s="369" t="s">
        <v>408</v>
      </c>
      <c r="E13" s="369"/>
      <c r="F13" s="369"/>
      <c r="G13" s="369" t="s">
        <v>408</v>
      </c>
    </row>
    <row r="14" spans="1:7" x14ac:dyDescent="0.25">
      <c r="A14" s="370">
        <v>1</v>
      </c>
      <c r="B14" s="370">
        <v>2</v>
      </c>
      <c r="C14" s="370">
        <v>3</v>
      </c>
      <c r="D14" s="370">
        <v>4</v>
      </c>
      <c r="E14" s="370">
        <v>5</v>
      </c>
      <c r="F14" s="370">
        <v>6</v>
      </c>
      <c r="G14" s="370">
        <v>7</v>
      </c>
    </row>
    <row r="15" spans="1:7" s="475" customFormat="1" ht="12" customHeight="1" x14ac:dyDescent="0.25">
      <c r="A15" s="371"/>
      <c r="B15" s="372">
        <v>801</v>
      </c>
      <c r="C15" s="476"/>
      <c r="D15" s="477"/>
      <c r="E15" s="477"/>
      <c r="F15" s="477"/>
      <c r="G15" s="477"/>
    </row>
    <row r="16" spans="1:7" x14ac:dyDescent="0.25">
      <c r="A16" s="373" t="s">
        <v>409</v>
      </c>
      <c r="B16" s="478">
        <v>80101</v>
      </c>
      <c r="C16" s="374" t="s">
        <v>84</v>
      </c>
      <c r="D16" s="479">
        <v>170.99</v>
      </c>
      <c r="E16" s="479">
        <v>823627.21</v>
      </c>
      <c r="F16" s="479">
        <v>823798.2</v>
      </c>
      <c r="G16" s="479">
        <v>0</v>
      </c>
    </row>
    <row r="17" spans="1:7" x14ac:dyDescent="0.25">
      <c r="A17" s="373" t="s">
        <v>410</v>
      </c>
      <c r="B17" s="478">
        <v>80102</v>
      </c>
      <c r="C17" s="375" t="s">
        <v>88</v>
      </c>
      <c r="D17" s="480">
        <v>0</v>
      </c>
      <c r="E17" s="480">
        <v>4490</v>
      </c>
      <c r="F17" s="480">
        <v>4490</v>
      </c>
      <c r="G17" s="480">
        <v>0</v>
      </c>
    </row>
    <row r="18" spans="1:7" x14ac:dyDescent="0.25">
      <c r="A18" s="373" t="s">
        <v>411</v>
      </c>
      <c r="B18" s="478">
        <v>80104</v>
      </c>
      <c r="C18" s="375" t="s">
        <v>90</v>
      </c>
      <c r="D18" s="480">
        <v>5123.59</v>
      </c>
      <c r="E18" s="480">
        <v>3007313.59</v>
      </c>
      <c r="F18" s="480">
        <v>3012437.18</v>
      </c>
      <c r="G18" s="480">
        <v>0</v>
      </c>
    </row>
    <row r="19" spans="1:7" x14ac:dyDescent="0.25">
      <c r="A19" s="373" t="s">
        <v>412</v>
      </c>
      <c r="B19" s="478">
        <v>80115</v>
      </c>
      <c r="C19" s="375" t="s">
        <v>98</v>
      </c>
      <c r="D19" s="480">
        <v>3153.5</v>
      </c>
      <c r="E19" s="480">
        <v>1143508</v>
      </c>
      <c r="F19" s="480">
        <v>1146661.5</v>
      </c>
      <c r="G19" s="480">
        <v>0</v>
      </c>
    </row>
    <row r="20" spans="1:7" x14ac:dyDescent="0.25">
      <c r="A20" s="373" t="s">
        <v>413</v>
      </c>
      <c r="B20" s="478">
        <v>80120</v>
      </c>
      <c r="C20" s="375" t="s">
        <v>103</v>
      </c>
      <c r="D20" s="481">
        <v>68.55</v>
      </c>
      <c r="E20" s="480">
        <v>243036.99</v>
      </c>
      <c r="F20" s="480">
        <v>243105.54</v>
      </c>
      <c r="G20" s="480">
        <v>0</v>
      </c>
    </row>
    <row r="21" spans="1:7" x14ac:dyDescent="0.25">
      <c r="A21" s="373" t="s">
        <v>414</v>
      </c>
      <c r="B21" s="478">
        <v>80132</v>
      </c>
      <c r="C21" s="375" t="s">
        <v>415</v>
      </c>
      <c r="D21" s="480">
        <v>2.87</v>
      </c>
      <c r="E21" s="480">
        <v>40992</v>
      </c>
      <c r="F21" s="480">
        <v>40994.870000000003</v>
      </c>
      <c r="G21" s="482">
        <v>0</v>
      </c>
    </row>
    <row r="22" spans="1:7" x14ac:dyDescent="0.25">
      <c r="A22" s="373" t="s">
        <v>416</v>
      </c>
      <c r="B22" s="478">
        <v>80134</v>
      </c>
      <c r="C22" s="375" t="s">
        <v>107</v>
      </c>
      <c r="D22" s="480">
        <v>0</v>
      </c>
      <c r="E22" s="480">
        <v>1300</v>
      </c>
      <c r="F22" s="480">
        <v>1300</v>
      </c>
      <c r="G22" s="480">
        <v>0</v>
      </c>
    </row>
    <row r="23" spans="1:7" ht="25.5" x14ac:dyDescent="0.25">
      <c r="A23" s="376" t="s">
        <v>417</v>
      </c>
      <c r="B23" s="483">
        <v>80140</v>
      </c>
      <c r="C23" s="377" t="s">
        <v>418</v>
      </c>
      <c r="D23" s="480">
        <v>0</v>
      </c>
      <c r="E23" s="480">
        <v>101038</v>
      </c>
      <c r="F23" s="480">
        <v>101038</v>
      </c>
      <c r="G23" s="480">
        <v>0</v>
      </c>
    </row>
    <row r="24" spans="1:7" x14ac:dyDescent="0.25">
      <c r="A24" s="376" t="s">
        <v>419</v>
      </c>
      <c r="B24" s="483">
        <v>80142</v>
      </c>
      <c r="C24" s="377" t="s">
        <v>420</v>
      </c>
      <c r="D24" s="480">
        <v>0</v>
      </c>
      <c r="E24" s="480">
        <v>281040</v>
      </c>
      <c r="F24" s="480">
        <v>281040</v>
      </c>
      <c r="G24" s="480">
        <v>0</v>
      </c>
    </row>
    <row r="25" spans="1:7" x14ac:dyDescent="0.25">
      <c r="A25" s="376" t="s">
        <v>421</v>
      </c>
      <c r="B25" s="483">
        <v>80144</v>
      </c>
      <c r="C25" s="377" t="s">
        <v>422</v>
      </c>
      <c r="D25" s="480">
        <v>0</v>
      </c>
      <c r="E25" s="480">
        <v>63532</v>
      </c>
      <c r="F25" s="480">
        <v>63532</v>
      </c>
      <c r="G25" s="480">
        <v>0</v>
      </c>
    </row>
    <row r="26" spans="1:7" x14ac:dyDescent="0.25">
      <c r="A26" s="378" t="s">
        <v>423</v>
      </c>
      <c r="B26" s="484">
        <v>80148</v>
      </c>
      <c r="C26" s="375" t="s">
        <v>110</v>
      </c>
      <c r="D26" s="485">
        <v>304.12</v>
      </c>
      <c r="E26" s="485">
        <v>2773291</v>
      </c>
      <c r="F26" s="485">
        <v>2773595.12</v>
      </c>
      <c r="G26" s="485">
        <v>0</v>
      </c>
    </row>
    <row r="27" spans="1:7" ht="12.75" customHeight="1" x14ac:dyDescent="0.25">
      <c r="A27" s="486"/>
      <c r="B27" s="379">
        <v>854</v>
      </c>
      <c r="C27" s="380"/>
      <c r="D27" s="487"/>
      <c r="E27" s="487"/>
      <c r="F27" s="487"/>
      <c r="G27" s="487"/>
    </row>
    <row r="28" spans="1:7" x14ac:dyDescent="0.25">
      <c r="A28" s="373" t="s">
        <v>409</v>
      </c>
      <c r="B28" s="478">
        <v>85410</v>
      </c>
      <c r="C28" s="375" t="s">
        <v>294</v>
      </c>
      <c r="D28" s="480">
        <v>20.57</v>
      </c>
      <c r="E28" s="480">
        <v>491700</v>
      </c>
      <c r="F28" s="480">
        <v>491720.57</v>
      </c>
      <c r="G28" s="480">
        <v>0</v>
      </c>
    </row>
    <row r="29" spans="1:7" x14ac:dyDescent="0.25">
      <c r="A29" s="373" t="s">
        <v>410</v>
      </c>
      <c r="B29" s="478">
        <v>85412</v>
      </c>
      <c r="C29" s="375" t="s">
        <v>154</v>
      </c>
      <c r="D29" s="480"/>
      <c r="E29" s="480"/>
      <c r="F29" s="480"/>
      <c r="G29" s="480"/>
    </row>
    <row r="30" spans="1:7" x14ac:dyDescent="0.25">
      <c r="A30" s="373"/>
      <c r="B30" s="478"/>
      <c r="C30" s="375" t="s">
        <v>424</v>
      </c>
      <c r="D30" s="480">
        <v>0</v>
      </c>
      <c r="E30" s="480">
        <v>9850</v>
      </c>
      <c r="F30" s="480">
        <v>9850</v>
      </c>
      <c r="G30" s="480">
        <v>0</v>
      </c>
    </row>
    <row r="31" spans="1:7" x14ac:dyDescent="0.25">
      <c r="A31" s="373" t="s">
        <v>411</v>
      </c>
      <c r="B31" s="478">
        <v>85417</v>
      </c>
      <c r="C31" s="381" t="s">
        <v>425</v>
      </c>
      <c r="D31" s="480">
        <v>0</v>
      </c>
      <c r="E31" s="480">
        <v>80400</v>
      </c>
      <c r="F31" s="480">
        <v>80400</v>
      </c>
      <c r="G31" s="480">
        <v>0</v>
      </c>
    </row>
    <row r="32" spans="1:7" x14ac:dyDescent="0.25">
      <c r="A32" s="382" t="s">
        <v>412</v>
      </c>
      <c r="B32" s="488">
        <v>85420</v>
      </c>
      <c r="C32" s="383" t="s">
        <v>426</v>
      </c>
      <c r="D32" s="489">
        <v>0</v>
      </c>
      <c r="E32" s="489">
        <v>19502</v>
      </c>
      <c r="F32" s="489">
        <v>19502</v>
      </c>
      <c r="G32" s="490">
        <v>0</v>
      </c>
    </row>
    <row r="33" spans="1:7" s="494" customFormat="1" ht="20.25" customHeight="1" x14ac:dyDescent="0.25">
      <c r="A33" s="491"/>
      <c r="B33" s="491"/>
      <c r="C33" s="492" t="s">
        <v>427</v>
      </c>
      <c r="D33" s="493">
        <f>SUM(D16:D32)</f>
        <v>8844.19</v>
      </c>
      <c r="E33" s="493">
        <f>SUM(E16:E32)</f>
        <v>9084620.7899999991</v>
      </c>
      <c r="F33" s="493">
        <f>SUM(F16:F32)</f>
        <v>9093464.9800000004</v>
      </c>
      <c r="G33" s="493">
        <f>SUM(G16:G32)</f>
        <v>0</v>
      </c>
    </row>
    <row r="35" spans="1:7" x14ac:dyDescent="0.25">
      <c r="A35" s="495"/>
      <c r="B35" s="495"/>
      <c r="C35" s="384"/>
    </row>
    <row r="36" spans="1:7" x14ac:dyDescent="0.25">
      <c r="A36" s="495"/>
      <c r="B36" s="495"/>
      <c r="C36" s="384"/>
    </row>
    <row r="37" spans="1:7" x14ac:dyDescent="0.25">
      <c r="A37" s="495"/>
      <c r="B37" s="495"/>
      <c r="C37" s="384"/>
    </row>
  </sheetData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F20B-56D0-47D0-8155-7E9F43722250}">
  <dimension ref="A1:BX80"/>
  <sheetViews>
    <sheetView zoomScale="130" zoomScaleNormal="130" workbookViewId="0"/>
  </sheetViews>
  <sheetFormatPr defaultRowHeight="15" x14ac:dyDescent="0.25"/>
  <cols>
    <col min="1" max="1" width="4.85546875" style="475" customWidth="1"/>
    <col min="2" max="2" width="33.42578125" style="475" customWidth="1"/>
    <col min="3" max="3" width="8.5703125" style="475" customWidth="1"/>
    <col min="4" max="4" width="9.42578125" style="475" customWidth="1"/>
    <col min="5" max="5" width="8.140625" style="475" customWidth="1"/>
    <col min="6" max="6" width="13" style="418" customWidth="1"/>
    <col min="7" max="7" width="12.85546875" style="418" customWidth="1"/>
    <col min="8" max="8" width="9.140625" style="418"/>
    <col min="9" max="9" width="12.42578125" style="418" customWidth="1"/>
    <col min="10" max="76" width="9.140625" style="418"/>
    <col min="77" max="253" width="9.140625" style="475"/>
    <col min="254" max="254" width="5.28515625" style="475" customWidth="1"/>
    <col min="255" max="255" width="8" style="475" customWidth="1"/>
    <col min="256" max="256" width="5.85546875" style="475" customWidth="1"/>
    <col min="257" max="257" width="9.42578125" style="475" customWidth="1"/>
    <col min="258" max="258" width="11.28515625" style="475" customWidth="1"/>
    <col min="259" max="259" width="11" style="475" customWidth="1"/>
    <col min="260" max="260" width="13.140625" style="475" customWidth="1"/>
    <col min="261" max="261" width="11.7109375" style="475" customWidth="1"/>
    <col min="262" max="262" width="11.140625" style="475" customWidth="1"/>
    <col min="263" max="263" width="11.7109375" style="475" customWidth="1"/>
    <col min="264" max="509" width="9.140625" style="475"/>
    <col min="510" max="510" width="5.28515625" style="475" customWidth="1"/>
    <col min="511" max="511" width="8" style="475" customWidth="1"/>
    <col min="512" max="512" width="5.85546875" style="475" customWidth="1"/>
    <col min="513" max="513" width="9.42578125" style="475" customWidth="1"/>
    <col min="514" max="514" width="11.28515625" style="475" customWidth="1"/>
    <col min="515" max="515" width="11" style="475" customWidth="1"/>
    <col min="516" max="516" width="13.140625" style="475" customWidth="1"/>
    <col min="517" max="517" width="11.7109375" style="475" customWidth="1"/>
    <col min="518" max="518" width="11.140625" style="475" customWidth="1"/>
    <col min="519" max="519" width="11.7109375" style="475" customWidth="1"/>
    <col min="520" max="765" width="9.140625" style="475"/>
    <col min="766" max="766" width="5.28515625" style="475" customWidth="1"/>
    <col min="767" max="767" width="8" style="475" customWidth="1"/>
    <col min="768" max="768" width="5.85546875" style="475" customWidth="1"/>
    <col min="769" max="769" width="9.42578125" style="475" customWidth="1"/>
    <col min="770" max="770" width="11.28515625" style="475" customWidth="1"/>
    <col min="771" max="771" width="11" style="475" customWidth="1"/>
    <col min="772" max="772" width="13.140625" style="475" customWidth="1"/>
    <col min="773" max="773" width="11.7109375" style="475" customWidth="1"/>
    <col min="774" max="774" width="11.140625" style="475" customWidth="1"/>
    <col min="775" max="775" width="11.7109375" style="475" customWidth="1"/>
    <col min="776" max="1021" width="9.140625" style="475"/>
    <col min="1022" max="1022" width="5.28515625" style="475" customWidth="1"/>
    <col min="1023" max="1023" width="8" style="475" customWidth="1"/>
    <col min="1024" max="1024" width="5.85546875" style="475" customWidth="1"/>
    <col min="1025" max="1025" width="9.42578125" style="475" customWidth="1"/>
    <col min="1026" max="1026" width="11.28515625" style="475" customWidth="1"/>
    <col min="1027" max="1027" width="11" style="475" customWidth="1"/>
    <col min="1028" max="1028" width="13.140625" style="475" customWidth="1"/>
    <col min="1029" max="1029" width="11.7109375" style="475" customWidth="1"/>
    <col min="1030" max="1030" width="11.140625" style="475" customWidth="1"/>
    <col min="1031" max="1031" width="11.7109375" style="475" customWidth="1"/>
    <col min="1032" max="1277" width="9.140625" style="475"/>
    <col min="1278" max="1278" width="5.28515625" style="475" customWidth="1"/>
    <col min="1279" max="1279" width="8" style="475" customWidth="1"/>
    <col min="1280" max="1280" width="5.85546875" style="475" customWidth="1"/>
    <col min="1281" max="1281" width="9.42578125" style="475" customWidth="1"/>
    <col min="1282" max="1282" width="11.28515625" style="475" customWidth="1"/>
    <col min="1283" max="1283" width="11" style="475" customWidth="1"/>
    <col min="1284" max="1284" width="13.140625" style="475" customWidth="1"/>
    <col min="1285" max="1285" width="11.7109375" style="475" customWidth="1"/>
    <col min="1286" max="1286" width="11.140625" style="475" customWidth="1"/>
    <col min="1287" max="1287" width="11.7109375" style="475" customWidth="1"/>
    <col min="1288" max="1533" width="9.140625" style="475"/>
    <col min="1534" max="1534" width="5.28515625" style="475" customWidth="1"/>
    <col min="1535" max="1535" width="8" style="475" customWidth="1"/>
    <col min="1536" max="1536" width="5.85546875" style="475" customWidth="1"/>
    <col min="1537" max="1537" width="9.42578125" style="475" customWidth="1"/>
    <col min="1538" max="1538" width="11.28515625" style="475" customWidth="1"/>
    <col min="1539" max="1539" width="11" style="475" customWidth="1"/>
    <col min="1540" max="1540" width="13.140625" style="475" customWidth="1"/>
    <col min="1541" max="1541" width="11.7109375" style="475" customWidth="1"/>
    <col min="1542" max="1542" width="11.140625" style="475" customWidth="1"/>
    <col min="1543" max="1543" width="11.7109375" style="475" customWidth="1"/>
    <col min="1544" max="1789" width="9.140625" style="475"/>
    <col min="1790" max="1790" width="5.28515625" style="475" customWidth="1"/>
    <col min="1791" max="1791" width="8" style="475" customWidth="1"/>
    <col min="1792" max="1792" width="5.85546875" style="475" customWidth="1"/>
    <col min="1793" max="1793" width="9.42578125" style="475" customWidth="1"/>
    <col min="1794" max="1794" width="11.28515625" style="475" customWidth="1"/>
    <col min="1795" max="1795" width="11" style="475" customWidth="1"/>
    <col min="1796" max="1796" width="13.140625" style="475" customWidth="1"/>
    <col min="1797" max="1797" width="11.7109375" style="475" customWidth="1"/>
    <col min="1798" max="1798" width="11.140625" style="475" customWidth="1"/>
    <col min="1799" max="1799" width="11.7109375" style="475" customWidth="1"/>
    <col min="1800" max="2045" width="9.140625" style="475"/>
    <col min="2046" max="2046" width="5.28515625" style="475" customWidth="1"/>
    <col min="2047" max="2047" width="8" style="475" customWidth="1"/>
    <col min="2048" max="2048" width="5.85546875" style="475" customWidth="1"/>
    <col min="2049" max="2049" width="9.42578125" style="475" customWidth="1"/>
    <col min="2050" max="2050" width="11.28515625" style="475" customWidth="1"/>
    <col min="2051" max="2051" width="11" style="475" customWidth="1"/>
    <col min="2052" max="2052" width="13.140625" style="475" customWidth="1"/>
    <col min="2053" max="2053" width="11.7109375" style="475" customWidth="1"/>
    <col min="2054" max="2054" width="11.140625" style="475" customWidth="1"/>
    <col min="2055" max="2055" width="11.7109375" style="475" customWidth="1"/>
    <col min="2056" max="2301" width="9.140625" style="475"/>
    <col min="2302" max="2302" width="5.28515625" style="475" customWidth="1"/>
    <col min="2303" max="2303" width="8" style="475" customWidth="1"/>
    <col min="2304" max="2304" width="5.85546875" style="475" customWidth="1"/>
    <col min="2305" max="2305" width="9.42578125" style="475" customWidth="1"/>
    <col min="2306" max="2306" width="11.28515625" style="475" customWidth="1"/>
    <col min="2307" max="2307" width="11" style="475" customWidth="1"/>
    <col min="2308" max="2308" width="13.140625" style="475" customWidth="1"/>
    <col min="2309" max="2309" width="11.7109375" style="475" customWidth="1"/>
    <col min="2310" max="2310" width="11.140625" style="475" customWidth="1"/>
    <col min="2311" max="2311" width="11.7109375" style="475" customWidth="1"/>
    <col min="2312" max="2557" width="9.140625" style="475"/>
    <col min="2558" max="2558" width="5.28515625" style="475" customWidth="1"/>
    <col min="2559" max="2559" width="8" style="475" customWidth="1"/>
    <col min="2560" max="2560" width="5.85546875" style="475" customWidth="1"/>
    <col min="2561" max="2561" width="9.42578125" style="475" customWidth="1"/>
    <col min="2562" max="2562" width="11.28515625" style="475" customWidth="1"/>
    <col min="2563" max="2563" width="11" style="475" customWidth="1"/>
    <col min="2564" max="2564" width="13.140625" style="475" customWidth="1"/>
    <col min="2565" max="2565" width="11.7109375" style="475" customWidth="1"/>
    <col min="2566" max="2566" width="11.140625" style="475" customWidth="1"/>
    <col min="2567" max="2567" width="11.7109375" style="475" customWidth="1"/>
    <col min="2568" max="2813" width="9.140625" style="475"/>
    <col min="2814" max="2814" width="5.28515625" style="475" customWidth="1"/>
    <col min="2815" max="2815" width="8" style="475" customWidth="1"/>
    <col min="2816" max="2816" width="5.85546875" style="475" customWidth="1"/>
    <col min="2817" max="2817" width="9.42578125" style="475" customWidth="1"/>
    <col min="2818" max="2818" width="11.28515625" style="475" customWidth="1"/>
    <col min="2819" max="2819" width="11" style="475" customWidth="1"/>
    <col min="2820" max="2820" width="13.140625" style="475" customWidth="1"/>
    <col min="2821" max="2821" width="11.7109375" style="475" customWidth="1"/>
    <col min="2822" max="2822" width="11.140625" style="475" customWidth="1"/>
    <col min="2823" max="2823" width="11.7109375" style="475" customWidth="1"/>
    <col min="2824" max="3069" width="9.140625" style="475"/>
    <col min="3070" max="3070" width="5.28515625" style="475" customWidth="1"/>
    <col min="3071" max="3071" width="8" style="475" customWidth="1"/>
    <col min="3072" max="3072" width="5.85546875" style="475" customWidth="1"/>
    <col min="3073" max="3073" width="9.42578125" style="475" customWidth="1"/>
    <col min="3074" max="3074" width="11.28515625" style="475" customWidth="1"/>
    <col min="3075" max="3075" width="11" style="475" customWidth="1"/>
    <col min="3076" max="3076" width="13.140625" style="475" customWidth="1"/>
    <col min="3077" max="3077" width="11.7109375" style="475" customWidth="1"/>
    <col min="3078" max="3078" width="11.140625" style="475" customWidth="1"/>
    <col min="3079" max="3079" width="11.7109375" style="475" customWidth="1"/>
    <col min="3080" max="3325" width="9.140625" style="475"/>
    <col min="3326" max="3326" width="5.28515625" style="475" customWidth="1"/>
    <col min="3327" max="3327" width="8" style="475" customWidth="1"/>
    <col min="3328" max="3328" width="5.85546875" style="475" customWidth="1"/>
    <col min="3329" max="3329" width="9.42578125" style="475" customWidth="1"/>
    <col min="3330" max="3330" width="11.28515625" style="475" customWidth="1"/>
    <col min="3331" max="3331" width="11" style="475" customWidth="1"/>
    <col min="3332" max="3332" width="13.140625" style="475" customWidth="1"/>
    <col min="3333" max="3333" width="11.7109375" style="475" customWidth="1"/>
    <col min="3334" max="3334" width="11.140625" style="475" customWidth="1"/>
    <col min="3335" max="3335" width="11.7109375" style="475" customWidth="1"/>
    <col min="3336" max="3581" width="9.140625" style="475"/>
    <col min="3582" max="3582" width="5.28515625" style="475" customWidth="1"/>
    <col min="3583" max="3583" width="8" style="475" customWidth="1"/>
    <col min="3584" max="3584" width="5.85546875" style="475" customWidth="1"/>
    <col min="3585" max="3585" width="9.42578125" style="475" customWidth="1"/>
    <col min="3586" max="3586" width="11.28515625" style="475" customWidth="1"/>
    <col min="3587" max="3587" width="11" style="475" customWidth="1"/>
    <col min="3588" max="3588" width="13.140625" style="475" customWidth="1"/>
    <col min="3589" max="3589" width="11.7109375" style="475" customWidth="1"/>
    <col min="3590" max="3590" width="11.140625" style="475" customWidth="1"/>
    <col min="3591" max="3591" width="11.7109375" style="475" customWidth="1"/>
    <col min="3592" max="3837" width="9.140625" style="475"/>
    <col min="3838" max="3838" width="5.28515625" style="475" customWidth="1"/>
    <col min="3839" max="3839" width="8" style="475" customWidth="1"/>
    <col min="3840" max="3840" width="5.85546875" style="475" customWidth="1"/>
    <col min="3841" max="3841" width="9.42578125" style="475" customWidth="1"/>
    <col min="3842" max="3842" width="11.28515625" style="475" customWidth="1"/>
    <col min="3843" max="3843" width="11" style="475" customWidth="1"/>
    <col min="3844" max="3844" width="13.140625" style="475" customWidth="1"/>
    <col min="3845" max="3845" width="11.7109375" style="475" customWidth="1"/>
    <col min="3846" max="3846" width="11.140625" style="475" customWidth="1"/>
    <col min="3847" max="3847" width="11.7109375" style="475" customWidth="1"/>
    <col min="3848" max="4093" width="9.140625" style="475"/>
    <col min="4094" max="4094" width="5.28515625" style="475" customWidth="1"/>
    <col min="4095" max="4095" width="8" style="475" customWidth="1"/>
    <col min="4096" max="4096" width="5.85546875" style="475" customWidth="1"/>
    <col min="4097" max="4097" width="9.42578125" style="475" customWidth="1"/>
    <col min="4098" max="4098" width="11.28515625" style="475" customWidth="1"/>
    <col min="4099" max="4099" width="11" style="475" customWidth="1"/>
    <col min="4100" max="4100" width="13.140625" style="475" customWidth="1"/>
    <col min="4101" max="4101" width="11.7109375" style="475" customWidth="1"/>
    <col min="4102" max="4102" width="11.140625" style="475" customWidth="1"/>
    <col min="4103" max="4103" width="11.7109375" style="475" customWidth="1"/>
    <col min="4104" max="4349" width="9.140625" style="475"/>
    <col min="4350" max="4350" width="5.28515625" style="475" customWidth="1"/>
    <col min="4351" max="4351" width="8" style="475" customWidth="1"/>
    <col min="4352" max="4352" width="5.85546875" style="475" customWidth="1"/>
    <col min="4353" max="4353" width="9.42578125" style="475" customWidth="1"/>
    <col min="4354" max="4354" width="11.28515625" style="475" customWidth="1"/>
    <col min="4355" max="4355" width="11" style="475" customWidth="1"/>
    <col min="4356" max="4356" width="13.140625" style="475" customWidth="1"/>
    <col min="4357" max="4357" width="11.7109375" style="475" customWidth="1"/>
    <col min="4358" max="4358" width="11.140625" style="475" customWidth="1"/>
    <col min="4359" max="4359" width="11.7109375" style="475" customWidth="1"/>
    <col min="4360" max="4605" width="9.140625" style="475"/>
    <col min="4606" max="4606" width="5.28515625" style="475" customWidth="1"/>
    <col min="4607" max="4607" width="8" style="475" customWidth="1"/>
    <col min="4608" max="4608" width="5.85546875" style="475" customWidth="1"/>
    <col min="4609" max="4609" width="9.42578125" style="475" customWidth="1"/>
    <col min="4610" max="4610" width="11.28515625" style="475" customWidth="1"/>
    <col min="4611" max="4611" width="11" style="475" customWidth="1"/>
    <col min="4612" max="4612" width="13.140625" style="475" customWidth="1"/>
    <col min="4613" max="4613" width="11.7109375" style="475" customWidth="1"/>
    <col min="4614" max="4614" width="11.140625" style="475" customWidth="1"/>
    <col min="4615" max="4615" width="11.7109375" style="475" customWidth="1"/>
    <col min="4616" max="4861" width="9.140625" style="475"/>
    <col min="4862" max="4862" width="5.28515625" style="475" customWidth="1"/>
    <col min="4863" max="4863" width="8" style="475" customWidth="1"/>
    <col min="4864" max="4864" width="5.85546875" style="475" customWidth="1"/>
    <col min="4865" max="4865" width="9.42578125" style="475" customWidth="1"/>
    <col min="4866" max="4866" width="11.28515625" style="475" customWidth="1"/>
    <col min="4867" max="4867" width="11" style="475" customWidth="1"/>
    <col min="4868" max="4868" width="13.140625" style="475" customWidth="1"/>
    <col min="4869" max="4869" width="11.7109375" style="475" customWidth="1"/>
    <col min="4870" max="4870" width="11.140625" style="475" customWidth="1"/>
    <col min="4871" max="4871" width="11.7109375" style="475" customWidth="1"/>
    <col min="4872" max="5117" width="9.140625" style="475"/>
    <col min="5118" max="5118" width="5.28515625" style="475" customWidth="1"/>
    <col min="5119" max="5119" width="8" style="475" customWidth="1"/>
    <col min="5120" max="5120" width="5.85546875" style="475" customWidth="1"/>
    <col min="5121" max="5121" width="9.42578125" style="475" customWidth="1"/>
    <col min="5122" max="5122" width="11.28515625" style="475" customWidth="1"/>
    <col min="5123" max="5123" width="11" style="475" customWidth="1"/>
    <col min="5124" max="5124" width="13.140625" style="475" customWidth="1"/>
    <col min="5125" max="5125" width="11.7109375" style="475" customWidth="1"/>
    <col min="5126" max="5126" width="11.140625" style="475" customWidth="1"/>
    <col min="5127" max="5127" width="11.7109375" style="475" customWidth="1"/>
    <col min="5128" max="5373" width="9.140625" style="475"/>
    <col min="5374" max="5374" width="5.28515625" style="475" customWidth="1"/>
    <col min="5375" max="5375" width="8" style="475" customWidth="1"/>
    <col min="5376" max="5376" width="5.85546875" style="475" customWidth="1"/>
    <col min="5377" max="5377" width="9.42578125" style="475" customWidth="1"/>
    <col min="5378" max="5378" width="11.28515625" style="475" customWidth="1"/>
    <col min="5379" max="5379" width="11" style="475" customWidth="1"/>
    <col min="5380" max="5380" width="13.140625" style="475" customWidth="1"/>
    <col min="5381" max="5381" width="11.7109375" style="475" customWidth="1"/>
    <col min="5382" max="5382" width="11.140625" style="475" customWidth="1"/>
    <col min="5383" max="5383" width="11.7109375" style="475" customWidth="1"/>
    <col min="5384" max="5629" width="9.140625" style="475"/>
    <col min="5630" max="5630" width="5.28515625" style="475" customWidth="1"/>
    <col min="5631" max="5631" width="8" style="475" customWidth="1"/>
    <col min="5632" max="5632" width="5.85546875" style="475" customWidth="1"/>
    <col min="5633" max="5633" width="9.42578125" style="475" customWidth="1"/>
    <col min="5634" max="5634" width="11.28515625" style="475" customWidth="1"/>
    <col min="5635" max="5635" width="11" style="475" customWidth="1"/>
    <col min="5636" max="5636" width="13.140625" style="475" customWidth="1"/>
    <col min="5637" max="5637" width="11.7109375" style="475" customWidth="1"/>
    <col min="5638" max="5638" width="11.140625" style="475" customWidth="1"/>
    <col min="5639" max="5639" width="11.7109375" style="475" customWidth="1"/>
    <col min="5640" max="5885" width="9.140625" style="475"/>
    <col min="5886" max="5886" width="5.28515625" style="475" customWidth="1"/>
    <col min="5887" max="5887" width="8" style="475" customWidth="1"/>
    <col min="5888" max="5888" width="5.85546875" style="475" customWidth="1"/>
    <col min="5889" max="5889" width="9.42578125" style="475" customWidth="1"/>
    <col min="5890" max="5890" width="11.28515625" style="475" customWidth="1"/>
    <col min="5891" max="5891" width="11" style="475" customWidth="1"/>
    <col min="5892" max="5892" width="13.140625" style="475" customWidth="1"/>
    <col min="5893" max="5893" width="11.7109375" style="475" customWidth="1"/>
    <col min="5894" max="5894" width="11.140625" style="475" customWidth="1"/>
    <col min="5895" max="5895" width="11.7109375" style="475" customWidth="1"/>
    <col min="5896" max="6141" width="9.140625" style="475"/>
    <col min="6142" max="6142" width="5.28515625" style="475" customWidth="1"/>
    <col min="6143" max="6143" width="8" style="475" customWidth="1"/>
    <col min="6144" max="6144" width="5.85546875" style="475" customWidth="1"/>
    <col min="6145" max="6145" width="9.42578125" style="475" customWidth="1"/>
    <col min="6146" max="6146" width="11.28515625" style="475" customWidth="1"/>
    <col min="6147" max="6147" width="11" style="475" customWidth="1"/>
    <col min="6148" max="6148" width="13.140625" style="475" customWidth="1"/>
    <col min="6149" max="6149" width="11.7109375" style="475" customWidth="1"/>
    <col min="6150" max="6150" width="11.140625" style="475" customWidth="1"/>
    <col min="6151" max="6151" width="11.7109375" style="475" customWidth="1"/>
    <col min="6152" max="6397" width="9.140625" style="475"/>
    <col min="6398" max="6398" width="5.28515625" style="475" customWidth="1"/>
    <col min="6399" max="6399" width="8" style="475" customWidth="1"/>
    <col min="6400" max="6400" width="5.85546875" style="475" customWidth="1"/>
    <col min="6401" max="6401" width="9.42578125" style="475" customWidth="1"/>
    <col min="6402" max="6402" width="11.28515625" style="475" customWidth="1"/>
    <col min="6403" max="6403" width="11" style="475" customWidth="1"/>
    <col min="6404" max="6404" width="13.140625" style="475" customWidth="1"/>
    <col min="6405" max="6405" width="11.7109375" style="475" customWidth="1"/>
    <col min="6406" max="6406" width="11.140625" style="475" customWidth="1"/>
    <col min="6407" max="6407" width="11.7109375" style="475" customWidth="1"/>
    <col min="6408" max="6653" width="9.140625" style="475"/>
    <col min="6654" max="6654" width="5.28515625" style="475" customWidth="1"/>
    <col min="6655" max="6655" width="8" style="475" customWidth="1"/>
    <col min="6656" max="6656" width="5.85546875" style="475" customWidth="1"/>
    <col min="6657" max="6657" width="9.42578125" style="475" customWidth="1"/>
    <col min="6658" max="6658" width="11.28515625" style="475" customWidth="1"/>
    <col min="6659" max="6659" width="11" style="475" customWidth="1"/>
    <col min="6660" max="6660" width="13.140625" style="475" customWidth="1"/>
    <col min="6661" max="6661" width="11.7109375" style="475" customWidth="1"/>
    <col min="6662" max="6662" width="11.140625" style="475" customWidth="1"/>
    <col min="6663" max="6663" width="11.7109375" style="475" customWidth="1"/>
    <col min="6664" max="6909" width="9.140625" style="475"/>
    <col min="6910" max="6910" width="5.28515625" style="475" customWidth="1"/>
    <col min="6911" max="6911" width="8" style="475" customWidth="1"/>
    <col min="6912" max="6912" width="5.85546875" style="475" customWidth="1"/>
    <col min="6913" max="6913" width="9.42578125" style="475" customWidth="1"/>
    <col min="6914" max="6914" width="11.28515625" style="475" customWidth="1"/>
    <col min="6915" max="6915" width="11" style="475" customWidth="1"/>
    <col min="6916" max="6916" width="13.140625" style="475" customWidth="1"/>
    <col min="6917" max="6917" width="11.7109375" style="475" customWidth="1"/>
    <col min="6918" max="6918" width="11.140625" style="475" customWidth="1"/>
    <col min="6919" max="6919" width="11.7109375" style="475" customWidth="1"/>
    <col min="6920" max="7165" width="9.140625" style="475"/>
    <col min="7166" max="7166" width="5.28515625" style="475" customWidth="1"/>
    <col min="7167" max="7167" width="8" style="475" customWidth="1"/>
    <col min="7168" max="7168" width="5.85546875" style="475" customWidth="1"/>
    <col min="7169" max="7169" width="9.42578125" style="475" customWidth="1"/>
    <col min="7170" max="7170" width="11.28515625" style="475" customWidth="1"/>
    <col min="7171" max="7171" width="11" style="475" customWidth="1"/>
    <col min="7172" max="7172" width="13.140625" style="475" customWidth="1"/>
    <col min="7173" max="7173" width="11.7109375" style="475" customWidth="1"/>
    <col min="7174" max="7174" width="11.140625" style="475" customWidth="1"/>
    <col min="7175" max="7175" width="11.7109375" style="475" customWidth="1"/>
    <col min="7176" max="7421" width="9.140625" style="475"/>
    <col min="7422" max="7422" width="5.28515625" style="475" customWidth="1"/>
    <col min="7423" max="7423" width="8" style="475" customWidth="1"/>
    <col min="7424" max="7424" width="5.85546875" style="475" customWidth="1"/>
    <col min="7425" max="7425" width="9.42578125" style="475" customWidth="1"/>
    <col min="7426" max="7426" width="11.28515625" style="475" customWidth="1"/>
    <col min="7427" max="7427" width="11" style="475" customWidth="1"/>
    <col min="7428" max="7428" width="13.140625" style="475" customWidth="1"/>
    <col min="7429" max="7429" width="11.7109375" style="475" customWidth="1"/>
    <col min="7430" max="7430" width="11.140625" style="475" customWidth="1"/>
    <col min="7431" max="7431" width="11.7109375" style="475" customWidth="1"/>
    <col min="7432" max="7677" width="9.140625" style="475"/>
    <col min="7678" max="7678" width="5.28515625" style="475" customWidth="1"/>
    <col min="7679" max="7679" width="8" style="475" customWidth="1"/>
    <col min="7680" max="7680" width="5.85546875" style="475" customWidth="1"/>
    <col min="7681" max="7681" width="9.42578125" style="475" customWidth="1"/>
    <col min="7682" max="7682" width="11.28515625" style="475" customWidth="1"/>
    <col min="7683" max="7683" width="11" style="475" customWidth="1"/>
    <col min="7684" max="7684" width="13.140625" style="475" customWidth="1"/>
    <col min="7685" max="7685" width="11.7109375" style="475" customWidth="1"/>
    <col min="7686" max="7686" width="11.140625" style="475" customWidth="1"/>
    <col min="7687" max="7687" width="11.7109375" style="475" customWidth="1"/>
    <col min="7688" max="7933" width="9.140625" style="475"/>
    <col min="7934" max="7934" width="5.28515625" style="475" customWidth="1"/>
    <col min="7935" max="7935" width="8" style="475" customWidth="1"/>
    <col min="7936" max="7936" width="5.85546875" style="475" customWidth="1"/>
    <col min="7937" max="7937" width="9.42578125" style="475" customWidth="1"/>
    <col min="7938" max="7938" width="11.28515625" style="475" customWidth="1"/>
    <col min="7939" max="7939" width="11" style="475" customWidth="1"/>
    <col min="7940" max="7940" width="13.140625" style="475" customWidth="1"/>
    <col min="7941" max="7941" width="11.7109375" style="475" customWidth="1"/>
    <col min="7942" max="7942" width="11.140625" style="475" customWidth="1"/>
    <col min="7943" max="7943" width="11.7109375" style="475" customWidth="1"/>
    <col min="7944" max="8189" width="9.140625" style="475"/>
    <col min="8190" max="8190" width="5.28515625" style="475" customWidth="1"/>
    <col min="8191" max="8191" width="8" style="475" customWidth="1"/>
    <col min="8192" max="8192" width="5.85546875" style="475" customWidth="1"/>
    <col min="8193" max="8193" width="9.42578125" style="475" customWidth="1"/>
    <col min="8194" max="8194" width="11.28515625" style="475" customWidth="1"/>
    <col min="8195" max="8195" width="11" style="475" customWidth="1"/>
    <col min="8196" max="8196" width="13.140625" style="475" customWidth="1"/>
    <col min="8197" max="8197" width="11.7109375" style="475" customWidth="1"/>
    <col min="8198" max="8198" width="11.140625" style="475" customWidth="1"/>
    <col min="8199" max="8199" width="11.7109375" style="475" customWidth="1"/>
    <col min="8200" max="8445" width="9.140625" style="475"/>
    <col min="8446" max="8446" width="5.28515625" style="475" customWidth="1"/>
    <col min="8447" max="8447" width="8" style="475" customWidth="1"/>
    <col min="8448" max="8448" width="5.85546875" style="475" customWidth="1"/>
    <col min="8449" max="8449" width="9.42578125" style="475" customWidth="1"/>
    <col min="8450" max="8450" width="11.28515625" style="475" customWidth="1"/>
    <col min="8451" max="8451" width="11" style="475" customWidth="1"/>
    <col min="8452" max="8452" width="13.140625" style="475" customWidth="1"/>
    <col min="8453" max="8453" width="11.7109375" style="475" customWidth="1"/>
    <col min="8454" max="8454" width="11.140625" style="475" customWidth="1"/>
    <col min="8455" max="8455" width="11.7109375" style="475" customWidth="1"/>
    <col min="8456" max="8701" width="9.140625" style="475"/>
    <col min="8702" max="8702" width="5.28515625" style="475" customWidth="1"/>
    <col min="8703" max="8703" width="8" style="475" customWidth="1"/>
    <col min="8704" max="8704" width="5.85546875" style="475" customWidth="1"/>
    <col min="8705" max="8705" width="9.42578125" style="475" customWidth="1"/>
    <col min="8706" max="8706" width="11.28515625" style="475" customWidth="1"/>
    <col min="8707" max="8707" width="11" style="475" customWidth="1"/>
    <col min="8708" max="8708" width="13.140625" style="475" customWidth="1"/>
    <col min="8709" max="8709" width="11.7109375" style="475" customWidth="1"/>
    <col min="8710" max="8710" width="11.140625" style="475" customWidth="1"/>
    <col min="8711" max="8711" width="11.7109375" style="475" customWidth="1"/>
    <col min="8712" max="8957" width="9.140625" style="475"/>
    <col min="8958" max="8958" width="5.28515625" style="475" customWidth="1"/>
    <col min="8959" max="8959" width="8" style="475" customWidth="1"/>
    <col min="8960" max="8960" width="5.85546875" style="475" customWidth="1"/>
    <col min="8961" max="8961" width="9.42578125" style="475" customWidth="1"/>
    <col min="8962" max="8962" width="11.28515625" style="475" customWidth="1"/>
    <col min="8963" max="8963" width="11" style="475" customWidth="1"/>
    <col min="8964" max="8964" width="13.140625" style="475" customWidth="1"/>
    <col min="8965" max="8965" width="11.7109375" style="475" customWidth="1"/>
    <col min="8966" max="8966" width="11.140625" style="475" customWidth="1"/>
    <col min="8967" max="8967" width="11.7109375" style="475" customWidth="1"/>
    <col min="8968" max="9213" width="9.140625" style="475"/>
    <col min="9214" max="9214" width="5.28515625" style="475" customWidth="1"/>
    <col min="9215" max="9215" width="8" style="475" customWidth="1"/>
    <col min="9216" max="9216" width="5.85546875" style="475" customWidth="1"/>
    <col min="9217" max="9217" width="9.42578125" style="475" customWidth="1"/>
    <col min="9218" max="9218" width="11.28515625" style="475" customWidth="1"/>
    <col min="9219" max="9219" width="11" style="475" customWidth="1"/>
    <col min="9220" max="9220" width="13.140625" style="475" customWidth="1"/>
    <col min="9221" max="9221" width="11.7109375" style="475" customWidth="1"/>
    <col min="9222" max="9222" width="11.140625" style="475" customWidth="1"/>
    <col min="9223" max="9223" width="11.7109375" style="475" customWidth="1"/>
    <col min="9224" max="9469" width="9.140625" style="475"/>
    <col min="9470" max="9470" width="5.28515625" style="475" customWidth="1"/>
    <col min="9471" max="9471" width="8" style="475" customWidth="1"/>
    <col min="9472" max="9472" width="5.85546875" style="475" customWidth="1"/>
    <col min="9473" max="9473" width="9.42578125" style="475" customWidth="1"/>
    <col min="9474" max="9474" width="11.28515625" style="475" customWidth="1"/>
    <col min="9475" max="9475" width="11" style="475" customWidth="1"/>
    <col min="9476" max="9476" width="13.140625" style="475" customWidth="1"/>
    <col min="9477" max="9477" width="11.7109375" style="475" customWidth="1"/>
    <col min="9478" max="9478" width="11.140625" style="475" customWidth="1"/>
    <col min="9479" max="9479" width="11.7109375" style="475" customWidth="1"/>
    <col min="9480" max="9725" width="9.140625" style="475"/>
    <col min="9726" max="9726" width="5.28515625" style="475" customWidth="1"/>
    <col min="9727" max="9727" width="8" style="475" customWidth="1"/>
    <col min="9728" max="9728" width="5.85546875" style="475" customWidth="1"/>
    <col min="9729" max="9729" width="9.42578125" style="475" customWidth="1"/>
    <col min="9730" max="9730" width="11.28515625" style="475" customWidth="1"/>
    <col min="9731" max="9731" width="11" style="475" customWidth="1"/>
    <col min="9732" max="9732" width="13.140625" style="475" customWidth="1"/>
    <col min="9733" max="9733" width="11.7109375" style="475" customWidth="1"/>
    <col min="9734" max="9734" width="11.140625" style="475" customWidth="1"/>
    <col min="9735" max="9735" width="11.7109375" style="475" customWidth="1"/>
    <col min="9736" max="9981" width="9.140625" style="475"/>
    <col min="9982" max="9982" width="5.28515625" style="475" customWidth="1"/>
    <col min="9983" max="9983" width="8" style="475" customWidth="1"/>
    <col min="9984" max="9984" width="5.85546875" style="475" customWidth="1"/>
    <col min="9985" max="9985" width="9.42578125" style="475" customWidth="1"/>
    <col min="9986" max="9986" width="11.28515625" style="475" customWidth="1"/>
    <col min="9987" max="9987" width="11" style="475" customWidth="1"/>
    <col min="9988" max="9988" width="13.140625" style="475" customWidth="1"/>
    <col min="9989" max="9989" width="11.7109375" style="475" customWidth="1"/>
    <col min="9990" max="9990" width="11.140625" style="475" customWidth="1"/>
    <col min="9991" max="9991" width="11.7109375" style="475" customWidth="1"/>
    <col min="9992" max="10237" width="9.140625" style="475"/>
    <col min="10238" max="10238" width="5.28515625" style="475" customWidth="1"/>
    <col min="10239" max="10239" width="8" style="475" customWidth="1"/>
    <col min="10240" max="10240" width="5.85546875" style="475" customWidth="1"/>
    <col min="10241" max="10241" width="9.42578125" style="475" customWidth="1"/>
    <col min="10242" max="10242" width="11.28515625" style="475" customWidth="1"/>
    <col min="10243" max="10243" width="11" style="475" customWidth="1"/>
    <col min="10244" max="10244" width="13.140625" style="475" customWidth="1"/>
    <col min="10245" max="10245" width="11.7109375" style="475" customWidth="1"/>
    <col min="10246" max="10246" width="11.140625" style="475" customWidth="1"/>
    <col min="10247" max="10247" width="11.7109375" style="475" customWidth="1"/>
    <col min="10248" max="10493" width="9.140625" style="475"/>
    <col min="10494" max="10494" width="5.28515625" style="475" customWidth="1"/>
    <col min="10495" max="10495" width="8" style="475" customWidth="1"/>
    <col min="10496" max="10496" width="5.85546875" style="475" customWidth="1"/>
    <col min="10497" max="10497" width="9.42578125" style="475" customWidth="1"/>
    <col min="10498" max="10498" width="11.28515625" style="475" customWidth="1"/>
    <col min="10499" max="10499" width="11" style="475" customWidth="1"/>
    <col min="10500" max="10500" width="13.140625" style="475" customWidth="1"/>
    <col min="10501" max="10501" width="11.7109375" style="475" customWidth="1"/>
    <col min="10502" max="10502" width="11.140625" style="475" customWidth="1"/>
    <col min="10503" max="10503" width="11.7109375" style="475" customWidth="1"/>
    <col min="10504" max="10749" width="9.140625" style="475"/>
    <col min="10750" max="10750" width="5.28515625" style="475" customWidth="1"/>
    <col min="10751" max="10751" width="8" style="475" customWidth="1"/>
    <col min="10752" max="10752" width="5.85546875" style="475" customWidth="1"/>
    <col min="10753" max="10753" width="9.42578125" style="475" customWidth="1"/>
    <col min="10754" max="10754" width="11.28515625" style="475" customWidth="1"/>
    <col min="10755" max="10755" width="11" style="475" customWidth="1"/>
    <col min="10756" max="10756" width="13.140625" style="475" customWidth="1"/>
    <col min="10757" max="10757" width="11.7109375" style="475" customWidth="1"/>
    <col min="10758" max="10758" width="11.140625" style="475" customWidth="1"/>
    <col min="10759" max="10759" width="11.7109375" style="475" customWidth="1"/>
    <col min="10760" max="11005" width="9.140625" style="475"/>
    <col min="11006" max="11006" width="5.28515625" style="475" customWidth="1"/>
    <col min="11007" max="11007" width="8" style="475" customWidth="1"/>
    <col min="11008" max="11008" width="5.85546875" style="475" customWidth="1"/>
    <col min="11009" max="11009" width="9.42578125" style="475" customWidth="1"/>
    <col min="11010" max="11010" width="11.28515625" style="475" customWidth="1"/>
    <col min="11011" max="11011" width="11" style="475" customWidth="1"/>
    <col min="11012" max="11012" width="13.140625" style="475" customWidth="1"/>
    <col min="11013" max="11013" width="11.7109375" style="475" customWidth="1"/>
    <col min="11014" max="11014" width="11.140625" style="475" customWidth="1"/>
    <col min="11015" max="11015" width="11.7109375" style="475" customWidth="1"/>
    <col min="11016" max="11261" width="9.140625" style="475"/>
    <col min="11262" max="11262" width="5.28515625" style="475" customWidth="1"/>
    <col min="11263" max="11263" width="8" style="475" customWidth="1"/>
    <col min="11264" max="11264" width="5.85546875" style="475" customWidth="1"/>
    <col min="11265" max="11265" width="9.42578125" style="475" customWidth="1"/>
    <col min="11266" max="11266" width="11.28515625" style="475" customWidth="1"/>
    <col min="11267" max="11267" width="11" style="475" customWidth="1"/>
    <col min="11268" max="11268" width="13.140625" style="475" customWidth="1"/>
    <col min="11269" max="11269" width="11.7109375" style="475" customWidth="1"/>
    <col min="11270" max="11270" width="11.140625" style="475" customWidth="1"/>
    <col min="11271" max="11271" width="11.7109375" style="475" customWidth="1"/>
    <col min="11272" max="11517" width="9.140625" style="475"/>
    <col min="11518" max="11518" width="5.28515625" style="475" customWidth="1"/>
    <col min="11519" max="11519" width="8" style="475" customWidth="1"/>
    <col min="11520" max="11520" width="5.85546875" style="475" customWidth="1"/>
    <col min="11521" max="11521" width="9.42578125" style="475" customWidth="1"/>
    <col min="11522" max="11522" width="11.28515625" style="475" customWidth="1"/>
    <col min="11523" max="11523" width="11" style="475" customWidth="1"/>
    <col min="11524" max="11524" width="13.140625" style="475" customWidth="1"/>
    <col min="11525" max="11525" width="11.7109375" style="475" customWidth="1"/>
    <col min="11526" max="11526" width="11.140625" style="475" customWidth="1"/>
    <col min="11527" max="11527" width="11.7109375" style="475" customWidth="1"/>
    <col min="11528" max="11773" width="9.140625" style="475"/>
    <col min="11774" max="11774" width="5.28515625" style="475" customWidth="1"/>
    <col min="11775" max="11775" width="8" style="475" customWidth="1"/>
    <col min="11776" max="11776" width="5.85546875" style="475" customWidth="1"/>
    <col min="11777" max="11777" width="9.42578125" style="475" customWidth="1"/>
    <col min="11778" max="11778" width="11.28515625" style="475" customWidth="1"/>
    <col min="11779" max="11779" width="11" style="475" customWidth="1"/>
    <col min="11780" max="11780" width="13.140625" style="475" customWidth="1"/>
    <col min="11781" max="11781" width="11.7109375" style="475" customWidth="1"/>
    <col min="11782" max="11782" width="11.140625" style="475" customWidth="1"/>
    <col min="11783" max="11783" width="11.7109375" style="475" customWidth="1"/>
    <col min="11784" max="12029" width="9.140625" style="475"/>
    <col min="12030" max="12030" width="5.28515625" style="475" customWidth="1"/>
    <col min="12031" max="12031" width="8" style="475" customWidth="1"/>
    <col min="12032" max="12032" width="5.85546875" style="475" customWidth="1"/>
    <col min="12033" max="12033" width="9.42578125" style="475" customWidth="1"/>
    <col min="12034" max="12034" width="11.28515625" style="475" customWidth="1"/>
    <col min="12035" max="12035" width="11" style="475" customWidth="1"/>
    <col min="12036" max="12036" width="13.140625" style="475" customWidth="1"/>
    <col min="12037" max="12037" width="11.7109375" style="475" customWidth="1"/>
    <col min="12038" max="12038" width="11.140625" style="475" customWidth="1"/>
    <col min="12039" max="12039" width="11.7109375" style="475" customWidth="1"/>
    <col min="12040" max="12285" width="9.140625" style="475"/>
    <col min="12286" max="12286" width="5.28515625" style="475" customWidth="1"/>
    <col min="12287" max="12287" width="8" style="475" customWidth="1"/>
    <col min="12288" max="12288" width="5.85546875" style="475" customWidth="1"/>
    <col min="12289" max="12289" width="9.42578125" style="475" customWidth="1"/>
    <col min="12290" max="12290" width="11.28515625" style="475" customWidth="1"/>
    <col min="12291" max="12291" width="11" style="475" customWidth="1"/>
    <col min="12292" max="12292" width="13.140625" style="475" customWidth="1"/>
    <col min="12293" max="12293" width="11.7109375" style="475" customWidth="1"/>
    <col min="12294" max="12294" width="11.140625" style="475" customWidth="1"/>
    <col min="12295" max="12295" width="11.7109375" style="475" customWidth="1"/>
    <col min="12296" max="12541" width="9.140625" style="475"/>
    <col min="12542" max="12542" width="5.28515625" style="475" customWidth="1"/>
    <col min="12543" max="12543" width="8" style="475" customWidth="1"/>
    <col min="12544" max="12544" width="5.85546875" style="475" customWidth="1"/>
    <col min="12545" max="12545" width="9.42578125" style="475" customWidth="1"/>
    <col min="12546" max="12546" width="11.28515625" style="475" customWidth="1"/>
    <col min="12547" max="12547" width="11" style="475" customWidth="1"/>
    <col min="12548" max="12548" width="13.140625" style="475" customWidth="1"/>
    <col min="12549" max="12549" width="11.7109375" style="475" customWidth="1"/>
    <col min="12550" max="12550" width="11.140625" style="475" customWidth="1"/>
    <col min="12551" max="12551" width="11.7109375" style="475" customWidth="1"/>
    <col min="12552" max="12797" width="9.140625" style="475"/>
    <col min="12798" max="12798" width="5.28515625" style="475" customWidth="1"/>
    <col min="12799" max="12799" width="8" style="475" customWidth="1"/>
    <col min="12800" max="12800" width="5.85546875" style="475" customWidth="1"/>
    <col min="12801" max="12801" width="9.42578125" style="475" customWidth="1"/>
    <col min="12802" max="12802" width="11.28515625" style="475" customWidth="1"/>
    <col min="12803" max="12803" width="11" style="475" customWidth="1"/>
    <col min="12804" max="12804" width="13.140625" style="475" customWidth="1"/>
    <col min="12805" max="12805" width="11.7109375" style="475" customWidth="1"/>
    <col min="12806" max="12806" width="11.140625" style="475" customWidth="1"/>
    <col min="12807" max="12807" width="11.7109375" style="475" customWidth="1"/>
    <col min="12808" max="13053" width="9.140625" style="475"/>
    <col min="13054" max="13054" width="5.28515625" style="475" customWidth="1"/>
    <col min="13055" max="13055" width="8" style="475" customWidth="1"/>
    <col min="13056" max="13056" width="5.85546875" style="475" customWidth="1"/>
    <col min="13057" max="13057" width="9.42578125" style="475" customWidth="1"/>
    <col min="13058" max="13058" width="11.28515625" style="475" customWidth="1"/>
    <col min="13059" max="13059" width="11" style="475" customWidth="1"/>
    <col min="13060" max="13060" width="13.140625" style="475" customWidth="1"/>
    <col min="13061" max="13061" width="11.7109375" style="475" customWidth="1"/>
    <col min="13062" max="13062" width="11.140625" style="475" customWidth="1"/>
    <col min="13063" max="13063" width="11.7109375" style="475" customWidth="1"/>
    <col min="13064" max="13309" width="9.140625" style="475"/>
    <col min="13310" max="13310" width="5.28515625" style="475" customWidth="1"/>
    <col min="13311" max="13311" width="8" style="475" customWidth="1"/>
    <col min="13312" max="13312" width="5.85546875" style="475" customWidth="1"/>
    <col min="13313" max="13313" width="9.42578125" style="475" customWidth="1"/>
    <col min="13314" max="13314" width="11.28515625" style="475" customWidth="1"/>
    <col min="13315" max="13315" width="11" style="475" customWidth="1"/>
    <col min="13316" max="13316" width="13.140625" style="475" customWidth="1"/>
    <col min="13317" max="13317" width="11.7109375" style="475" customWidth="1"/>
    <col min="13318" max="13318" width="11.140625" style="475" customWidth="1"/>
    <col min="13319" max="13319" width="11.7109375" style="475" customWidth="1"/>
    <col min="13320" max="13565" width="9.140625" style="475"/>
    <col min="13566" max="13566" width="5.28515625" style="475" customWidth="1"/>
    <col min="13567" max="13567" width="8" style="475" customWidth="1"/>
    <col min="13568" max="13568" width="5.85546875" style="475" customWidth="1"/>
    <col min="13569" max="13569" width="9.42578125" style="475" customWidth="1"/>
    <col min="13570" max="13570" width="11.28515625" style="475" customWidth="1"/>
    <col min="13571" max="13571" width="11" style="475" customWidth="1"/>
    <col min="13572" max="13572" width="13.140625" style="475" customWidth="1"/>
    <col min="13573" max="13573" width="11.7109375" style="475" customWidth="1"/>
    <col min="13574" max="13574" width="11.140625" style="475" customWidth="1"/>
    <col min="13575" max="13575" width="11.7109375" style="475" customWidth="1"/>
    <col min="13576" max="13821" width="9.140625" style="475"/>
    <col min="13822" max="13822" width="5.28515625" style="475" customWidth="1"/>
    <col min="13823" max="13823" width="8" style="475" customWidth="1"/>
    <col min="13824" max="13824" width="5.85546875" style="475" customWidth="1"/>
    <col min="13825" max="13825" width="9.42578125" style="475" customWidth="1"/>
    <col min="13826" max="13826" width="11.28515625" style="475" customWidth="1"/>
    <col min="13827" max="13827" width="11" style="475" customWidth="1"/>
    <col min="13828" max="13828" width="13.140625" style="475" customWidth="1"/>
    <col min="13829" max="13829" width="11.7109375" style="475" customWidth="1"/>
    <col min="13830" max="13830" width="11.140625" style="475" customWidth="1"/>
    <col min="13831" max="13831" width="11.7109375" style="475" customWidth="1"/>
    <col min="13832" max="14077" width="9.140625" style="475"/>
    <col min="14078" max="14078" width="5.28515625" style="475" customWidth="1"/>
    <col min="14079" max="14079" width="8" style="475" customWidth="1"/>
    <col min="14080" max="14080" width="5.85546875" style="475" customWidth="1"/>
    <col min="14081" max="14081" width="9.42578125" style="475" customWidth="1"/>
    <col min="14082" max="14082" width="11.28515625" style="475" customWidth="1"/>
    <col min="14083" max="14083" width="11" style="475" customWidth="1"/>
    <col min="14084" max="14084" width="13.140625" style="475" customWidth="1"/>
    <col min="14085" max="14085" width="11.7109375" style="475" customWidth="1"/>
    <col min="14086" max="14086" width="11.140625" style="475" customWidth="1"/>
    <col min="14087" max="14087" width="11.7109375" style="475" customWidth="1"/>
    <col min="14088" max="14333" width="9.140625" style="475"/>
    <col min="14334" max="14334" width="5.28515625" style="475" customWidth="1"/>
    <col min="14335" max="14335" width="8" style="475" customWidth="1"/>
    <col min="14336" max="14336" width="5.85546875" style="475" customWidth="1"/>
    <col min="14337" max="14337" width="9.42578125" style="475" customWidth="1"/>
    <col min="14338" max="14338" width="11.28515625" style="475" customWidth="1"/>
    <col min="14339" max="14339" width="11" style="475" customWidth="1"/>
    <col min="14340" max="14340" width="13.140625" style="475" customWidth="1"/>
    <col min="14341" max="14341" width="11.7109375" style="475" customWidth="1"/>
    <col min="14342" max="14342" width="11.140625" style="475" customWidth="1"/>
    <col min="14343" max="14343" width="11.7109375" style="475" customWidth="1"/>
    <col min="14344" max="14589" width="9.140625" style="475"/>
    <col min="14590" max="14590" width="5.28515625" style="475" customWidth="1"/>
    <col min="14591" max="14591" width="8" style="475" customWidth="1"/>
    <col min="14592" max="14592" width="5.85546875" style="475" customWidth="1"/>
    <col min="14593" max="14593" width="9.42578125" style="475" customWidth="1"/>
    <col min="14594" max="14594" width="11.28515625" style="475" customWidth="1"/>
    <col min="14595" max="14595" width="11" style="475" customWidth="1"/>
    <col min="14596" max="14596" width="13.140625" style="475" customWidth="1"/>
    <col min="14597" max="14597" width="11.7109375" style="475" customWidth="1"/>
    <col min="14598" max="14598" width="11.140625" style="475" customWidth="1"/>
    <col min="14599" max="14599" width="11.7109375" style="475" customWidth="1"/>
    <col min="14600" max="14845" width="9.140625" style="475"/>
    <col min="14846" max="14846" width="5.28515625" style="475" customWidth="1"/>
    <col min="14847" max="14847" width="8" style="475" customWidth="1"/>
    <col min="14848" max="14848" width="5.85546875" style="475" customWidth="1"/>
    <col min="14849" max="14849" width="9.42578125" style="475" customWidth="1"/>
    <col min="14850" max="14850" width="11.28515625" style="475" customWidth="1"/>
    <col min="14851" max="14851" width="11" style="475" customWidth="1"/>
    <col min="14852" max="14852" width="13.140625" style="475" customWidth="1"/>
    <col min="14853" max="14853" width="11.7109375" style="475" customWidth="1"/>
    <col min="14854" max="14854" width="11.140625" style="475" customWidth="1"/>
    <col min="14855" max="14855" width="11.7109375" style="475" customWidth="1"/>
    <col min="14856" max="15101" width="9.140625" style="475"/>
    <col min="15102" max="15102" width="5.28515625" style="475" customWidth="1"/>
    <col min="15103" max="15103" width="8" style="475" customWidth="1"/>
    <col min="15104" max="15104" width="5.85546875" style="475" customWidth="1"/>
    <col min="15105" max="15105" width="9.42578125" style="475" customWidth="1"/>
    <col min="15106" max="15106" width="11.28515625" style="475" customWidth="1"/>
    <col min="15107" max="15107" width="11" style="475" customWidth="1"/>
    <col min="15108" max="15108" width="13.140625" style="475" customWidth="1"/>
    <col min="15109" max="15109" width="11.7109375" style="475" customWidth="1"/>
    <col min="15110" max="15110" width="11.140625" style="475" customWidth="1"/>
    <col min="15111" max="15111" width="11.7109375" style="475" customWidth="1"/>
    <col min="15112" max="15357" width="9.140625" style="475"/>
    <col min="15358" max="15358" width="5.28515625" style="475" customWidth="1"/>
    <col min="15359" max="15359" width="8" style="475" customWidth="1"/>
    <col min="15360" max="15360" width="5.85546875" style="475" customWidth="1"/>
    <col min="15361" max="15361" width="9.42578125" style="475" customWidth="1"/>
    <col min="15362" max="15362" width="11.28515625" style="475" customWidth="1"/>
    <col min="15363" max="15363" width="11" style="475" customWidth="1"/>
    <col min="15364" max="15364" width="13.140625" style="475" customWidth="1"/>
    <col min="15365" max="15365" width="11.7109375" style="475" customWidth="1"/>
    <col min="15366" max="15366" width="11.140625" style="475" customWidth="1"/>
    <col min="15367" max="15367" width="11.7109375" style="475" customWidth="1"/>
    <col min="15368" max="15613" width="9.140625" style="475"/>
    <col min="15614" max="15614" width="5.28515625" style="475" customWidth="1"/>
    <col min="15615" max="15615" width="8" style="475" customWidth="1"/>
    <col min="15616" max="15616" width="5.85546875" style="475" customWidth="1"/>
    <col min="15617" max="15617" width="9.42578125" style="475" customWidth="1"/>
    <col min="15618" max="15618" width="11.28515625" style="475" customWidth="1"/>
    <col min="15619" max="15619" width="11" style="475" customWidth="1"/>
    <col min="15620" max="15620" width="13.140625" style="475" customWidth="1"/>
    <col min="15621" max="15621" width="11.7109375" style="475" customWidth="1"/>
    <col min="15622" max="15622" width="11.140625" style="475" customWidth="1"/>
    <col min="15623" max="15623" width="11.7109375" style="475" customWidth="1"/>
    <col min="15624" max="15869" width="9.140625" style="475"/>
    <col min="15870" max="15870" width="5.28515625" style="475" customWidth="1"/>
    <col min="15871" max="15871" width="8" style="475" customWidth="1"/>
    <col min="15872" max="15872" width="5.85546875" style="475" customWidth="1"/>
    <col min="15873" max="15873" width="9.42578125" style="475" customWidth="1"/>
    <col min="15874" max="15874" width="11.28515625" style="475" customWidth="1"/>
    <col min="15875" max="15875" width="11" style="475" customWidth="1"/>
    <col min="15876" max="15876" width="13.140625" style="475" customWidth="1"/>
    <col min="15877" max="15877" width="11.7109375" style="475" customWidth="1"/>
    <col min="15878" max="15878" width="11.140625" style="475" customWidth="1"/>
    <col min="15879" max="15879" width="11.7109375" style="475" customWidth="1"/>
    <col min="15880" max="16125" width="9.140625" style="475"/>
    <col min="16126" max="16126" width="5.28515625" style="475" customWidth="1"/>
    <col min="16127" max="16127" width="8" style="475" customWidth="1"/>
    <col min="16128" max="16128" width="5.85546875" style="475" customWidth="1"/>
    <col min="16129" max="16129" width="9.42578125" style="475" customWidth="1"/>
    <col min="16130" max="16130" width="11.28515625" style="475" customWidth="1"/>
    <col min="16131" max="16131" width="11" style="475" customWidth="1"/>
    <col min="16132" max="16132" width="13.140625" style="475" customWidth="1"/>
    <col min="16133" max="16133" width="11.7109375" style="475" customWidth="1"/>
    <col min="16134" max="16134" width="11.140625" style="475" customWidth="1"/>
    <col min="16135" max="16135" width="11.7109375" style="475" customWidth="1"/>
    <col min="16136" max="16384" width="9.140625" style="475"/>
  </cols>
  <sheetData>
    <row r="1" spans="1:72" ht="12.75" customHeight="1" x14ac:dyDescent="0.25">
      <c r="A1" s="385"/>
      <c r="F1" s="3" t="s">
        <v>428</v>
      </c>
    </row>
    <row r="2" spans="1:72" ht="12.75" customHeight="1" x14ac:dyDescent="0.25">
      <c r="F2" s="3" t="s">
        <v>187</v>
      </c>
    </row>
    <row r="3" spans="1:72" ht="12.75" customHeight="1" x14ac:dyDescent="0.25">
      <c r="F3" s="3" t="s">
        <v>1</v>
      </c>
    </row>
    <row r="4" spans="1:72" ht="12.75" customHeight="1" x14ac:dyDescent="0.25">
      <c r="F4" s="3" t="s">
        <v>188</v>
      </c>
    </row>
    <row r="5" spans="1:72" ht="12.75" customHeight="1" x14ac:dyDescent="0.25"/>
    <row r="6" spans="1:72" ht="13.5" customHeight="1" x14ac:dyDescent="0.25">
      <c r="A6" s="358" t="s">
        <v>429</v>
      </c>
      <c r="B6" s="358"/>
      <c r="C6" s="358"/>
      <c r="D6" s="358"/>
      <c r="E6" s="358"/>
      <c r="F6" s="358"/>
      <c r="G6" s="358"/>
      <c r="J6" s="1"/>
    </row>
    <row r="7" spans="1:72" ht="12.75" customHeight="1" x14ac:dyDescent="0.25">
      <c r="A7" s="358" t="s">
        <v>430</v>
      </c>
      <c r="B7" s="386"/>
      <c r="C7" s="386"/>
      <c r="D7" s="386"/>
      <c r="E7" s="386"/>
      <c r="F7" s="386"/>
      <c r="G7" s="386"/>
      <c r="J7" s="1"/>
    </row>
    <row r="8" spans="1:72" ht="9" customHeight="1" x14ac:dyDescent="0.25">
      <c r="A8" s="387"/>
      <c r="B8" s="388"/>
      <c r="C8" s="388"/>
      <c r="D8" s="388"/>
      <c r="E8" s="388"/>
      <c r="F8" s="388"/>
      <c r="G8" s="388"/>
      <c r="J8" s="1"/>
    </row>
    <row r="9" spans="1:72" ht="11.25" customHeight="1" x14ac:dyDescent="0.25">
      <c r="G9" s="389" t="s">
        <v>3</v>
      </c>
    </row>
    <row r="10" spans="1:72" s="393" customFormat="1" ht="36.75" customHeight="1" x14ac:dyDescent="0.2">
      <c r="A10" s="390" t="s">
        <v>234</v>
      </c>
      <c r="B10" s="390" t="s">
        <v>289</v>
      </c>
      <c r="C10" s="390" t="s">
        <v>431</v>
      </c>
      <c r="D10" s="390" t="s">
        <v>203</v>
      </c>
      <c r="E10" s="391" t="s">
        <v>7</v>
      </c>
      <c r="F10" s="391" t="s">
        <v>432</v>
      </c>
      <c r="G10" s="391" t="s">
        <v>433</v>
      </c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</row>
    <row r="11" spans="1:72" s="396" customFormat="1" ht="10.5" customHeight="1" x14ac:dyDescent="0.2">
      <c r="A11" s="394">
        <v>1</v>
      </c>
      <c r="B11" s="394">
        <v>2</v>
      </c>
      <c r="C11" s="394">
        <v>3</v>
      </c>
      <c r="D11" s="394">
        <v>4</v>
      </c>
      <c r="E11" s="394">
        <v>5</v>
      </c>
      <c r="F11" s="394">
        <v>6</v>
      </c>
      <c r="G11" s="394">
        <v>7</v>
      </c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</row>
    <row r="12" spans="1:72" s="496" customFormat="1" ht="15.75" customHeight="1" x14ac:dyDescent="0.2">
      <c r="A12" s="397"/>
      <c r="B12" s="398"/>
      <c r="C12" s="399"/>
      <c r="D12" s="399"/>
      <c r="E12" s="400" t="s">
        <v>19</v>
      </c>
      <c r="F12" s="401">
        <f>5350+9150+36625</f>
        <v>51125</v>
      </c>
      <c r="G12" s="402" t="s">
        <v>434</v>
      </c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  <c r="AH12" s="384"/>
      <c r="AI12" s="384"/>
      <c r="AJ12" s="384"/>
      <c r="AK12" s="384"/>
      <c r="AL12" s="384"/>
      <c r="AM12" s="384"/>
      <c r="AN12" s="384"/>
      <c r="AO12" s="384"/>
      <c r="AP12" s="384"/>
      <c r="AQ12" s="384"/>
      <c r="AR12" s="384"/>
      <c r="AS12" s="384"/>
      <c r="AT12" s="384"/>
      <c r="AU12" s="384"/>
      <c r="AV12" s="384"/>
      <c r="AW12" s="384"/>
      <c r="AX12" s="384"/>
      <c r="AY12" s="384"/>
      <c r="AZ12" s="384"/>
      <c r="BA12" s="384"/>
      <c r="BB12" s="384"/>
      <c r="BC12" s="384"/>
      <c r="BD12" s="384"/>
      <c r="BE12" s="384"/>
      <c r="BF12" s="384"/>
      <c r="BG12" s="384"/>
      <c r="BH12" s="384"/>
      <c r="BI12" s="384"/>
      <c r="BJ12" s="384"/>
      <c r="BK12" s="384"/>
      <c r="BL12" s="384"/>
      <c r="BM12" s="384"/>
      <c r="BN12" s="384"/>
      <c r="BO12" s="384"/>
      <c r="BP12" s="384"/>
      <c r="BQ12" s="384"/>
      <c r="BR12" s="384"/>
      <c r="BS12" s="384"/>
      <c r="BT12" s="384"/>
    </row>
    <row r="13" spans="1:72" s="496" customFormat="1" ht="24" x14ac:dyDescent="0.2">
      <c r="A13" s="403" t="s">
        <v>409</v>
      </c>
      <c r="B13" s="404" t="s">
        <v>435</v>
      </c>
      <c r="C13" s="399" t="s">
        <v>136</v>
      </c>
      <c r="D13" s="399" t="s">
        <v>436</v>
      </c>
      <c r="E13" s="405" t="s">
        <v>434</v>
      </c>
      <c r="F13" s="406" t="s">
        <v>434</v>
      </c>
      <c r="G13" s="407">
        <f>SUM(G15)</f>
        <v>51125</v>
      </c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L13" s="384"/>
      <c r="AM13" s="384"/>
      <c r="AN13" s="384"/>
      <c r="AO13" s="384"/>
      <c r="AP13" s="384"/>
      <c r="AQ13" s="384"/>
      <c r="AR13" s="384"/>
      <c r="AS13" s="384"/>
      <c r="AT13" s="384"/>
      <c r="AU13" s="384"/>
      <c r="AV13" s="384"/>
      <c r="AW13" s="384"/>
      <c r="AX13" s="384"/>
      <c r="AY13" s="384"/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  <c r="BP13" s="384"/>
      <c r="BQ13" s="384"/>
      <c r="BR13" s="384"/>
      <c r="BS13" s="384"/>
      <c r="BT13" s="384"/>
    </row>
    <row r="14" spans="1:72" s="496" customFormat="1" ht="9" customHeight="1" x14ac:dyDescent="0.2">
      <c r="A14" s="397"/>
      <c r="B14" s="408"/>
      <c r="C14" s="399"/>
      <c r="D14" s="399"/>
      <c r="E14" s="399"/>
      <c r="F14" s="409"/>
      <c r="G14" s="497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84"/>
      <c r="AL14" s="384"/>
      <c r="AM14" s="384"/>
      <c r="AN14" s="384"/>
      <c r="AO14" s="384"/>
      <c r="AP14" s="384"/>
      <c r="AQ14" s="384"/>
      <c r="AR14" s="384"/>
      <c r="AS14" s="384"/>
      <c r="AT14" s="384"/>
      <c r="AU14" s="384"/>
      <c r="AV14" s="384"/>
      <c r="AW14" s="384"/>
      <c r="AX14" s="384"/>
      <c r="AY14" s="384"/>
      <c r="AZ14" s="384"/>
      <c r="BA14" s="384"/>
      <c r="BB14" s="384"/>
      <c r="BC14" s="384"/>
      <c r="BD14" s="384"/>
      <c r="BE14" s="384"/>
      <c r="BF14" s="384"/>
      <c r="BG14" s="384"/>
      <c r="BH14" s="384"/>
      <c r="BI14" s="384"/>
      <c r="BJ14" s="384"/>
      <c r="BK14" s="384"/>
      <c r="BL14" s="384"/>
      <c r="BM14" s="384"/>
      <c r="BN14" s="384"/>
      <c r="BO14" s="384"/>
      <c r="BP14" s="384"/>
      <c r="BQ14" s="384"/>
      <c r="BR14" s="384"/>
      <c r="BS14" s="384"/>
      <c r="BT14" s="384"/>
    </row>
    <row r="15" spans="1:72" s="496" customFormat="1" ht="15.75" customHeight="1" x14ac:dyDescent="0.2">
      <c r="A15" s="397"/>
      <c r="B15" s="498" t="s">
        <v>437</v>
      </c>
      <c r="C15" s="399"/>
      <c r="D15" s="399"/>
      <c r="E15" s="399"/>
      <c r="F15" s="409"/>
      <c r="G15" s="497">
        <f>SUM(G16:G17)</f>
        <v>51125</v>
      </c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  <c r="BP15" s="384"/>
      <c r="BQ15" s="384"/>
      <c r="BR15" s="384"/>
      <c r="BS15" s="384"/>
      <c r="BT15" s="384"/>
    </row>
    <row r="16" spans="1:72" s="496" customFormat="1" ht="15.75" customHeight="1" x14ac:dyDescent="0.2">
      <c r="A16" s="397"/>
      <c r="B16" s="498"/>
      <c r="C16" s="399"/>
      <c r="D16" s="399"/>
      <c r="E16" s="399" t="s">
        <v>438</v>
      </c>
      <c r="F16" s="409" t="s">
        <v>434</v>
      </c>
      <c r="G16" s="410">
        <v>8500</v>
      </c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  <c r="AC16" s="384"/>
      <c r="AD16" s="384"/>
      <c r="AE16" s="384"/>
      <c r="AF16" s="384"/>
      <c r="AG16" s="384"/>
      <c r="AH16" s="384"/>
      <c r="AI16" s="384"/>
      <c r="AJ16" s="384"/>
      <c r="AK16" s="384"/>
      <c r="AL16" s="384"/>
      <c r="AM16" s="384"/>
      <c r="AN16" s="384"/>
      <c r="AO16" s="384"/>
      <c r="AP16" s="384"/>
      <c r="AQ16" s="384"/>
      <c r="AR16" s="384"/>
      <c r="AS16" s="384"/>
      <c r="AT16" s="384"/>
      <c r="AU16" s="384"/>
      <c r="AV16" s="384"/>
      <c r="AW16" s="384"/>
      <c r="AX16" s="384"/>
      <c r="AY16" s="384"/>
      <c r="AZ16" s="384"/>
      <c r="BA16" s="384"/>
      <c r="BB16" s="384"/>
      <c r="BC16" s="384"/>
      <c r="BD16" s="384"/>
      <c r="BE16" s="384"/>
      <c r="BF16" s="384"/>
      <c r="BG16" s="384"/>
      <c r="BH16" s="384"/>
      <c r="BI16" s="384"/>
      <c r="BJ16" s="384"/>
      <c r="BK16" s="384"/>
      <c r="BL16" s="384"/>
      <c r="BM16" s="384"/>
      <c r="BN16" s="384"/>
      <c r="BO16" s="384"/>
      <c r="BP16" s="384"/>
      <c r="BQ16" s="384"/>
      <c r="BR16" s="384"/>
      <c r="BS16" s="384"/>
      <c r="BT16" s="384"/>
    </row>
    <row r="17" spans="1:72" s="496" customFormat="1" ht="15.75" customHeight="1" x14ac:dyDescent="0.2">
      <c r="A17" s="397"/>
      <c r="B17" s="398"/>
      <c r="C17" s="399"/>
      <c r="D17" s="399"/>
      <c r="E17" s="399" t="s">
        <v>439</v>
      </c>
      <c r="F17" s="409" t="s">
        <v>434</v>
      </c>
      <c r="G17" s="410">
        <f>5350+9150+36625-8500</f>
        <v>42625</v>
      </c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4"/>
      <c r="AN17" s="384"/>
      <c r="AO17" s="384"/>
      <c r="AP17" s="384"/>
      <c r="AQ17" s="384"/>
      <c r="AR17" s="384"/>
      <c r="AS17" s="384"/>
      <c r="AT17" s="384"/>
      <c r="AU17" s="384"/>
      <c r="AV17" s="384"/>
      <c r="AW17" s="384"/>
      <c r="AX17" s="384"/>
      <c r="AY17" s="384"/>
      <c r="AZ17" s="384"/>
      <c r="BA17" s="384"/>
      <c r="BB17" s="384"/>
      <c r="BC17" s="384"/>
      <c r="BD17" s="384"/>
      <c r="BE17" s="384"/>
      <c r="BF17" s="384"/>
      <c r="BG17" s="384"/>
      <c r="BH17" s="384"/>
      <c r="BI17" s="384"/>
      <c r="BJ17" s="384"/>
      <c r="BK17" s="384"/>
      <c r="BL17" s="384"/>
      <c r="BM17" s="384"/>
      <c r="BN17" s="384"/>
      <c r="BO17" s="384"/>
      <c r="BP17" s="384"/>
      <c r="BQ17" s="384"/>
      <c r="BR17" s="384"/>
      <c r="BS17" s="384"/>
      <c r="BT17" s="384"/>
    </row>
    <row r="18" spans="1:72" s="496" customFormat="1" ht="15.75" customHeight="1" x14ac:dyDescent="0.2">
      <c r="A18" s="411"/>
      <c r="B18" s="412"/>
      <c r="C18" s="413"/>
      <c r="D18" s="400"/>
      <c r="E18" s="400"/>
      <c r="F18" s="402"/>
      <c r="G18" s="41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384"/>
      <c r="AQ18" s="384"/>
      <c r="AR18" s="384"/>
      <c r="AS18" s="384"/>
      <c r="AT18" s="384"/>
      <c r="AU18" s="384"/>
      <c r="AV18" s="384"/>
      <c r="AW18" s="384"/>
      <c r="AX18" s="384"/>
      <c r="AY18" s="384"/>
      <c r="AZ18" s="384"/>
      <c r="BA18" s="384"/>
      <c r="BB18" s="384"/>
      <c r="BC18" s="384"/>
      <c r="BD18" s="384"/>
      <c r="BE18" s="384"/>
      <c r="BF18" s="384"/>
      <c r="BG18" s="384"/>
      <c r="BH18" s="384"/>
      <c r="BI18" s="384"/>
      <c r="BJ18" s="384"/>
      <c r="BK18" s="384"/>
      <c r="BL18" s="384"/>
      <c r="BM18" s="384"/>
      <c r="BN18" s="384"/>
      <c r="BO18" s="384"/>
      <c r="BP18" s="384"/>
      <c r="BQ18" s="384"/>
      <c r="BR18" s="384"/>
      <c r="BS18" s="384"/>
      <c r="BT18" s="384"/>
    </row>
    <row r="19" spans="1:72" s="496" customFormat="1" ht="15.75" customHeight="1" x14ac:dyDescent="0.2">
      <c r="A19" s="397"/>
      <c r="B19" s="398"/>
      <c r="C19" s="399"/>
      <c r="D19" s="399"/>
      <c r="E19" s="400" t="s">
        <v>19</v>
      </c>
      <c r="F19" s="401">
        <f>9095+9126</f>
        <v>18221</v>
      </c>
      <c r="G19" s="402" t="s">
        <v>434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84"/>
      <c r="AW19" s="384"/>
      <c r="AX19" s="384"/>
      <c r="AY19" s="384"/>
      <c r="AZ19" s="384"/>
      <c r="BA19" s="384"/>
      <c r="BB19" s="384"/>
      <c r="BC19" s="384"/>
      <c r="BD19" s="384"/>
      <c r="BE19" s="384"/>
      <c r="BF19" s="384"/>
      <c r="BG19" s="384"/>
      <c r="BH19" s="384"/>
      <c r="BI19" s="384"/>
      <c r="BJ19" s="384"/>
      <c r="BK19" s="384"/>
      <c r="BL19" s="384"/>
      <c r="BM19" s="384"/>
      <c r="BN19" s="384"/>
      <c r="BO19" s="384"/>
      <c r="BP19" s="384"/>
      <c r="BQ19" s="384"/>
      <c r="BR19" s="384"/>
      <c r="BS19" s="384"/>
      <c r="BT19" s="384"/>
    </row>
    <row r="20" spans="1:72" s="496" customFormat="1" ht="20.25" customHeight="1" x14ac:dyDescent="0.2">
      <c r="A20" s="403" t="s">
        <v>410</v>
      </c>
      <c r="B20" s="415" t="s">
        <v>440</v>
      </c>
      <c r="C20" s="399" t="s">
        <v>441</v>
      </c>
      <c r="D20" s="399" t="s">
        <v>442</v>
      </c>
      <c r="E20" s="405" t="s">
        <v>434</v>
      </c>
      <c r="F20" s="406" t="s">
        <v>434</v>
      </c>
      <c r="G20" s="407">
        <f>SUM(G22)</f>
        <v>18221</v>
      </c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</row>
    <row r="21" spans="1:72" s="496" customFormat="1" ht="10.5" customHeight="1" x14ac:dyDescent="0.2">
      <c r="A21" s="397"/>
      <c r="B21" s="408"/>
      <c r="C21" s="399"/>
      <c r="D21" s="399"/>
      <c r="E21" s="399"/>
      <c r="F21" s="409"/>
      <c r="G21" s="497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  <c r="BA21" s="384"/>
      <c r="BB21" s="384"/>
      <c r="BC21" s="384"/>
      <c r="BD21" s="384"/>
      <c r="BE21" s="384"/>
      <c r="BF21" s="384"/>
      <c r="BG21" s="384"/>
      <c r="BH21" s="384"/>
      <c r="BI21" s="384"/>
      <c r="BJ21" s="384"/>
      <c r="BK21" s="384"/>
      <c r="BL21" s="384"/>
      <c r="BM21" s="384"/>
      <c r="BN21" s="384"/>
      <c r="BO21" s="384"/>
      <c r="BP21" s="384"/>
      <c r="BQ21" s="384"/>
      <c r="BR21" s="384"/>
      <c r="BS21" s="384"/>
      <c r="BT21" s="384"/>
    </row>
    <row r="22" spans="1:72" s="496" customFormat="1" ht="15.75" customHeight="1" x14ac:dyDescent="0.2">
      <c r="A22" s="397"/>
      <c r="B22" s="498" t="s">
        <v>437</v>
      </c>
      <c r="C22" s="399"/>
      <c r="D22" s="399"/>
      <c r="E22" s="399"/>
      <c r="F22" s="409"/>
      <c r="G22" s="497">
        <f>SUM(G23:G25)</f>
        <v>18221</v>
      </c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4"/>
      <c r="BB22" s="384"/>
      <c r="BC22" s="384"/>
      <c r="BD22" s="384"/>
      <c r="BE22" s="384"/>
      <c r="BF22" s="384"/>
      <c r="BG22" s="384"/>
      <c r="BH22" s="384"/>
      <c r="BI22" s="384"/>
      <c r="BJ22" s="384"/>
      <c r="BK22" s="384"/>
      <c r="BL22" s="384"/>
      <c r="BM22" s="384"/>
      <c r="BN22" s="384"/>
      <c r="BO22" s="384"/>
      <c r="BP22" s="384"/>
      <c r="BQ22" s="384"/>
      <c r="BR22" s="384"/>
      <c r="BS22" s="384"/>
      <c r="BT22" s="384"/>
    </row>
    <row r="23" spans="1:72" s="496" customFormat="1" ht="15.75" customHeight="1" x14ac:dyDescent="0.2">
      <c r="A23" s="397"/>
      <c r="B23" s="398"/>
      <c r="C23" s="399"/>
      <c r="D23" s="399"/>
      <c r="E23" s="399" t="s">
        <v>438</v>
      </c>
      <c r="F23" s="409" t="s">
        <v>434</v>
      </c>
      <c r="G23" s="410">
        <f>8830+8891</f>
        <v>17721</v>
      </c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  <c r="AK23" s="384"/>
      <c r="AL23" s="384"/>
      <c r="AM23" s="384"/>
      <c r="AN23" s="384"/>
      <c r="AO23" s="384"/>
      <c r="AP23" s="384"/>
      <c r="AQ23" s="384"/>
      <c r="AR23" s="384"/>
      <c r="AS23" s="384"/>
      <c r="AT23" s="384"/>
      <c r="AU23" s="384"/>
      <c r="AV23" s="384"/>
      <c r="AW23" s="384"/>
      <c r="AX23" s="384"/>
      <c r="AY23" s="384"/>
      <c r="AZ23" s="384"/>
      <c r="BA23" s="384"/>
      <c r="BB23" s="384"/>
      <c r="BC23" s="384"/>
      <c r="BD23" s="384"/>
      <c r="BE23" s="384"/>
      <c r="BF23" s="384"/>
      <c r="BG23" s="384"/>
      <c r="BH23" s="384"/>
      <c r="BI23" s="384"/>
      <c r="BJ23" s="384"/>
      <c r="BK23" s="384"/>
      <c r="BL23" s="384"/>
      <c r="BM23" s="384"/>
      <c r="BN23" s="384"/>
      <c r="BO23" s="384"/>
      <c r="BP23" s="384"/>
      <c r="BQ23" s="384"/>
      <c r="BR23" s="384"/>
      <c r="BS23" s="384"/>
      <c r="BT23" s="384"/>
    </row>
    <row r="24" spans="1:72" s="496" customFormat="1" ht="15.75" customHeight="1" x14ac:dyDescent="0.2">
      <c r="A24" s="397"/>
      <c r="B24" s="398"/>
      <c r="C24" s="399"/>
      <c r="D24" s="399"/>
      <c r="E24" s="399" t="s">
        <v>443</v>
      </c>
      <c r="F24" s="409" t="s">
        <v>434</v>
      </c>
      <c r="G24" s="410">
        <f>265+205</f>
        <v>470</v>
      </c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  <c r="BG24" s="384"/>
      <c r="BH24" s="384"/>
      <c r="BI24" s="384"/>
      <c r="BJ24" s="384"/>
      <c r="BK24" s="384"/>
      <c r="BL24" s="384"/>
      <c r="BM24" s="384"/>
      <c r="BN24" s="384"/>
      <c r="BO24" s="384"/>
      <c r="BP24" s="384"/>
      <c r="BQ24" s="384"/>
      <c r="BR24" s="384"/>
      <c r="BS24" s="384"/>
      <c r="BT24" s="384"/>
    </row>
    <row r="25" spans="1:72" s="496" customFormat="1" ht="15.75" customHeight="1" x14ac:dyDescent="0.2">
      <c r="A25" s="397"/>
      <c r="B25" s="398"/>
      <c r="C25" s="416"/>
      <c r="D25" s="399"/>
      <c r="E25" s="399" t="s">
        <v>439</v>
      </c>
      <c r="F25" s="409" t="s">
        <v>434</v>
      </c>
      <c r="G25" s="410">
        <v>30</v>
      </c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</row>
    <row r="26" spans="1:72" s="496" customFormat="1" ht="15.75" customHeight="1" x14ac:dyDescent="0.2">
      <c r="A26" s="411"/>
      <c r="B26" s="412"/>
      <c r="C26" s="413"/>
      <c r="D26" s="400"/>
      <c r="E26" s="400"/>
      <c r="F26" s="402"/>
      <c r="G26" s="41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</row>
    <row r="27" spans="1:72" s="496" customFormat="1" ht="15.75" customHeight="1" x14ac:dyDescent="0.2">
      <c r="A27" s="397"/>
      <c r="B27" s="398"/>
      <c r="C27" s="399"/>
      <c r="D27" s="399"/>
      <c r="E27" s="400" t="s">
        <v>19</v>
      </c>
      <c r="F27" s="401">
        <f>119646+106488+19584+20502+11322+7038</f>
        <v>284580</v>
      </c>
      <c r="G27" s="402" t="s">
        <v>434</v>
      </c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</row>
    <row r="28" spans="1:72" s="496" customFormat="1" ht="24" x14ac:dyDescent="0.2">
      <c r="A28" s="403" t="s">
        <v>411</v>
      </c>
      <c r="B28" s="404" t="s">
        <v>444</v>
      </c>
      <c r="C28" s="399" t="s">
        <v>445</v>
      </c>
      <c r="D28" s="399" t="s">
        <v>446</v>
      </c>
      <c r="E28" s="405" t="s">
        <v>434</v>
      </c>
      <c r="F28" s="406" t="s">
        <v>434</v>
      </c>
      <c r="G28" s="407">
        <f>SUM(G30)</f>
        <v>284580</v>
      </c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</row>
    <row r="29" spans="1:72" s="496" customFormat="1" ht="10.5" customHeight="1" x14ac:dyDescent="0.2">
      <c r="A29" s="397"/>
      <c r="B29" s="408"/>
      <c r="C29" s="399"/>
      <c r="D29" s="399"/>
      <c r="E29" s="399"/>
      <c r="F29" s="409"/>
      <c r="G29" s="497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</row>
    <row r="30" spans="1:72" s="496" customFormat="1" ht="15.75" customHeight="1" x14ac:dyDescent="0.2">
      <c r="A30" s="397"/>
      <c r="B30" s="498" t="s">
        <v>437</v>
      </c>
      <c r="C30" s="399"/>
      <c r="D30" s="399"/>
      <c r="E30" s="399"/>
      <c r="F30" s="409"/>
      <c r="G30" s="497">
        <f>SUM(G31:G35)</f>
        <v>284580</v>
      </c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4"/>
      <c r="BC30" s="384"/>
      <c r="BD30" s="384"/>
      <c r="BE30" s="384"/>
      <c r="BF30" s="384"/>
      <c r="BG30" s="384"/>
      <c r="BH30" s="384"/>
      <c r="BI30" s="384"/>
      <c r="BJ30" s="384"/>
      <c r="BK30" s="384"/>
      <c r="BL30" s="384"/>
      <c r="BM30" s="384"/>
      <c r="BN30" s="384"/>
      <c r="BO30" s="384"/>
      <c r="BP30" s="384"/>
      <c r="BQ30" s="384"/>
      <c r="BR30" s="384"/>
      <c r="BS30" s="384"/>
      <c r="BT30" s="384"/>
    </row>
    <row r="31" spans="1:72" s="496" customFormat="1" ht="15.75" customHeight="1" x14ac:dyDescent="0.2">
      <c r="A31" s="397"/>
      <c r="B31" s="398"/>
      <c r="C31" s="399"/>
      <c r="D31" s="399"/>
      <c r="E31" s="399" t="s">
        <v>438</v>
      </c>
      <c r="F31" s="409" t="s">
        <v>434</v>
      </c>
      <c r="G31" s="410">
        <f>117300+104400+19200+20100+11100+6900</f>
        <v>279000</v>
      </c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/>
      <c r="AH31" s="384"/>
      <c r="AI31" s="384"/>
      <c r="AJ31" s="384"/>
      <c r="AK31" s="384"/>
      <c r="AL31" s="384"/>
      <c r="AM31" s="384"/>
      <c r="AN31" s="384"/>
      <c r="AO31" s="384"/>
      <c r="AP31" s="384"/>
      <c r="AQ31" s="384"/>
      <c r="AR31" s="384"/>
      <c r="AS31" s="384"/>
      <c r="AT31" s="384"/>
      <c r="AU31" s="384"/>
      <c r="AV31" s="384"/>
      <c r="AW31" s="384"/>
      <c r="AX31" s="384"/>
      <c r="AY31" s="384"/>
      <c r="AZ31" s="384"/>
      <c r="BA31" s="384"/>
      <c r="BB31" s="384"/>
      <c r="BC31" s="384"/>
      <c r="BD31" s="384"/>
      <c r="BE31" s="384"/>
      <c r="BF31" s="384"/>
      <c r="BG31" s="384"/>
      <c r="BH31" s="384"/>
      <c r="BI31" s="384"/>
      <c r="BJ31" s="384"/>
      <c r="BK31" s="384"/>
      <c r="BL31" s="384"/>
      <c r="BM31" s="384"/>
      <c r="BN31" s="384"/>
      <c r="BO31" s="384"/>
      <c r="BP31" s="384"/>
      <c r="BQ31" s="384"/>
      <c r="BR31" s="384"/>
      <c r="BS31" s="384"/>
      <c r="BT31" s="384"/>
    </row>
    <row r="32" spans="1:72" s="496" customFormat="1" ht="15.75" customHeight="1" x14ac:dyDescent="0.2">
      <c r="A32" s="397"/>
      <c r="B32" s="398"/>
      <c r="C32" s="399"/>
      <c r="D32" s="399"/>
      <c r="E32" s="399" t="s">
        <v>443</v>
      </c>
      <c r="F32" s="409" t="s">
        <v>434</v>
      </c>
      <c r="G32" s="410">
        <f>1955+1733+320+330+185+115</f>
        <v>4638</v>
      </c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4"/>
      <c r="AX32" s="384"/>
      <c r="AY32" s="384"/>
      <c r="AZ32" s="384"/>
      <c r="BA32" s="384"/>
      <c r="BB32" s="384"/>
      <c r="BC32" s="384"/>
      <c r="BD32" s="384"/>
      <c r="BE32" s="384"/>
      <c r="BF32" s="384"/>
      <c r="BG32" s="384"/>
      <c r="BH32" s="384"/>
      <c r="BI32" s="384"/>
      <c r="BJ32" s="384"/>
      <c r="BK32" s="384"/>
      <c r="BL32" s="384"/>
      <c r="BM32" s="384"/>
      <c r="BN32" s="384"/>
      <c r="BO32" s="384"/>
      <c r="BP32" s="384"/>
      <c r="BQ32" s="384"/>
      <c r="BR32" s="384"/>
      <c r="BS32" s="384"/>
      <c r="BT32" s="384"/>
    </row>
    <row r="33" spans="1:72" s="496" customFormat="1" ht="15.75" customHeight="1" x14ac:dyDescent="0.2">
      <c r="A33" s="397"/>
      <c r="B33" s="398"/>
      <c r="C33" s="399"/>
      <c r="D33" s="399"/>
      <c r="E33" s="399" t="s">
        <v>447</v>
      </c>
      <c r="F33" s="409" t="s">
        <v>434</v>
      </c>
      <c r="G33" s="410">
        <f>342+304+56+59+33+21</f>
        <v>815</v>
      </c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</row>
    <row r="34" spans="1:72" s="496" customFormat="1" ht="15.75" customHeight="1" x14ac:dyDescent="0.2">
      <c r="A34" s="397"/>
      <c r="B34" s="398"/>
      <c r="C34" s="399"/>
      <c r="D34" s="399"/>
      <c r="E34" s="399" t="s">
        <v>448</v>
      </c>
      <c r="F34" s="409" t="s">
        <v>434</v>
      </c>
      <c r="G34" s="410">
        <f>49+44+8+8+4+2</f>
        <v>115</v>
      </c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</row>
    <row r="35" spans="1:72" s="496" customFormat="1" ht="15.75" customHeight="1" x14ac:dyDescent="0.2">
      <c r="A35" s="397"/>
      <c r="B35" s="398"/>
      <c r="C35" s="416"/>
      <c r="D35" s="399"/>
      <c r="E35" s="399" t="s">
        <v>449</v>
      </c>
      <c r="F35" s="409" t="s">
        <v>434</v>
      </c>
      <c r="G35" s="410">
        <f>7+5</f>
        <v>12</v>
      </c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</row>
    <row r="36" spans="1:72" s="496" customFormat="1" ht="15.75" customHeight="1" x14ac:dyDescent="0.2">
      <c r="A36" s="411"/>
      <c r="B36" s="412"/>
      <c r="C36" s="413"/>
      <c r="D36" s="400"/>
      <c r="E36" s="400"/>
      <c r="F36" s="402"/>
      <c r="G36" s="41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4"/>
      <c r="AJ36" s="384"/>
      <c r="AK36" s="384"/>
      <c r="AL36" s="384"/>
      <c r="AM36" s="384"/>
      <c r="AN36" s="384"/>
      <c r="AO36" s="384"/>
      <c r="AP36" s="384"/>
      <c r="AQ36" s="384"/>
      <c r="AR36" s="384"/>
      <c r="AS36" s="384"/>
      <c r="AT36" s="384"/>
      <c r="AU36" s="384"/>
      <c r="AV36" s="384"/>
      <c r="AW36" s="384"/>
      <c r="AX36" s="384"/>
      <c r="AY36" s="384"/>
      <c r="AZ36" s="384"/>
      <c r="BA36" s="384"/>
      <c r="BB36" s="384"/>
      <c r="BC36" s="384"/>
      <c r="BD36" s="384"/>
      <c r="BE36" s="384"/>
      <c r="BF36" s="384"/>
      <c r="BG36" s="384"/>
      <c r="BH36" s="384"/>
      <c r="BI36" s="384"/>
      <c r="BJ36" s="384"/>
      <c r="BK36" s="384"/>
      <c r="BL36" s="384"/>
      <c r="BM36" s="384"/>
      <c r="BN36" s="384"/>
      <c r="BO36" s="384"/>
      <c r="BP36" s="384"/>
      <c r="BQ36" s="384"/>
      <c r="BR36" s="384"/>
      <c r="BS36" s="384"/>
      <c r="BT36" s="384"/>
    </row>
    <row r="37" spans="1:72" s="496" customFormat="1" ht="21.75" customHeight="1" x14ac:dyDescent="0.2">
      <c r="A37" s="397"/>
      <c r="B37" s="398"/>
      <c r="C37" s="399" t="s">
        <v>450</v>
      </c>
      <c r="D37" s="399" t="s">
        <v>16</v>
      </c>
      <c r="E37" s="400" t="s">
        <v>19</v>
      </c>
      <c r="F37" s="401">
        <f>55248+183549+25396+225667+26112</f>
        <v>515972</v>
      </c>
      <c r="G37" s="402" t="s">
        <v>434</v>
      </c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4"/>
      <c r="AK37" s="384"/>
      <c r="AL37" s="384"/>
      <c r="AM37" s="384"/>
      <c r="AN37" s="384"/>
      <c r="AO37" s="384"/>
      <c r="AP37" s="384"/>
      <c r="AQ37" s="384"/>
      <c r="AR37" s="384"/>
      <c r="AS37" s="384"/>
      <c r="AT37" s="384"/>
      <c r="AU37" s="384"/>
      <c r="AV37" s="384"/>
      <c r="AW37" s="384"/>
      <c r="AX37" s="384"/>
      <c r="AY37" s="384"/>
      <c r="AZ37" s="384"/>
      <c r="BA37" s="384"/>
      <c r="BB37" s="384"/>
      <c r="BC37" s="384"/>
      <c r="BD37" s="384"/>
      <c r="BE37" s="384"/>
      <c r="BF37" s="384"/>
      <c r="BG37" s="384"/>
      <c r="BH37" s="384"/>
      <c r="BI37" s="384"/>
      <c r="BJ37" s="384"/>
      <c r="BK37" s="384"/>
      <c r="BL37" s="384"/>
      <c r="BM37" s="384"/>
      <c r="BN37" s="384"/>
      <c r="BO37" s="384"/>
      <c r="BP37" s="384"/>
      <c r="BQ37" s="384"/>
      <c r="BR37" s="384"/>
      <c r="BS37" s="384"/>
      <c r="BT37" s="384"/>
    </row>
    <row r="38" spans="1:72" s="496" customFormat="1" ht="25.5" customHeight="1" x14ac:dyDescent="0.2">
      <c r="A38" s="403" t="s">
        <v>412</v>
      </c>
      <c r="B38" s="404" t="s">
        <v>451</v>
      </c>
      <c r="C38" s="399" t="s">
        <v>452</v>
      </c>
      <c r="D38" s="399" t="s">
        <v>453</v>
      </c>
      <c r="E38" s="405" t="s">
        <v>434</v>
      </c>
      <c r="F38" s="406" t="s">
        <v>434</v>
      </c>
      <c r="G38" s="407">
        <f>SUM(G40)</f>
        <v>515972</v>
      </c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  <c r="AC38" s="384"/>
      <c r="AD38" s="384"/>
      <c r="AE38" s="384"/>
      <c r="AF38" s="384"/>
      <c r="AG38" s="384"/>
      <c r="AH38" s="384"/>
      <c r="AI38" s="384"/>
      <c r="AJ38" s="384"/>
      <c r="AK38" s="384"/>
      <c r="AL38" s="384"/>
      <c r="AM38" s="384"/>
      <c r="AN38" s="384"/>
      <c r="AO38" s="384"/>
      <c r="AP38" s="384"/>
      <c r="AQ38" s="384"/>
      <c r="AR38" s="384"/>
      <c r="AS38" s="384"/>
      <c r="AT38" s="384"/>
      <c r="AU38" s="384"/>
      <c r="AV38" s="384"/>
      <c r="AW38" s="384"/>
      <c r="AX38" s="384"/>
      <c r="AY38" s="384"/>
      <c r="AZ38" s="384"/>
      <c r="BA38" s="384"/>
      <c r="BB38" s="384"/>
      <c r="BC38" s="384"/>
      <c r="BD38" s="384"/>
      <c r="BE38" s="384"/>
      <c r="BF38" s="384"/>
      <c r="BG38" s="384"/>
      <c r="BH38" s="384"/>
      <c r="BI38" s="384"/>
      <c r="BJ38" s="384"/>
      <c r="BK38" s="384"/>
      <c r="BL38" s="384"/>
      <c r="BM38" s="384"/>
      <c r="BN38" s="384"/>
      <c r="BO38" s="384"/>
      <c r="BP38" s="384"/>
      <c r="BQ38" s="384"/>
      <c r="BR38" s="384"/>
      <c r="BS38" s="384"/>
      <c r="BT38" s="384"/>
    </row>
    <row r="39" spans="1:72" s="496" customFormat="1" ht="7.5" customHeight="1" x14ac:dyDescent="0.2">
      <c r="A39" s="397"/>
      <c r="B39" s="398"/>
      <c r="C39" s="416"/>
      <c r="D39" s="399"/>
      <c r="E39" s="399"/>
      <c r="F39" s="409"/>
      <c r="G39" s="410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4"/>
      <c r="AI39" s="384"/>
      <c r="AJ39" s="384"/>
      <c r="AK39" s="384"/>
      <c r="AL39" s="384"/>
      <c r="AM39" s="384"/>
      <c r="AN39" s="384"/>
      <c r="AO39" s="384"/>
      <c r="AP39" s="384"/>
      <c r="AQ39" s="384"/>
      <c r="AR39" s="384"/>
      <c r="AS39" s="384"/>
      <c r="AT39" s="384"/>
      <c r="AU39" s="384"/>
      <c r="AV39" s="384"/>
      <c r="AW39" s="384"/>
      <c r="AX39" s="384"/>
      <c r="AY39" s="384"/>
      <c r="AZ39" s="384"/>
      <c r="BA39" s="384"/>
      <c r="BB39" s="384"/>
      <c r="BC39" s="384"/>
      <c r="BD39" s="384"/>
      <c r="BE39" s="384"/>
      <c r="BF39" s="384"/>
      <c r="BG39" s="384"/>
      <c r="BH39" s="384"/>
      <c r="BI39" s="384"/>
      <c r="BJ39" s="384"/>
      <c r="BK39" s="384"/>
      <c r="BL39" s="384"/>
      <c r="BM39" s="384"/>
      <c r="BN39" s="384"/>
      <c r="BO39" s="384"/>
      <c r="BP39" s="384"/>
      <c r="BQ39" s="384"/>
      <c r="BR39" s="384"/>
      <c r="BS39" s="384"/>
      <c r="BT39" s="384"/>
    </row>
    <row r="40" spans="1:72" s="496" customFormat="1" ht="15.75" customHeight="1" x14ac:dyDescent="0.2">
      <c r="A40" s="397"/>
      <c r="B40" s="498" t="s">
        <v>85</v>
      </c>
      <c r="C40" s="416"/>
      <c r="D40" s="399"/>
      <c r="E40" s="399"/>
      <c r="F40" s="409"/>
      <c r="G40" s="497">
        <f>SUM(G41:G46)</f>
        <v>515972</v>
      </c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  <c r="AC40" s="384"/>
      <c r="AD40" s="384"/>
      <c r="AE40" s="384"/>
      <c r="AF40" s="384"/>
      <c r="AG40" s="384"/>
      <c r="AH40" s="384"/>
      <c r="AI40" s="384"/>
      <c r="AJ40" s="384"/>
      <c r="AK40" s="384"/>
      <c r="AL40" s="384"/>
      <c r="AM40" s="384"/>
      <c r="AN40" s="384"/>
      <c r="AO40" s="384"/>
      <c r="AP40" s="384"/>
      <c r="AQ40" s="384"/>
      <c r="AR40" s="384"/>
      <c r="AS40" s="384"/>
      <c r="AT40" s="384"/>
      <c r="AU40" s="384"/>
      <c r="AV40" s="384"/>
      <c r="AW40" s="384"/>
      <c r="AX40" s="384"/>
      <c r="AY40" s="384"/>
      <c r="AZ40" s="384"/>
      <c r="BA40" s="384"/>
      <c r="BB40" s="384"/>
      <c r="BC40" s="384"/>
      <c r="BD40" s="384"/>
      <c r="BE40" s="384"/>
      <c r="BF40" s="384"/>
      <c r="BG40" s="384"/>
      <c r="BH40" s="384"/>
      <c r="BI40" s="384"/>
      <c r="BJ40" s="384"/>
      <c r="BK40" s="384"/>
      <c r="BL40" s="384"/>
      <c r="BM40" s="384"/>
      <c r="BN40" s="384"/>
      <c r="BO40" s="384"/>
      <c r="BP40" s="384"/>
      <c r="BQ40" s="384"/>
      <c r="BR40" s="384"/>
      <c r="BS40" s="384"/>
      <c r="BT40" s="384"/>
    </row>
    <row r="41" spans="1:72" s="496" customFormat="1" ht="15.75" customHeight="1" x14ac:dyDescent="0.2">
      <c r="A41" s="397"/>
      <c r="B41" s="498"/>
      <c r="C41" s="416"/>
      <c r="D41" s="399"/>
      <c r="E41" s="399" t="s">
        <v>443</v>
      </c>
      <c r="F41" s="409" t="s">
        <v>434</v>
      </c>
      <c r="G41" s="410">
        <f>30632.85+3900</f>
        <v>34532.85</v>
      </c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4"/>
      <c r="AE41" s="384"/>
      <c r="AF41" s="384"/>
      <c r="AG41" s="384"/>
      <c r="AH41" s="384"/>
      <c r="AI41" s="384"/>
      <c r="AJ41" s="384"/>
      <c r="AK41" s="384"/>
      <c r="AL41" s="384"/>
      <c r="AM41" s="384"/>
      <c r="AN41" s="384"/>
      <c r="AO41" s="384"/>
      <c r="AP41" s="384"/>
      <c r="AQ41" s="384"/>
      <c r="AR41" s="384"/>
      <c r="AS41" s="384"/>
      <c r="AT41" s="384"/>
      <c r="AU41" s="384"/>
      <c r="AV41" s="384"/>
      <c r="AW41" s="384"/>
      <c r="AX41" s="384"/>
      <c r="AY41" s="384"/>
      <c r="AZ41" s="384"/>
      <c r="BA41" s="384"/>
      <c r="BB41" s="384"/>
      <c r="BC41" s="384"/>
      <c r="BD41" s="384"/>
      <c r="BE41" s="384"/>
      <c r="BF41" s="384"/>
      <c r="BG41" s="384"/>
      <c r="BH41" s="384"/>
      <c r="BI41" s="384"/>
      <c r="BJ41" s="384"/>
      <c r="BK41" s="384"/>
      <c r="BL41" s="384"/>
      <c r="BM41" s="384"/>
      <c r="BN41" s="384"/>
      <c r="BO41" s="384"/>
      <c r="BP41" s="384"/>
      <c r="BQ41" s="384"/>
      <c r="BR41" s="384"/>
      <c r="BS41" s="384"/>
      <c r="BT41" s="384"/>
    </row>
    <row r="42" spans="1:72" s="496" customFormat="1" ht="15.75" customHeight="1" x14ac:dyDescent="0.2">
      <c r="A42" s="397"/>
      <c r="B42" s="498"/>
      <c r="C42" s="416"/>
      <c r="D42" s="399"/>
      <c r="E42" s="399" t="s">
        <v>447</v>
      </c>
      <c r="F42" s="409" t="s">
        <v>434</v>
      </c>
      <c r="G42" s="410">
        <f>32323.13+4574.16+7613.82+38341.08+4442.57-997.86-627.21</f>
        <v>85669.69</v>
      </c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4"/>
      <c r="AL42" s="384"/>
      <c r="AM42" s="384"/>
      <c r="AN42" s="384"/>
      <c r="AO42" s="384"/>
      <c r="AP42" s="384"/>
      <c r="AQ42" s="384"/>
      <c r="AR42" s="384"/>
      <c r="AS42" s="384"/>
      <c r="AT42" s="384"/>
      <c r="AU42" s="384"/>
      <c r="AV42" s="384"/>
      <c r="AW42" s="384"/>
      <c r="AX42" s="384"/>
      <c r="AY42" s="384"/>
      <c r="AZ42" s="384"/>
      <c r="BA42" s="384"/>
      <c r="BB42" s="384"/>
      <c r="BC42" s="384"/>
      <c r="BD42" s="384"/>
      <c r="BE42" s="384"/>
      <c r="BF42" s="384"/>
      <c r="BG42" s="384"/>
      <c r="BH42" s="384"/>
      <c r="BI42" s="384"/>
      <c r="BJ42" s="384"/>
      <c r="BK42" s="384"/>
      <c r="BL42" s="384"/>
      <c r="BM42" s="384"/>
      <c r="BN42" s="384"/>
      <c r="BO42" s="384"/>
      <c r="BP42" s="384"/>
      <c r="BQ42" s="384"/>
      <c r="BR42" s="384"/>
      <c r="BS42" s="384"/>
      <c r="BT42" s="384"/>
    </row>
    <row r="43" spans="1:72" s="496" customFormat="1" ht="15.75" customHeight="1" x14ac:dyDescent="0.2">
      <c r="A43" s="397"/>
      <c r="B43" s="498"/>
      <c r="C43" s="416"/>
      <c r="D43" s="399"/>
      <c r="E43" s="399" t="s">
        <v>448</v>
      </c>
      <c r="F43" s="409" t="s">
        <v>434</v>
      </c>
      <c r="G43" s="410">
        <f>4353.47+616.06+1046.73+5464.53+633.18-86.42-75.66</f>
        <v>11951.890000000001</v>
      </c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84"/>
      <c r="AM43" s="384"/>
      <c r="AN43" s="384"/>
      <c r="AO43" s="384"/>
      <c r="AP43" s="384"/>
      <c r="AQ43" s="384"/>
      <c r="AR43" s="384"/>
      <c r="AS43" s="384"/>
      <c r="AT43" s="384"/>
      <c r="AU43" s="384"/>
      <c r="AV43" s="384"/>
      <c r="AW43" s="384"/>
      <c r="AX43" s="384"/>
      <c r="AY43" s="384"/>
      <c r="AZ43" s="384"/>
      <c r="BA43" s="384"/>
      <c r="BB43" s="384"/>
      <c r="BC43" s="384"/>
      <c r="BD43" s="384"/>
      <c r="BE43" s="384"/>
      <c r="BF43" s="384"/>
      <c r="BG43" s="384"/>
      <c r="BH43" s="384"/>
      <c r="BI43" s="384"/>
      <c r="BJ43" s="384"/>
      <c r="BK43" s="384"/>
      <c r="BL43" s="384"/>
      <c r="BM43" s="384"/>
      <c r="BN43" s="384"/>
      <c r="BO43" s="384"/>
      <c r="BP43" s="384"/>
      <c r="BQ43" s="384"/>
      <c r="BR43" s="384"/>
      <c r="BS43" s="384"/>
      <c r="BT43" s="384"/>
    </row>
    <row r="44" spans="1:72" s="496" customFormat="1" ht="15.75" customHeight="1" x14ac:dyDescent="0.2">
      <c r="A44" s="397"/>
      <c r="B44" s="398"/>
      <c r="C44" s="416"/>
      <c r="D44" s="399"/>
      <c r="E44" s="399" t="s">
        <v>439</v>
      </c>
      <c r="F44" s="409" t="s">
        <v>434</v>
      </c>
      <c r="G44" s="410">
        <f>827.5+2000+250+1920+162.5-200+37.5</f>
        <v>4997.5</v>
      </c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  <c r="AQ44" s="384"/>
      <c r="AR44" s="384"/>
      <c r="AS44" s="384"/>
      <c r="AT44" s="384"/>
      <c r="AU44" s="384"/>
      <c r="AV44" s="384"/>
      <c r="AW44" s="384"/>
      <c r="AX44" s="384"/>
      <c r="AY44" s="384"/>
      <c r="AZ44" s="384"/>
      <c r="BA44" s="384"/>
      <c r="BB44" s="384"/>
      <c r="BC44" s="384"/>
      <c r="BD44" s="384"/>
      <c r="BE44" s="384"/>
      <c r="BF44" s="384"/>
      <c r="BG44" s="384"/>
      <c r="BH44" s="384"/>
      <c r="BI44" s="384"/>
      <c r="BJ44" s="384"/>
      <c r="BK44" s="384"/>
      <c r="BL44" s="384"/>
      <c r="BM44" s="384"/>
      <c r="BN44" s="384"/>
      <c r="BO44" s="384"/>
      <c r="BP44" s="384"/>
      <c r="BQ44" s="384"/>
      <c r="BR44" s="384"/>
      <c r="BS44" s="384"/>
      <c r="BT44" s="384"/>
    </row>
    <row r="45" spans="1:72" s="496" customFormat="1" ht="15.75" customHeight="1" x14ac:dyDescent="0.2">
      <c r="A45" s="397"/>
      <c r="B45" s="398"/>
      <c r="C45" s="416"/>
      <c r="D45" s="399"/>
      <c r="E45" s="399" t="s">
        <v>449</v>
      </c>
      <c r="F45" s="409" t="s">
        <v>434</v>
      </c>
      <c r="G45" s="410">
        <f>502.76+307.42</f>
        <v>810.18000000000006</v>
      </c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384"/>
      <c r="AN45" s="384"/>
      <c r="AO45" s="384"/>
      <c r="AP45" s="384"/>
      <c r="AQ45" s="384"/>
      <c r="AR45" s="384"/>
      <c r="AS45" s="384"/>
      <c r="AT45" s="384"/>
      <c r="AU45" s="384"/>
      <c r="AV45" s="384"/>
      <c r="AW45" s="384"/>
      <c r="AX45" s="384"/>
      <c r="AY45" s="384"/>
      <c r="AZ45" s="384"/>
      <c r="BA45" s="384"/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4"/>
      <c r="BT45" s="384"/>
    </row>
    <row r="46" spans="1:72" s="496" customFormat="1" ht="15.75" customHeight="1" x14ac:dyDescent="0.2">
      <c r="A46" s="397"/>
      <c r="B46" s="398"/>
      <c r="C46" s="416"/>
      <c r="D46" s="399"/>
      <c r="E46" s="399" t="s">
        <v>454</v>
      </c>
      <c r="F46" s="409" t="s">
        <v>434</v>
      </c>
      <c r="G46" s="410">
        <f>53286.35+141018.39+19955.78-9163.31+179941.39+20873.75-24667.83-3234.63</f>
        <v>378009.89</v>
      </c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</row>
    <row r="47" spans="1:72" s="496" customFormat="1" ht="7.5" customHeight="1" x14ac:dyDescent="0.2">
      <c r="A47" s="411"/>
      <c r="B47" s="412"/>
      <c r="C47" s="413"/>
      <c r="D47" s="400"/>
      <c r="E47" s="400"/>
      <c r="F47" s="402"/>
      <c r="G47" s="41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</row>
    <row r="48" spans="1:72" s="496" customFormat="1" ht="15.75" customHeight="1" x14ac:dyDescent="0.2">
      <c r="A48" s="397"/>
      <c r="B48" s="398"/>
      <c r="C48" s="399"/>
      <c r="D48" s="399"/>
      <c r="E48" s="400" t="s">
        <v>19</v>
      </c>
      <c r="F48" s="401">
        <f>6242.96+5773.4+1431.89</f>
        <v>13448.25</v>
      </c>
      <c r="G48" s="402" t="s">
        <v>434</v>
      </c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4"/>
      <c r="AJ48" s="384"/>
      <c r="AK48" s="384"/>
      <c r="AL48" s="384"/>
      <c r="AM48" s="384"/>
      <c r="AN48" s="384"/>
      <c r="AO48" s="384"/>
      <c r="AP48" s="384"/>
      <c r="AQ48" s="384"/>
      <c r="AR48" s="384"/>
      <c r="AS48" s="384"/>
      <c r="AT48" s="384"/>
      <c r="AU48" s="384"/>
      <c r="AV48" s="384"/>
      <c r="AW48" s="384"/>
      <c r="AX48" s="384"/>
      <c r="AY48" s="384"/>
      <c r="AZ48" s="384"/>
      <c r="BA48" s="384"/>
      <c r="BB48" s="384"/>
      <c r="BC48" s="384"/>
      <c r="BD48" s="384"/>
      <c r="BE48" s="384"/>
      <c r="BF48" s="384"/>
      <c r="BG48" s="384"/>
      <c r="BH48" s="384"/>
      <c r="BI48" s="384"/>
      <c r="BJ48" s="384"/>
      <c r="BK48" s="384"/>
      <c r="BL48" s="384"/>
      <c r="BM48" s="384"/>
      <c r="BN48" s="384"/>
      <c r="BO48" s="384"/>
      <c r="BP48" s="384"/>
      <c r="BQ48" s="384"/>
      <c r="BR48" s="384"/>
      <c r="BS48" s="384"/>
      <c r="BT48" s="384"/>
    </row>
    <row r="49" spans="1:72" s="496" customFormat="1" ht="24" customHeight="1" x14ac:dyDescent="0.2">
      <c r="A49" s="403" t="s">
        <v>413</v>
      </c>
      <c r="B49" s="415" t="s">
        <v>455</v>
      </c>
      <c r="C49" s="399" t="s">
        <v>456</v>
      </c>
      <c r="D49" s="399" t="s">
        <v>457</v>
      </c>
      <c r="E49" s="405" t="s">
        <v>434</v>
      </c>
      <c r="F49" s="406" t="s">
        <v>434</v>
      </c>
      <c r="G49" s="407">
        <f>SUM(G51)</f>
        <v>13448.25</v>
      </c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384"/>
      <c r="AG49" s="384"/>
      <c r="AH49" s="384"/>
      <c r="AI49" s="384"/>
      <c r="AJ49" s="384"/>
      <c r="AK49" s="384"/>
      <c r="AL49" s="384"/>
      <c r="AM49" s="384"/>
      <c r="AN49" s="384"/>
      <c r="AO49" s="384"/>
      <c r="AP49" s="384"/>
      <c r="AQ49" s="384"/>
      <c r="AR49" s="384"/>
      <c r="AS49" s="384"/>
      <c r="AT49" s="384"/>
      <c r="AU49" s="384"/>
      <c r="AV49" s="384"/>
      <c r="AW49" s="384"/>
      <c r="AX49" s="384"/>
      <c r="AY49" s="384"/>
      <c r="AZ49" s="384"/>
      <c r="BA49" s="384"/>
      <c r="BB49" s="384"/>
      <c r="BC49" s="384"/>
      <c r="BD49" s="384"/>
      <c r="BE49" s="384"/>
      <c r="BF49" s="384"/>
      <c r="BG49" s="384"/>
      <c r="BH49" s="384"/>
      <c r="BI49" s="384"/>
      <c r="BJ49" s="384"/>
      <c r="BK49" s="384"/>
      <c r="BL49" s="384"/>
      <c r="BM49" s="384"/>
      <c r="BN49" s="384"/>
      <c r="BO49" s="384"/>
      <c r="BP49" s="384"/>
      <c r="BQ49" s="384"/>
      <c r="BR49" s="384"/>
      <c r="BS49" s="384"/>
      <c r="BT49" s="384"/>
    </row>
    <row r="50" spans="1:72" s="496" customFormat="1" ht="10.5" customHeight="1" x14ac:dyDescent="0.2">
      <c r="A50" s="397"/>
      <c r="B50" s="408"/>
      <c r="C50" s="399"/>
      <c r="D50" s="399"/>
      <c r="E50" s="399"/>
      <c r="F50" s="409"/>
      <c r="G50" s="497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384"/>
      <c r="BN50" s="384"/>
      <c r="BO50" s="384"/>
      <c r="BP50" s="384"/>
      <c r="BQ50" s="384"/>
      <c r="BR50" s="384"/>
      <c r="BS50" s="384"/>
      <c r="BT50" s="384"/>
    </row>
    <row r="51" spans="1:72" s="496" customFormat="1" ht="15.75" customHeight="1" x14ac:dyDescent="0.2">
      <c r="A51" s="397"/>
      <c r="B51" s="498" t="s">
        <v>458</v>
      </c>
      <c r="C51" s="399"/>
      <c r="D51" s="399"/>
      <c r="E51" s="399"/>
      <c r="F51" s="409"/>
      <c r="G51" s="497">
        <f>SUM(G52:G54)</f>
        <v>13448.25</v>
      </c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  <c r="AE51" s="384"/>
      <c r="AF51" s="384"/>
      <c r="AG51" s="384"/>
      <c r="AH51" s="384"/>
      <c r="AI51" s="384"/>
      <c r="AJ51" s="384"/>
      <c r="AK51" s="384"/>
      <c r="AL51" s="384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4"/>
      <c r="AX51" s="384"/>
      <c r="AY51" s="384"/>
      <c r="AZ51" s="384"/>
      <c r="BA51" s="384"/>
      <c r="BB51" s="384"/>
      <c r="BC51" s="384"/>
      <c r="BD51" s="384"/>
      <c r="BE51" s="384"/>
      <c r="BF51" s="384"/>
      <c r="BG51" s="384"/>
      <c r="BH51" s="384"/>
      <c r="BI51" s="384"/>
      <c r="BJ51" s="384"/>
      <c r="BK51" s="384"/>
      <c r="BL51" s="384"/>
      <c r="BM51" s="384"/>
      <c r="BN51" s="384"/>
      <c r="BO51" s="384"/>
      <c r="BP51" s="384"/>
      <c r="BQ51" s="384"/>
      <c r="BR51" s="384"/>
      <c r="BS51" s="384"/>
      <c r="BT51" s="384"/>
    </row>
    <row r="52" spans="1:72" s="496" customFormat="1" ht="15.75" customHeight="1" x14ac:dyDescent="0.2">
      <c r="A52" s="397"/>
      <c r="B52" s="398"/>
      <c r="C52" s="399"/>
      <c r="D52" s="399"/>
      <c r="E52" s="399" t="s">
        <v>443</v>
      </c>
      <c r="F52" s="409" t="s">
        <v>434</v>
      </c>
      <c r="G52" s="410">
        <f>5218.13+4825.64+1196.83</f>
        <v>11240.6</v>
      </c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84"/>
      <c r="AG52" s="384"/>
      <c r="AH52" s="384"/>
      <c r="AI52" s="384"/>
      <c r="AJ52" s="384"/>
      <c r="AK52" s="384"/>
      <c r="AL52" s="384"/>
      <c r="AM52" s="384"/>
      <c r="AN52" s="384"/>
      <c r="AO52" s="384"/>
      <c r="AP52" s="384"/>
      <c r="AQ52" s="384"/>
      <c r="AR52" s="384"/>
      <c r="AS52" s="384"/>
      <c r="AT52" s="384"/>
      <c r="AU52" s="384"/>
      <c r="AV52" s="384"/>
      <c r="AW52" s="384"/>
      <c r="AX52" s="384"/>
      <c r="AY52" s="384"/>
      <c r="AZ52" s="384"/>
      <c r="BA52" s="384"/>
      <c r="BB52" s="384"/>
      <c r="BC52" s="384"/>
      <c r="BD52" s="384"/>
      <c r="BE52" s="384"/>
      <c r="BF52" s="384"/>
      <c r="BG52" s="384"/>
      <c r="BH52" s="384"/>
      <c r="BI52" s="384"/>
      <c r="BJ52" s="384"/>
      <c r="BK52" s="384"/>
      <c r="BL52" s="384"/>
      <c r="BM52" s="384"/>
      <c r="BN52" s="384"/>
      <c r="BO52" s="384"/>
      <c r="BP52" s="384"/>
      <c r="BQ52" s="384"/>
      <c r="BR52" s="384"/>
      <c r="BS52" s="384"/>
      <c r="BT52" s="384"/>
    </row>
    <row r="53" spans="1:72" s="496" customFormat="1" ht="15.75" customHeight="1" x14ac:dyDescent="0.2">
      <c r="A53" s="397"/>
      <c r="B53" s="398"/>
      <c r="C53" s="399"/>
      <c r="D53" s="399"/>
      <c r="E53" s="399" t="s">
        <v>447</v>
      </c>
      <c r="F53" s="409" t="s">
        <v>434</v>
      </c>
      <c r="G53" s="410">
        <f>897+829.53+205.74</f>
        <v>1932.27</v>
      </c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</row>
    <row r="54" spans="1:72" s="496" customFormat="1" ht="15.75" customHeight="1" x14ac:dyDescent="0.2">
      <c r="A54" s="397"/>
      <c r="B54" s="398"/>
      <c r="C54" s="399"/>
      <c r="D54" s="399"/>
      <c r="E54" s="399" t="s">
        <v>448</v>
      </c>
      <c r="F54" s="409" t="s">
        <v>434</v>
      </c>
      <c r="G54" s="410">
        <f>127.83+118.23+29.32</f>
        <v>275.38</v>
      </c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  <c r="AC54" s="384"/>
      <c r="AD54" s="384"/>
      <c r="AE54" s="384"/>
      <c r="AF54" s="384"/>
      <c r="AG54" s="384"/>
      <c r="AH54" s="384"/>
      <c r="AI54" s="384"/>
      <c r="AJ54" s="384"/>
      <c r="AK54" s="384"/>
      <c r="AL54" s="384"/>
      <c r="AM54" s="384"/>
      <c r="AN54" s="384"/>
      <c r="AO54" s="384"/>
      <c r="AP54" s="384"/>
      <c r="AQ54" s="384"/>
      <c r="AR54" s="384"/>
      <c r="AS54" s="384"/>
      <c r="AT54" s="384"/>
      <c r="AU54" s="384"/>
      <c r="AV54" s="384"/>
      <c r="AW54" s="384"/>
      <c r="AX54" s="384"/>
      <c r="AY54" s="384"/>
      <c r="AZ54" s="384"/>
      <c r="BA54" s="384"/>
      <c r="BB54" s="384"/>
      <c r="BC54" s="384"/>
      <c r="BD54" s="384"/>
      <c r="BE54" s="384"/>
      <c r="BF54" s="384"/>
      <c r="BG54" s="384"/>
      <c r="BH54" s="384"/>
      <c r="BI54" s="384"/>
      <c r="BJ54" s="384"/>
      <c r="BK54" s="384"/>
      <c r="BL54" s="384"/>
      <c r="BM54" s="384"/>
      <c r="BN54" s="384"/>
      <c r="BO54" s="384"/>
      <c r="BP54" s="384"/>
      <c r="BQ54" s="384"/>
      <c r="BR54" s="384"/>
      <c r="BS54" s="384"/>
      <c r="BT54" s="384"/>
    </row>
    <row r="55" spans="1:72" s="496" customFormat="1" ht="15.75" customHeight="1" x14ac:dyDescent="0.2">
      <c r="A55" s="411"/>
      <c r="B55" s="412"/>
      <c r="C55" s="413"/>
      <c r="D55" s="400"/>
      <c r="E55" s="400"/>
      <c r="F55" s="402"/>
      <c r="G55" s="41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</row>
    <row r="56" spans="1:72" s="496" customFormat="1" ht="15.75" customHeight="1" x14ac:dyDescent="0.2">
      <c r="A56" s="397"/>
      <c r="B56" s="398"/>
      <c r="C56" s="399"/>
      <c r="D56" s="399"/>
      <c r="E56" s="400" t="s">
        <v>42</v>
      </c>
      <c r="F56" s="401">
        <f>193360+150000+300000+1504+122160+1824+289960</f>
        <v>1058808</v>
      </c>
      <c r="G56" s="402" t="s">
        <v>434</v>
      </c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384"/>
      <c r="AE56" s="384"/>
      <c r="AF56" s="384"/>
      <c r="AG56" s="384"/>
      <c r="AH56" s="384"/>
      <c r="AI56" s="384"/>
      <c r="AJ56" s="384"/>
      <c r="AK56" s="384"/>
      <c r="AL56" s="384"/>
      <c r="AM56" s="384"/>
      <c r="AN56" s="384"/>
      <c r="AO56" s="384"/>
      <c r="AP56" s="384"/>
      <c r="AQ56" s="384"/>
      <c r="AR56" s="384"/>
      <c r="AS56" s="384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  <c r="BP56" s="384"/>
      <c r="BQ56" s="384"/>
      <c r="BR56" s="384"/>
      <c r="BS56" s="384"/>
      <c r="BT56" s="384"/>
    </row>
    <row r="57" spans="1:72" s="496" customFormat="1" ht="25.5" customHeight="1" x14ac:dyDescent="0.2">
      <c r="A57" s="403" t="s">
        <v>414</v>
      </c>
      <c r="B57" s="404" t="s">
        <v>459</v>
      </c>
      <c r="C57" s="399" t="s">
        <v>460</v>
      </c>
      <c r="D57" s="399" t="s">
        <v>461</v>
      </c>
      <c r="E57" s="405" t="s">
        <v>434</v>
      </c>
      <c r="F57" s="406" t="s">
        <v>434</v>
      </c>
      <c r="G57" s="407">
        <f>SUM(G59)</f>
        <v>1058808</v>
      </c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  <c r="BF57" s="384"/>
      <c r="BG57" s="384"/>
      <c r="BH57" s="384"/>
      <c r="BI57" s="384"/>
      <c r="BJ57" s="384"/>
      <c r="BK57" s="384"/>
      <c r="BL57" s="384"/>
      <c r="BM57" s="384"/>
      <c r="BN57" s="384"/>
      <c r="BO57" s="384"/>
      <c r="BP57" s="384"/>
      <c r="BQ57" s="384"/>
      <c r="BR57" s="384"/>
      <c r="BS57" s="384"/>
      <c r="BT57" s="384"/>
    </row>
    <row r="58" spans="1:72" s="496" customFormat="1" ht="10.5" customHeight="1" x14ac:dyDescent="0.2">
      <c r="A58" s="397"/>
      <c r="B58" s="408"/>
      <c r="C58" s="399"/>
      <c r="D58" s="399"/>
      <c r="E58" s="399"/>
      <c r="F58" s="409"/>
      <c r="G58" s="497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384"/>
      <c r="AA58" s="384"/>
      <c r="AB58" s="384"/>
      <c r="AC58" s="384"/>
      <c r="AD58" s="384"/>
      <c r="AE58" s="384"/>
      <c r="AF58" s="384"/>
      <c r="AG58" s="384"/>
      <c r="AH58" s="384"/>
      <c r="AI58" s="384"/>
      <c r="AJ58" s="384"/>
      <c r="AK58" s="384"/>
      <c r="AL58" s="384"/>
      <c r="AM58" s="384"/>
      <c r="AN58" s="384"/>
      <c r="AO58" s="384"/>
      <c r="AP58" s="384"/>
      <c r="AQ58" s="384"/>
      <c r="AR58" s="384"/>
      <c r="AS58" s="384"/>
      <c r="AT58" s="384"/>
      <c r="AU58" s="384"/>
      <c r="AV58" s="384"/>
      <c r="AW58" s="384"/>
      <c r="AX58" s="384"/>
      <c r="AY58" s="384"/>
      <c r="AZ58" s="384"/>
      <c r="BA58" s="384"/>
      <c r="BB58" s="384"/>
      <c r="BC58" s="384"/>
      <c r="BD58" s="384"/>
      <c r="BE58" s="384"/>
      <c r="BF58" s="384"/>
      <c r="BG58" s="384"/>
      <c r="BH58" s="384"/>
      <c r="BI58" s="384"/>
      <c r="BJ58" s="384"/>
      <c r="BK58" s="384"/>
      <c r="BL58" s="384"/>
      <c r="BM58" s="384"/>
      <c r="BN58" s="384"/>
      <c r="BO58" s="384"/>
      <c r="BP58" s="384"/>
      <c r="BQ58" s="384"/>
      <c r="BR58" s="384"/>
      <c r="BS58" s="384"/>
      <c r="BT58" s="384"/>
    </row>
    <row r="59" spans="1:72" s="496" customFormat="1" ht="15.75" customHeight="1" x14ac:dyDescent="0.2">
      <c r="A59" s="397"/>
      <c r="B59" s="498" t="s">
        <v>437</v>
      </c>
      <c r="C59" s="399"/>
      <c r="D59" s="399"/>
      <c r="E59" s="399"/>
      <c r="F59" s="409"/>
      <c r="G59" s="497">
        <f>SUM(G60:G63)</f>
        <v>1058808</v>
      </c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</row>
    <row r="60" spans="1:72" s="496" customFormat="1" ht="15.75" customHeight="1" x14ac:dyDescent="0.2">
      <c r="A60" s="397"/>
      <c r="B60" s="398"/>
      <c r="C60" s="399"/>
      <c r="D60" s="399"/>
      <c r="E60" s="399" t="s">
        <v>438</v>
      </c>
      <c r="F60" s="409" t="s">
        <v>434</v>
      </c>
      <c r="G60" s="410">
        <f>193360+150000+300000+122160+289960</f>
        <v>1055480</v>
      </c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4"/>
      <c r="AK60" s="384"/>
      <c r="AL60" s="384"/>
      <c r="AM60" s="384"/>
      <c r="AN60" s="384"/>
      <c r="AO60" s="384"/>
      <c r="AP60" s="384"/>
      <c r="AQ60" s="384"/>
      <c r="AR60" s="384"/>
      <c r="AS60" s="384"/>
      <c r="AT60" s="384"/>
      <c r="AU60" s="384"/>
      <c r="AV60" s="384"/>
      <c r="AW60" s="384"/>
      <c r="AX60" s="384"/>
      <c r="AY60" s="384"/>
      <c r="AZ60" s="384"/>
      <c r="BA60" s="384"/>
      <c r="BB60" s="384"/>
      <c r="BC60" s="384"/>
      <c r="BD60" s="384"/>
      <c r="BE60" s="384"/>
      <c r="BF60" s="384"/>
      <c r="BG60" s="384"/>
      <c r="BH60" s="384"/>
      <c r="BI60" s="384"/>
      <c r="BJ60" s="384"/>
      <c r="BK60" s="384"/>
      <c r="BL60" s="384"/>
      <c r="BM60" s="384"/>
      <c r="BN60" s="384"/>
      <c r="BO60" s="384"/>
      <c r="BP60" s="384"/>
      <c r="BQ60" s="384"/>
      <c r="BR60" s="384"/>
      <c r="BS60" s="384"/>
      <c r="BT60" s="384"/>
    </row>
    <row r="61" spans="1:72" s="496" customFormat="1" ht="15.75" customHeight="1" x14ac:dyDescent="0.2">
      <c r="A61" s="397"/>
      <c r="B61" s="398"/>
      <c r="C61" s="416"/>
      <c r="D61" s="399"/>
      <c r="E61" s="399" t="s">
        <v>443</v>
      </c>
      <c r="F61" s="409" t="s">
        <v>434</v>
      </c>
      <c r="G61" s="410">
        <f>1254+1520</f>
        <v>2774</v>
      </c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4"/>
      <c r="AL61" s="384"/>
      <c r="AM61" s="384"/>
      <c r="AN61" s="384"/>
      <c r="AO61" s="384"/>
      <c r="AP61" s="384"/>
      <c r="AQ61" s="384"/>
      <c r="AR61" s="384"/>
      <c r="AS61" s="384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  <c r="BF61" s="384"/>
      <c r="BG61" s="384"/>
      <c r="BH61" s="384"/>
      <c r="BI61" s="384"/>
      <c r="BJ61" s="384"/>
      <c r="BK61" s="384"/>
      <c r="BL61" s="384"/>
      <c r="BM61" s="384"/>
      <c r="BN61" s="384"/>
      <c r="BO61" s="384"/>
      <c r="BP61" s="384"/>
      <c r="BQ61" s="384"/>
      <c r="BR61" s="384"/>
      <c r="BS61" s="384"/>
      <c r="BT61" s="384"/>
    </row>
    <row r="62" spans="1:72" s="496" customFormat="1" ht="15.75" customHeight="1" x14ac:dyDescent="0.2">
      <c r="A62" s="397"/>
      <c r="B62" s="398"/>
      <c r="C62" s="416"/>
      <c r="D62" s="399"/>
      <c r="E62" s="399" t="s">
        <v>447</v>
      </c>
      <c r="F62" s="409" t="s">
        <v>434</v>
      </c>
      <c r="G62" s="410">
        <f>219+266</f>
        <v>485</v>
      </c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  <c r="Z62" s="384"/>
      <c r="AA62" s="384"/>
      <c r="AB62" s="384"/>
      <c r="AC62" s="384"/>
      <c r="AD62" s="384"/>
      <c r="AE62" s="384"/>
      <c r="AF62" s="384"/>
      <c r="AG62" s="384"/>
      <c r="AH62" s="384"/>
      <c r="AI62" s="384"/>
      <c r="AJ62" s="384"/>
      <c r="AK62" s="384"/>
      <c r="AL62" s="384"/>
      <c r="AM62" s="384"/>
      <c r="AN62" s="384"/>
      <c r="AO62" s="384"/>
      <c r="AP62" s="384"/>
      <c r="AQ62" s="384"/>
      <c r="AR62" s="384"/>
      <c r="AS62" s="384"/>
      <c r="AT62" s="384"/>
      <c r="AU62" s="384"/>
      <c r="AV62" s="384"/>
      <c r="AW62" s="384"/>
      <c r="AX62" s="384"/>
      <c r="AY62" s="384"/>
      <c r="AZ62" s="384"/>
      <c r="BA62" s="384"/>
      <c r="BB62" s="384"/>
      <c r="BC62" s="384"/>
      <c r="BD62" s="384"/>
      <c r="BE62" s="384"/>
      <c r="BF62" s="384"/>
      <c r="BG62" s="384"/>
      <c r="BH62" s="384"/>
      <c r="BI62" s="384"/>
      <c r="BJ62" s="384"/>
      <c r="BK62" s="384"/>
      <c r="BL62" s="384"/>
      <c r="BM62" s="384"/>
      <c r="BN62" s="384"/>
      <c r="BO62" s="384"/>
      <c r="BP62" s="384"/>
      <c r="BQ62" s="384"/>
      <c r="BR62" s="384"/>
      <c r="BS62" s="384"/>
      <c r="BT62" s="384"/>
    </row>
    <row r="63" spans="1:72" s="496" customFormat="1" ht="15.75" customHeight="1" x14ac:dyDescent="0.2">
      <c r="A63" s="397"/>
      <c r="B63" s="398"/>
      <c r="C63" s="416"/>
      <c r="D63" s="399"/>
      <c r="E63" s="399" t="s">
        <v>448</v>
      </c>
      <c r="F63" s="409" t="s">
        <v>434</v>
      </c>
      <c r="G63" s="410">
        <f>31+38</f>
        <v>69</v>
      </c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4"/>
      <c r="AF63" s="384"/>
      <c r="AG63" s="384"/>
      <c r="AH63" s="384"/>
      <c r="AI63" s="384"/>
      <c r="AJ63" s="384"/>
      <c r="AK63" s="384"/>
      <c r="AL63" s="384"/>
      <c r="AM63" s="384"/>
      <c r="AN63" s="384"/>
      <c r="AO63" s="384"/>
      <c r="AP63" s="384"/>
      <c r="AQ63" s="384"/>
      <c r="AR63" s="384"/>
      <c r="AS63" s="384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  <c r="BF63" s="384"/>
      <c r="BG63" s="384"/>
      <c r="BH63" s="384"/>
      <c r="BI63" s="384"/>
      <c r="BJ63" s="384"/>
      <c r="BK63" s="384"/>
      <c r="BL63" s="384"/>
      <c r="BM63" s="384"/>
      <c r="BN63" s="384"/>
      <c r="BO63" s="384"/>
      <c r="BP63" s="384"/>
      <c r="BQ63" s="384"/>
      <c r="BR63" s="384"/>
      <c r="BS63" s="384"/>
      <c r="BT63" s="384"/>
    </row>
    <row r="64" spans="1:72" s="496" customFormat="1" ht="15.75" customHeight="1" x14ac:dyDescent="0.2">
      <c r="A64" s="411"/>
      <c r="B64" s="412"/>
      <c r="C64" s="413"/>
      <c r="D64" s="400"/>
      <c r="E64" s="400"/>
      <c r="F64" s="402"/>
      <c r="G64" s="41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</row>
    <row r="65" spans="1:72" s="496" customFormat="1" ht="15.75" customHeight="1" x14ac:dyDescent="0.2">
      <c r="A65" s="397"/>
      <c r="B65" s="398"/>
      <c r="C65" s="399"/>
      <c r="D65" s="399"/>
      <c r="E65" s="400" t="s">
        <v>42</v>
      </c>
      <c r="F65" s="401">
        <f>195780+264660</f>
        <v>460440</v>
      </c>
      <c r="G65" s="402" t="s">
        <v>434</v>
      </c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  <c r="Z65" s="384"/>
      <c r="AA65" s="384"/>
      <c r="AB65" s="384"/>
      <c r="AC65" s="384"/>
      <c r="AD65" s="384"/>
      <c r="AE65" s="384"/>
      <c r="AF65" s="384"/>
      <c r="AG65" s="384"/>
      <c r="AH65" s="384"/>
      <c r="AI65" s="384"/>
      <c r="AJ65" s="384"/>
      <c r="AK65" s="384"/>
      <c r="AL65" s="384"/>
      <c r="AM65" s="384"/>
      <c r="AN65" s="384"/>
      <c r="AO65" s="384"/>
      <c r="AP65" s="384"/>
      <c r="AQ65" s="384"/>
      <c r="AR65" s="384"/>
      <c r="AS65" s="384"/>
      <c r="AT65" s="384"/>
      <c r="AU65" s="384"/>
      <c r="AV65" s="384"/>
      <c r="AW65" s="384"/>
      <c r="AX65" s="384"/>
      <c r="AY65" s="384"/>
      <c r="AZ65" s="384"/>
      <c r="BA65" s="384"/>
      <c r="BB65" s="384"/>
      <c r="BC65" s="384"/>
      <c r="BD65" s="384"/>
      <c r="BE65" s="384"/>
      <c r="BF65" s="384"/>
      <c r="BG65" s="384"/>
      <c r="BH65" s="384"/>
      <c r="BI65" s="384"/>
      <c r="BJ65" s="384"/>
      <c r="BK65" s="384"/>
      <c r="BL65" s="384"/>
      <c r="BM65" s="384"/>
      <c r="BN65" s="384"/>
      <c r="BO65" s="384"/>
      <c r="BP65" s="384"/>
      <c r="BQ65" s="384"/>
      <c r="BR65" s="384"/>
      <c r="BS65" s="384"/>
      <c r="BT65" s="384"/>
    </row>
    <row r="66" spans="1:72" s="496" customFormat="1" ht="23.25" customHeight="1" x14ac:dyDescent="0.2">
      <c r="A66" s="403" t="s">
        <v>416</v>
      </c>
      <c r="B66" s="404" t="s">
        <v>462</v>
      </c>
      <c r="C66" s="399" t="s">
        <v>460</v>
      </c>
      <c r="D66" s="399" t="s">
        <v>461</v>
      </c>
      <c r="E66" s="405" t="s">
        <v>434</v>
      </c>
      <c r="F66" s="406" t="s">
        <v>434</v>
      </c>
      <c r="G66" s="407">
        <f>SUM(G68)</f>
        <v>460440</v>
      </c>
      <c r="H66" s="384"/>
      <c r="I66" s="384"/>
      <c r="J66" s="384"/>
      <c r="K66" s="384"/>
      <c r="L66" s="384"/>
      <c r="M66" s="384"/>
      <c r="N66" s="384"/>
      <c r="O66" s="384"/>
      <c r="P66" s="384"/>
      <c r="Q66" s="384"/>
      <c r="R66" s="384"/>
      <c r="S66" s="384"/>
      <c r="T66" s="384"/>
      <c r="U66" s="384"/>
      <c r="V66" s="384"/>
      <c r="W66" s="384"/>
      <c r="X66" s="384"/>
      <c r="Y66" s="384"/>
      <c r="Z66" s="384"/>
      <c r="AA66" s="384"/>
      <c r="AB66" s="384"/>
      <c r="AC66" s="384"/>
      <c r="AD66" s="384"/>
      <c r="AE66" s="384"/>
      <c r="AF66" s="384"/>
      <c r="AG66" s="384"/>
      <c r="AH66" s="384"/>
      <c r="AI66" s="384"/>
      <c r="AJ66" s="384"/>
      <c r="AK66" s="384"/>
      <c r="AL66" s="384"/>
      <c r="AM66" s="384"/>
      <c r="AN66" s="384"/>
      <c r="AO66" s="384"/>
      <c r="AP66" s="384"/>
      <c r="AQ66" s="384"/>
      <c r="AR66" s="384"/>
      <c r="AS66" s="384"/>
      <c r="AT66" s="384"/>
      <c r="AU66" s="384"/>
      <c r="AV66" s="384"/>
      <c r="AW66" s="384"/>
      <c r="AX66" s="384"/>
      <c r="AY66" s="384"/>
      <c r="AZ66" s="384"/>
      <c r="BA66" s="384"/>
      <c r="BB66" s="384"/>
      <c r="BC66" s="384"/>
      <c r="BD66" s="384"/>
      <c r="BE66" s="384"/>
      <c r="BF66" s="384"/>
      <c r="BG66" s="384"/>
      <c r="BH66" s="384"/>
      <c r="BI66" s="384"/>
      <c r="BJ66" s="384"/>
      <c r="BK66" s="384"/>
      <c r="BL66" s="384"/>
      <c r="BM66" s="384"/>
      <c r="BN66" s="384"/>
      <c r="BO66" s="384"/>
      <c r="BP66" s="384"/>
      <c r="BQ66" s="384"/>
      <c r="BR66" s="384"/>
      <c r="BS66" s="384"/>
      <c r="BT66" s="384"/>
    </row>
    <row r="67" spans="1:72" s="496" customFormat="1" ht="9.75" customHeight="1" x14ac:dyDescent="0.2">
      <c r="A67" s="397"/>
      <c r="B67" s="408"/>
      <c r="C67" s="399"/>
      <c r="D67" s="399"/>
      <c r="E67" s="399"/>
      <c r="F67" s="409"/>
      <c r="G67" s="497"/>
      <c r="H67" s="384"/>
      <c r="I67" s="384"/>
      <c r="J67" s="384"/>
      <c r="K67" s="384"/>
      <c r="L67" s="384"/>
      <c r="M67" s="384"/>
      <c r="N67" s="384"/>
      <c r="O67" s="384"/>
      <c r="P67" s="384"/>
      <c r="Q67" s="384"/>
      <c r="R67" s="384"/>
      <c r="S67" s="384"/>
      <c r="T67" s="384"/>
      <c r="U67" s="384"/>
      <c r="V67" s="384"/>
      <c r="W67" s="384"/>
      <c r="X67" s="384"/>
      <c r="Y67" s="384"/>
      <c r="Z67" s="384"/>
      <c r="AA67" s="384"/>
      <c r="AB67" s="384"/>
      <c r="AC67" s="384"/>
      <c r="AD67" s="384"/>
      <c r="AE67" s="384"/>
      <c r="AF67" s="384"/>
      <c r="AG67" s="384"/>
      <c r="AH67" s="384"/>
      <c r="AI67" s="384"/>
      <c r="AJ67" s="384"/>
      <c r="AK67" s="384"/>
      <c r="AL67" s="384"/>
      <c r="AM67" s="384"/>
      <c r="AN67" s="384"/>
      <c r="AO67" s="384"/>
      <c r="AP67" s="384"/>
      <c r="AQ67" s="384"/>
      <c r="AR67" s="384"/>
      <c r="AS67" s="384"/>
      <c r="AT67" s="384"/>
      <c r="AU67" s="384"/>
      <c r="AV67" s="384"/>
      <c r="AW67" s="384"/>
      <c r="AX67" s="384"/>
      <c r="AY67" s="384"/>
      <c r="AZ67" s="384"/>
      <c r="BA67" s="384"/>
      <c r="BB67" s="384"/>
      <c r="BC67" s="384"/>
      <c r="BD67" s="384"/>
      <c r="BE67" s="384"/>
      <c r="BF67" s="384"/>
      <c r="BG67" s="384"/>
      <c r="BH67" s="384"/>
      <c r="BI67" s="384"/>
      <c r="BJ67" s="384"/>
      <c r="BK67" s="384"/>
      <c r="BL67" s="384"/>
      <c r="BM67" s="384"/>
      <c r="BN67" s="384"/>
      <c r="BO67" s="384"/>
      <c r="BP67" s="384"/>
      <c r="BQ67" s="384"/>
      <c r="BR67" s="384"/>
      <c r="BS67" s="384"/>
      <c r="BT67" s="384"/>
    </row>
    <row r="68" spans="1:72" s="496" customFormat="1" ht="25.5" customHeight="1" x14ac:dyDescent="0.2">
      <c r="A68" s="397"/>
      <c r="B68" s="499" t="s">
        <v>463</v>
      </c>
      <c r="C68" s="399"/>
      <c r="D68" s="399"/>
      <c r="E68" s="399"/>
      <c r="F68" s="409"/>
      <c r="G68" s="497">
        <f>SUM(G69:G69)</f>
        <v>460440</v>
      </c>
      <c r="H68" s="384"/>
      <c r="I68" s="384"/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</row>
    <row r="69" spans="1:72" s="496" customFormat="1" ht="15.75" customHeight="1" x14ac:dyDescent="0.2">
      <c r="A69" s="397"/>
      <c r="B69" s="398"/>
      <c r="C69" s="399"/>
      <c r="D69" s="399"/>
      <c r="E69" s="399" t="s">
        <v>439</v>
      </c>
      <c r="F69" s="409" t="s">
        <v>434</v>
      </c>
      <c r="G69" s="410">
        <f>195780+264660</f>
        <v>460440</v>
      </c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4"/>
      <c r="AF69" s="384"/>
      <c r="AG69" s="384"/>
      <c r="AH69" s="384"/>
      <c r="AI69" s="384"/>
      <c r="AJ69" s="384"/>
      <c r="AK69" s="384"/>
      <c r="AL69" s="384"/>
      <c r="AM69" s="384"/>
      <c r="AN69" s="384"/>
      <c r="AO69" s="384"/>
      <c r="AP69" s="384"/>
      <c r="AQ69" s="384"/>
      <c r="AR69" s="384"/>
      <c r="AS69" s="384"/>
      <c r="AT69" s="384"/>
      <c r="AU69" s="384"/>
      <c r="AV69" s="384"/>
      <c r="AW69" s="384"/>
      <c r="AX69" s="384"/>
      <c r="AY69" s="384"/>
      <c r="AZ69" s="384"/>
      <c r="BA69" s="384"/>
      <c r="BB69" s="384"/>
      <c r="BC69" s="384"/>
      <c r="BD69" s="384"/>
      <c r="BE69" s="384"/>
      <c r="BF69" s="384"/>
      <c r="BG69" s="384"/>
      <c r="BH69" s="384"/>
      <c r="BI69" s="384"/>
      <c r="BJ69" s="384"/>
      <c r="BK69" s="384"/>
      <c r="BL69" s="384"/>
      <c r="BM69" s="384"/>
      <c r="BN69" s="384"/>
      <c r="BO69" s="384"/>
      <c r="BP69" s="384"/>
      <c r="BQ69" s="384"/>
      <c r="BR69" s="384"/>
      <c r="BS69" s="384"/>
      <c r="BT69" s="384"/>
    </row>
    <row r="70" spans="1:72" s="496" customFormat="1" ht="15.75" customHeight="1" x14ac:dyDescent="0.2">
      <c r="A70" s="411"/>
      <c r="B70" s="412"/>
      <c r="C70" s="413"/>
      <c r="D70" s="400"/>
      <c r="E70" s="400"/>
      <c r="F70" s="402"/>
      <c r="G70" s="41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  <c r="AY70" s="384"/>
      <c r="AZ70" s="384"/>
      <c r="BA70" s="384"/>
      <c r="BB70" s="384"/>
      <c r="BC70" s="384"/>
      <c r="BD70" s="384"/>
      <c r="BE70" s="384"/>
      <c r="BF70" s="384"/>
      <c r="BG70" s="384"/>
      <c r="BH70" s="384"/>
      <c r="BI70" s="384"/>
      <c r="BJ70" s="384"/>
      <c r="BK70" s="384"/>
      <c r="BL70" s="384"/>
      <c r="BM70" s="384"/>
      <c r="BN70" s="384"/>
      <c r="BO70" s="384"/>
      <c r="BP70" s="384"/>
      <c r="BQ70" s="384"/>
      <c r="BR70" s="384"/>
      <c r="BS70" s="384"/>
      <c r="BT70" s="384"/>
    </row>
    <row r="71" spans="1:72" s="496" customFormat="1" ht="15.75" customHeight="1" x14ac:dyDescent="0.2">
      <c r="A71" s="397"/>
      <c r="B71" s="398"/>
      <c r="C71" s="399"/>
      <c r="D71" s="399"/>
      <c r="E71" s="400" t="s">
        <v>19</v>
      </c>
      <c r="F71" s="401">
        <v>295.87</v>
      </c>
      <c r="G71" s="402" t="s">
        <v>434</v>
      </c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4"/>
      <c r="S71" s="384"/>
      <c r="T71" s="384"/>
      <c r="U71" s="384"/>
      <c r="V71" s="384"/>
      <c r="W71" s="384"/>
      <c r="X71" s="384"/>
      <c r="Y71" s="384"/>
      <c r="Z71" s="384"/>
      <c r="AA71" s="384"/>
      <c r="AB71" s="384"/>
      <c r="AC71" s="384"/>
      <c r="AD71" s="384"/>
      <c r="AE71" s="384"/>
      <c r="AF71" s="384"/>
      <c r="AG71" s="384"/>
      <c r="AH71" s="384"/>
      <c r="AI71" s="384"/>
      <c r="AJ71" s="384"/>
      <c r="AK71" s="384"/>
      <c r="AL71" s="384"/>
      <c r="AM71" s="384"/>
      <c r="AN71" s="384"/>
      <c r="AO71" s="384"/>
      <c r="AP71" s="384"/>
      <c r="AQ71" s="384"/>
      <c r="AR71" s="384"/>
      <c r="AS71" s="384"/>
      <c r="AT71" s="384"/>
      <c r="AU71" s="384"/>
      <c r="AV71" s="384"/>
      <c r="AW71" s="384"/>
      <c r="AX71" s="384"/>
      <c r="AY71" s="384"/>
      <c r="AZ71" s="384"/>
      <c r="BA71" s="384"/>
      <c r="BB71" s="384"/>
      <c r="BC71" s="384"/>
      <c r="BD71" s="384"/>
      <c r="BE71" s="384"/>
      <c r="BF71" s="384"/>
      <c r="BG71" s="384"/>
      <c r="BH71" s="384"/>
      <c r="BI71" s="384"/>
      <c r="BJ71" s="384"/>
      <c r="BK71" s="384"/>
      <c r="BL71" s="384"/>
      <c r="BM71" s="384"/>
      <c r="BN71" s="384"/>
      <c r="BO71" s="384"/>
      <c r="BP71" s="384"/>
      <c r="BQ71" s="384"/>
      <c r="BR71" s="384"/>
      <c r="BS71" s="384"/>
      <c r="BT71" s="384"/>
    </row>
    <row r="72" spans="1:72" s="496" customFormat="1" ht="24" customHeight="1" x14ac:dyDescent="0.2">
      <c r="A72" s="403" t="s">
        <v>417</v>
      </c>
      <c r="B72" s="404" t="s">
        <v>464</v>
      </c>
      <c r="C72" s="399" t="s">
        <v>465</v>
      </c>
      <c r="D72" s="399" t="s">
        <v>61</v>
      </c>
      <c r="E72" s="405" t="s">
        <v>434</v>
      </c>
      <c r="F72" s="406" t="s">
        <v>434</v>
      </c>
      <c r="G72" s="407">
        <f>SUM(G74)</f>
        <v>295.87</v>
      </c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384"/>
      <c r="AC72" s="384"/>
      <c r="AD72" s="384"/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4"/>
      <c r="AT72" s="384"/>
      <c r="AU72" s="384"/>
      <c r="AV72" s="384"/>
      <c r="AW72" s="384"/>
      <c r="AX72" s="384"/>
      <c r="AY72" s="384"/>
      <c r="AZ72" s="384"/>
      <c r="BA72" s="384"/>
      <c r="BB72" s="384"/>
      <c r="BC72" s="384"/>
      <c r="BD72" s="384"/>
      <c r="BE72" s="384"/>
      <c r="BF72" s="384"/>
      <c r="BG72" s="384"/>
      <c r="BH72" s="384"/>
      <c r="BI72" s="384"/>
      <c r="BJ72" s="384"/>
      <c r="BK72" s="384"/>
      <c r="BL72" s="384"/>
      <c r="BM72" s="384"/>
      <c r="BN72" s="384"/>
      <c r="BO72" s="384"/>
      <c r="BP72" s="384"/>
      <c r="BQ72" s="384"/>
      <c r="BR72" s="384"/>
      <c r="BS72" s="384"/>
      <c r="BT72" s="384"/>
    </row>
    <row r="73" spans="1:72" s="496" customFormat="1" ht="15.75" customHeight="1" x14ac:dyDescent="0.2">
      <c r="A73" s="397"/>
      <c r="B73" s="408"/>
      <c r="C73" s="399"/>
      <c r="D73" s="399"/>
      <c r="E73" s="399"/>
      <c r="F73" s="409"/>
      <c r="G73" s="497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84"/>
      <c r="AC73" s="384"/>
      <c r="AD73" s="384"/>
      <c r="AE73" s="384"/>
      <c r="AF73" s="384"/>
      <c r="AG73" s="384"/>
      <c r="AH73" s="384"/>
      <c r="AI73" s="384"/>
      <c r="AJ73" s="384"/>
      <c r="AK73" s="384"/>
      <c r="AL73" s="384"/>
      <c r="AM73" s="384"/>
      <c r="AN73" s="384"/>
      <c r="AO73" s="384"/>
      <c r="AP73" s="384"/>
      <c r="AQ73" s="384"/>
      <c r="AR73" s="384"/>
      <c r="AS73" s="384"/>
      <c r="AT73" s="384"/>
      <c r="AU73" s="384"/>
      <c r="AV73" s="384"/>
      <c r="AW73" s="384"/>
      <c r="AX73" s="384"/>
      <c r="AY73" s="384"/>
      <c r="AZ73" s="384"/>
      <c r="BA73" s="384"/>
      <c r="BB73" s="384"/>
      <c r="BC73" s="384"/>
      <c r="BD73" s="384"/>
      <c r="BE73" s="384"/>
      <c r="BF73" s="384"/>
      <c r="BG73" s="384"/>
      <c r="BH73" s="384"/>
      <c r="BI73" s="384"/>
      <c r="BJ73" s="384"/>
      <c r="BK73" s="384"/>
      <c r="BL73" s="384"/>
      <c r="BM73" s="384"/>
      <c r="BN73" s="384"/>
      <c r="BO73" s="384"/>
      <c r="BP73" s="384"/>
      <c r="BQ73" s="384"/>
      <c r="BR73" s="384"/>
      <c r="BS73" s="384"/>
      <c r="BT73" s="384"/>
    </row>
    <row r="74" spans="1:72" s="496" customFormat="1" ht="15.75" customHeight="1" x14ac:dyDescent="0.2">
      <c r="A74" s="397"/>
      <c r="B74" s="499" t="s">
        <v>466</v>
      </c>
      <c r="C74" s="399"/>
      <c r="D74" s="399"/>
      <c r="E74" s="399"/>
      <c r="F74" s="409"/>
      <c r="G74" s="497">
        <f>SUM(G75:G75)</f>
        <v>295.87</v>
      </c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</row>
    <row r="75" spans="1:72" s="496" customFormat="1" ht="15.75" customHeight="1" x14ac:dyDescent="0.2">
      <c r="A75" s="397"/>
      <c r="B75" s="398"/>
      <c r="C75" s="399"/>
      <c r="D75" s="399"/>
      <c r="E75" s="399" t="s">
        <v>52</v>
      </c>
      <c r="F75" s="409" t="s">
        <v>434</v>
      </c>
      <c r="G75" s="410">
        <v>295.87</v>
      </c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</row>
    <row r="76" spans="1:72" s="393" customFormat="1" ht="15.75" customHeight="1" x14ac:dyDescent="0.2">
      <c r="A76" s="411"/>
      <c r="B76" s="412"/>
      <c r="C76" s="416"/>
      <c r="D76" s="399"/>
      <c r="E76" s="400"/>
      <c r="F76" s="414"/>
      <c r="G76" s="414"/>
      <c r="H76" s="392"/>
      <c r="I76" s="392"/>
      <c r="J76" s="392"/>
      <c r="K76" s="392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  <c r="BR76" s="392"/>
      <c r="BS76" s="392"/>
      <c r="BT76" s="392"/>
    </row>
    <row r="77" spans="1:72" s="393" customFormat="1" ht="27" customHeight="1" x14ac:dyDescent="0.2">
      <c r="A77" s="500"/>
      <c r="B77" s="501" t="s">
        <v>265</v>
      </c>
      <c r="C77" s="502"/>
      <c r="D77" s="503"/>
      <c r="E77" s="504"/>
      <c r="F77" s="504">
        <f>SUM(F12,F19,F27,F37,F48,F56,F65,F71)</f>
        <v>2402890.12</v>
      </c>
      <c r="G77" s="504">
        <f>SUM(G13,G20,G28,G38,G49,G57,G66,G72)</f>
        <v>2402890.12</v>
      </c>
      <c r="H77" s="392"/>
      <c r="I77" s="392"/>
      <c r="J77" s="392"/>
      <c r="K77" s="392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  <c r="AW77" s="392"/>
      <c r="AX77" s="392"/>
      <c r="AY77" s="392"/>
      <c r="AZ77" s="392"/>
      <c r="BA77" s="392"/>
      <c r="BB77" s="392"/>
      <c r="BC77" s="392"/>
      <c r="BD77" s="392"/>
      <c r="BE77" s="392"/>
      <c r="BF77" s="392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  <c r="BR77" s="392"/>
      <c r="BS77" s="392"/>
      <c r="BT77" s="392"/>
    </row>
    <row r="79" spans="1:72" x14ac:dyDescent="0.25">
      <c r="A79" s="505"/>
      <c r="I79" s="17"/>
    </row>
    <row r="80" spans="1:72" x14ac:dyDescent="0.25">
      <c r="G80" s="17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5</vt:i4>
      </vt:variant>
    </vt:vector>
  </HeadingPairs>
  <TitlesOfParts>
    <vt:vector size="13" baseType="lpstr">
      <vt:lpstr>Zał.Nr1</vt:lpstr>
      <vt:lpstr>Zał.Nr2</vt:lpstr>
      <vt:lpstr>Zał.Nr3</vt:lpstr>
      <vt:lpstr>Zał.Nr4</vt:lpstr>
      <vt:lpstr>Zał.Nr5</vt:lpstr>
      <vt:lpstr>Zał.Nr6</vt:lpstr>
      <vt:lpstr>Zał.Nr7</vt:lpstr>
      <vt:lpstr>Zał.Nr8</vt:lpstr>
      <vt:lpstr>Zał.Nr2!Obszar_wydruku</vt:lpstr>
      <vt:lpstr>Zał.Nr1!Tytuły_wydruku</vt:lpstr>
      <vt:lpstr>Zał.Nr2!Tytuły_wydruku</vt:lpstr>
      <vt:lpstr>Zał.Nr6!Tytuły_wydruku</vt:lpstr>
      <vt:lpstr>Zał.Nr8!Tytuły_wydruku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 Nr 256/2022 PREZYDENTA MIASTA WŁOCXŁAWEK z dnia 30 czerwca 2022 r.</dc:title>
  <dc:creator>Beata Duszeńska</dc:creator>
  <cp:keywords>Zarządzenie Prezydenta Miasta Włocławek</cp:keywords>
  <cp:lastModifiedBy>Karolina Budziszewska</cp:lastModifiedBy>
  <cp:lastPrinted>2022-07-04T10:54:42Z</cp:lastPrinted>
  <dcterms:created xsi:type="dcterms:W3CDTF">2022-07-04T09:19:00Z</dcterms:created>
  <dcterms:modified xsi:type="dcterms:W3CDTF">2022-07-04T11:15:05Z</dcterms:modified>
</cp:coreProperties>
</file>