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026A8BD4-AF72-49AE-B8E6-F1F8EEC2A619}" xr6:coauthVersionLast="45" xr6:coauthVersionMax="47" xr10:uidLastSave="{00000000-0000-0000-0000-000000000000}"/>
  <bookViews>
    <workbookView xWindow="-120" yWindow="-120" windowWidth="29040" windowHeight="15840" xr2:uid="{C2E76864-9AE0-4293-8833-44C7AB564DF6}"/>
  </bookViews>
  <sheets>
    <sheet name="Zał.Nr1" sheetId="3" r:id="rId1"/>
    <sheet name="Zał.Nr2" sheetId="4" r:id="rId2"/>
    <sheet name="Zał.Nr3" sheetId="5" r:id="rId3"/>
  </sheets>
  <definedNames>
    <definedName name="_xlnm.Print_Titles" localSheetId="0">Zał.Nr1!$7:$9</definedName>
    <definedName name="_xlnm.Print_Titles" localSheetId="1">Zał.Nr2!$10:$11</definedName>
    <definedName name="_xlnm.Print_Titles" localSheetId="2">Zał.Nr3!$10:$11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5" l="1"/>
  <c r="G80" i="5" s="1"/>
  <c r="G72" i="5"/>
  <c r="G70" i="5"/>
  <c r="G69" i="5"/>
  <c r="G67" i="5" s="1"/>
  <c r="F66" i="5"/>
  <c r="G64" i="5"/>
  <c r="G63" i="5"/>
  <c r="G62" i="5"/>
  <c r="G61" i="5"/>
  <c r="G60" i="5" s="1"/>
  <c r="G58" i="5" s="1"/>
  <c r="F57" i="5"/>
  <c r="G55" i="5"/>
  <c r="G54" i="5"/>
  <c r="G53" i="5"/>
  <c r="G52" i="5" s="1"/>
  <c r="G50" i="5" s="1"/>
  <c r="F49" i="5"/>
  <c r="G47" i="5"/>
  <c r="G46" i="5"/>
  <c r="G45" i="5"/>
  <c r="G43" i="5"/>
  <c r="G42" i="5"/>
  <c r="G40" i="5" s="1"/>
  <c r="G38" i="5" s="1"/>
  <c r="G41" i="5"/>
  <c r="F37" i="5"/>
  <c r="G35" i="5"/>
  <c r="G34" i="5"/>
  <c r="G33" i="5"/>
  <c r="G32" i="5"/>
  <c r="G30" i="5" s="1"/>
  <c r="G28" i="5" s="1"/>
  <c r="G31" i="5"/>
  <c r="F27" i="5"/>
  <c r="G24" i="5"/>
  <c r="G23" i="5"/>
  <c r="G22" i="5" s="1"/>
  <c r="G20" i="5" s="1"/>
  <c r="F19" i="5"/>
  <c r="G17" i="5"/>
  <c r="F12" i="5"/>
  <c r="F85" i="5" s="1"/>
  <c r="F53" i="4"/>
  <c r="G44" i="4"/>
  <c r="G42" i="4" s="1"/>
  <c r="G39" i="4"/>
  <c r="G37" i="4"/>
  <c r="G33" i="4"/>
  <c r="G26" i="4"/>
  <c r="G23" i="4" s="1"/>
  <c r="G20" i="4"/>
  <c r="G19" i="4"/>
  <c r="G18" i="4" s="1"/>
  <c r="G15" i="4"/>
  <c r="G14" i="4"/>
  <c r="G13" i="4"/>
  <c r="H283" i="3"/>
  <c r="H282" i="3"/>
  <c r="H281" i="3"/>
  <c r="H280" i="3"/>
  <c r="H279" i="3"/>
  <c r="H278" i="3"/>
  <c r="G277" i="3"/>
  <c r="G276" i="3" s="1"/>
  <c r="G274" i="3" s="1"/>
  <c r="F277" i="3"/>
  <c r="F276" i="3"/>
  <c r="H273" i="3"/>
  <c r="H272" i="3"/>
  <c r="H271" i="3"/>
  <c r="H270" i="3"/>
  <c r="H269" i="3"/>
  <c r="F268" i="3"/>
  <c r="H267" i="3"/>
  <c r="H266" i="3"/>
  <c r="G265" i="3"/>
  <c r="G264" i="3" s="1"/>
  <c r="G263" i="3" s="1"/>
  <c r="H261" i="3"/>
  <c r="G260" i="3"/>
  <c r="G259" i="3" s="1"/>
  <c r="F260" i="3"/>
  <c r="H260" i="3" s="1"/>
  <c r="G258" i="3"/>
  <c r="H256" i="3"/>
  <c r="G255" i="3"/>
  <c r="F255" i="3"/>
  <c r="F254" i="3"/>
  <c r="H250" i="3"/>
  <c r="H249" i="3"/>
  <c r="H248" i="3"/>
  <c r="H247" i="3"/>
  <c r="H246" i="3"/>
  <c r="G245" i="3"/>
  <c r="F245" i="3"/>
  <c r="H245" i="3" s="1"/>
  <c r="G244" i="3"/>
  <c r="H243" i="3"/>
  <c r="H242" i="3"/>
  <c r="G241" i="3"/>
  <c r="F241" i="3"/>
  <c r="H241" i="3" s="1"/>
  <c r="G240" i="3"/>
  <c r="G239" i="3" s="1"/>
  <c r="H238" i="3"/>
  <c r="H237" i="3"/>
  <c r="H236" i="3"/>
  <c r="H235" i="3"/>
  <c r="G234" i="3"/>
  <c r="F234" i="3"/>
  <c r="H234" i="3" s="1"/>
  <c r="H233" i="3"/>
  <c r="G232" i="3"/>
  <c r="G231" i="3" s="1"/>
  <c r="G230" i="3" s="1"/>
  <c r="F232" i="3"/>
  <c r="H227" i="3"/>
  <c r="H226" i="3"/>
  <c r="H225" i="3"/>
  <c r="H224" i="3"/>
  <c r="G223" i="3"/>
  <c r="F223" i="3"/>
  <c r="F222" i="3" s="1"/>
  <c r="H221" i="3"/>
  <c r="H220" i="3"/>
  <c r="H219" i="3"/>
  <c r="H218" i="3"/>
  <c r="G217" i="3"/>
  <c r="F217" i="3"/>
  <c r="H217" i="3" s="1"/>
  <c r="G216" i="3"/>
  <c r="H215" i="3"/>
  <c r="H214" i="3"/>
  <c r="H213" i="3"/>
  <c r="G212" i="3"/>
  <c r="G211" i="3" s="1"/>
  <c r="F212" i="3"/>
  <c r="H209" i="3"/>
  <c r="H208" i="3"/>
  <c r="G207" i="3"/>
  <c r="G206" i="3" s="1"/>
  <c r="G205" i="3" s="1"/>
  <c r="F207" i="3"/>
  <c r="H204" i="3"/>
  <c r="H203" i="3"/>
  <c r="G202" i="3"/>
  <c r="G201" i="3" s="1"/>
  <c r="F202" i="3"/>
  <c r="H202" i="3" s="1"/>
  <c r="H200" i="3"/>
  <c r="H199" i="3"/>
  <c r="G198" i="3"/>
  <c r="F198" i="3"/>
  <c r="H198" i="3" s="1"/>
  <c r="G197" i="3"/>
  <c r="G196" i="3" s="1"/>
  <c r="H195" i="3"/>
  <c r="H194" i="3"/>
  <c r="H193" i="3"/>
  <c r="G193" i="3"/>
  <c r="F193" i="3"/>
  <c r="G192" i="3"/>
  <c r="F192" i="3"/>
  <c r="H190" i="3"/>
  <c r="H189" i="3"/>
  <c r="H188" i="3"/>
  <c r="G187" i="3"/>
  <c r="G186" i="3" s="1"/>
  <c r="G185" i="3" s="1"/>
  <c r="F187" i="3"/>
  <c r="H184" i="3"/>
  <c r="G183" i="3"/>
  <c r="F183" i="3"/>
  <c r="F182" i="3" s="1"/>
  <c r="H180" i="3"/>
  <c r="H179" i="3"/>
  <c r="G178" i="3"/>
  <c r="H178" i="3" s="1"/>
  <c r="F178" i="3"/>
  <c r="H175" i="3"/>
  <c r="H174" i="3"/>
  <c r="H173" i="3"/>
  <c r="H172" i="3"/>
  <c r="G171" i="3"/>
  <c r="F171" i="3"/>
  <c r="H168" i="3"/>
  <c r="H167" i="3"/>
  <c r="H166" i="3"/>
  <c r="H165" i="3"/>
  <c r="H164" i="3"/>
  <c r="H163" i="3"/>
  <c r="H162" i="3"/>
  <c r="H161" i="3"/>
  <c r="H160" i="3"/>
  <c r="G160" i="3"/>
  <c r="F160" i="3"/>
  <c r="H159" i="3"/>
  <c r="H158" i="3"/>
  <c r="H157" i="3"/>
  <c r="H156" i="3"/>
  <c r="G155" i="3"/>
  <c r="H155" i="3" s="1"/>
  <c r="F155" i="3"/>
  <c r="G154" i="3"/>
  <c r="H154" i="3" s="1"/>
  <c r="H153" i="3"/>
  <c r="H152" i="3"/>
  <c r="H151" i="3"/>
  <c r="F150" i="3"/>
  <c r="F146" i="3" s="1"/>
  <c r="G149" i="3"/>
  <c r="H149" i="3" s="1"/>
  <c r="G148" i="3"/>
  <c r="H148" i="3" s="1"/>
  <c r="G147" i="3"/>
  <c r="H143" i="3"/>
  <c r="H142" i="3"/>
  <c r="G142" i="3"/>
  <c r="F142" i="3"/>
  <c r="F141" i="3" s="1"/>
  <c r="G141" i="3"/>
  <c r="H137" i="3"/>
  <c r="H136" i="3"/>
  <c r="H135" i="3"/>
  <c r="H134" i="3"/>
  <c r="G133" i="3"/>
  <c r="G132" i="3" s="1"/>
  <c r="F133" i="3"/>
  <c r="H131" i="3"/>
  <c r="H130" i="3"/>
  <c r="G129" i="3"/>
  <c r="G128" i="3" s="1"/>
  <c r="F129" i="3"/>
  <c r="H127" i="3"/>
  <c r="H126" i="3"/>
  <c r="G125" i="3"/>
  <c r="G124" i="3" s="1"/>
  <c r="F125" i="3"/>
  <c r="H122" i="3"/>
  <c r="G121" i="3"/>
  <c r="G120" i="3" s="1"/>
  <c r="F121" i="3"/>
  <c r="H121" i="3" s="1"/>
  <c r="H119" i="3"/>
  <c r="H118" i="3"/>
  <c r="H117" i="3"/>
  <c r="G116" i="3"/>
  <c r="G115" i="3" s="1"/>
  <c r="F116" i="3"/>
  <c r="H114" i="3"/>
  <c r="G113" i="3"/>
  <c r="G112" i="3" s="1"/>
  <c r="F113" i="3"/>
  <c r="H111" i="3"/>
  <c r="H110" i="3"/>
  <c r="G109" i="3"/>
  <c r="F109" i="3"/>
  <c r="H109" i="3" s="1"/>
  <c r="G108" i="3"/>
  <c r="H107" i="3"/>
  <c r="G106" i="3"/>
  <c r="F106" i="3"/>
  <c r="H106" i="3" s="1"/>
  <c r="G105" i="3"/>
  <c r="H104" i="3"/>
  <c r="H103" i="3"/>
  <c r="H102" i="3"/>
  <c r="G101" i="3"/>
  <c r="G100" i="3" s="1"/>
  <c r="F101" i="3"/>
  <c r="H99" i="3"/>
  <c r="H98" i="3"/>
  <c r="G97" i="3"/>
  <c r="H97" i="3" s="1"/>
  <c r="F96" i="3"/>
  <c r="F95" i="3"/>
  <c r="H94" i="3"/>
  <c r="H93" i="3"/>
  <c r="H92" i="3"/>
  <c r="H91" i="3"/>
  <c r="G91" i="3"/>
  <c r="F91" i="3"/>
  <c r="F90" i="3" s="1"/>
  <c r="G90" i="3"/>
  <c r="H90" i="3" s="1"/>
  <c r="H89" i="3"/>
  <c r="H88" i="3"/>
  <c r="G87" i="3"/>
  <c r="F87" i="3"/>
  <c r="H87" i="3" s="1"/>
  <c r="H86" i="3"/>
  <c r="H85" i="3"/>
  <c r="H84" i="3"/>
  <c r="H83" i="3"/>
  <c r="H82" i="3"/>
  <c r="H81" i="3"/>
  <c r="H80" i="3"/>
  <c r="H79" i="3"/>
  <c r="G78" i="3"/>
  <c r="H78" i="3" s="1"/>
  <c r="F78" i="3"/>
  <c r="G77" i="3"/>
  <c r="F77" i="3"/>
  <c r="H75" i="3"/>
  <c r="G75" i="3"/>
  <c r="G74" i="3"/>
  <c r="G73" i="3" s="1"/>
  <c r="G72" i="3" s="1"/>
  <c r="F74" i="3"/>
  <c r="F73" i="3" s="1"/>
  <c r="F72" i="3" s="1"/>
  <c r="H71" i="3"/>
  <c r="H70" i="3"/>
  <c r="H69" i="3"/>
  <c r="G68" i="3"/>
  <c r="G67" i="3" s="1"/>
  <c r="G66" i="3" s="1"/>
  <c r="F68" i="3"/>
  <c r="F67" i="3"/>
  <c r="F66" i="3" s="1"/>
  <c r="H65" i="3"/>
  <c r="H64" i="3"/>
  <c r="G63" i="3"/>
  <c r="F63" i="3"/>
  <c r="H62" i="3"/>
  <c r="G61" i="3"/>
  <c r="F61" i="3"/>
  <c r="H61" i="3" s="1"/>
  <c r="H59" i="3"/>
  <c r="G58" i="3"/>
  <c r="G57" i="3" s="1"/>
  <c r="F58" i="3"/>
  <c r="H55" i="3"/>
  <c r="H54" i="3"/>
  <c r="H53" i="3"/>
  <c r="G53" i="3"/>
  <c r="F53" i="3"/>
  <c r="G52" i="3"/>
  <c r="F52" i="3"/>
  <c r="F51" i="3" s="1"/>
  <c r="H50" i="3"/>
  <c r="G49" i="3"/>
  <c r="G48" i="3" s="1"/>
  <c r="G47" i="3" s="1"/>
  <c r="F49" i="3"/>
  <c r="F48" i="3" s="1"/>
  <c r="F47" i="3" s="1"/>
  <c r="H44" i="3"/>
  <c r="H43" i="3"/>
  <c r="G43" i="3"/>
  <c r="F43" i="3"/>
  <c r="G42" i="3"/>
  <c r="G41" i="3" s="1"/>
  <c r="F42" i="3"/>
  <c r="H42" i="3" s="1"/>
  <c r="H40" i="3"/>
  <c r="F40" i="3"/>
  <c r="G39" i="3"/>
  <c r="G38" i="3" s="1"/>
  <c r="G37" i="3" s="1"/>
  <c r="F39" i="3"/>
  <c r="F38" i="3" s="1"/>
  <c r="H35" i="3"/>
  <c r="G34" i="3"/>
  <c r="H34" i="3" s="1"/>
  <c r="F34" i="3"/>
  <c r="F33" i="3" s="1"/>
  <c r="F32" i="3"/>
  <c r="H30" i="3"/>
  <c r="G29" i="3"/>
  <c r="G28" i="3" s="1"/>
  <c r="G25" i="3" s="1"/>
  <c r="F29" i="3"/>
  <c r="H24" i="3"/>
  <c r="G23" i="3"/>
  <c r="G22" i="3" s="1"/>
  <c r="F23" i="3"/>
  <c r="F22" i="3"/>
  <c r="H21" i="3"/>
  <c r="G20" i="3"/>
  <c r="G19" i="3" s="1"/>
  <c r="F20" i="3"/>
  <c r="H20" i="3" s="1"/>
  <c r="F19" i="3"/>
  <c r="H16" i="3"/>
  <c r="G15" i="3"/>
  <c r="F15" i="3"/>
  <c r="F14" i="3" s="1"/>
  <c r="F12" i="3" s="1"/>
  <c r="H14" i="3"/>
  <c r="G14" i="3"/>
  <c r="G12" i="3"/>
  <c r="G11" i="3" s="1"/>
  <c r="G15" i="5" l="1"/>
  <c r="G13" i="5" s="1"/>
  <c r="G85" i="5" s="1"/>
  <c r="G53" i="4"/>
  <c r="F144" i="3"/>
  <c r="H146" i="3"/>
  <c r="H276" i="3"/>
  <c r="H22" i="3"/>
  <c r="H23" i="3"/>
  <c r="G33" i="3"/>
  <c r="G32" i="3" s="1"/>
  <c r="G146" i="3"/>
  <c r="G144" i="3" s="1"/>
  <c r="H192" i="3"/>
  <c r="F201" i="3"/>
  <c r="H201" i="3" s="1"/>
  <c r="G257" i="3"/>
  <c r="H277" i="3"/>
  <c r="G96" i="3"/>
  <c r="G95" i="3" s="1"/>
  <c r="G76" i="3" s="1"/>
  <c r="H150" i="3"/>
  <c r="G170" i="3"/>
  <c r="F274" i="3"/>
  <c r="H274" i="3" s="1"/>
  <c r="H52" i="3"/>
  <c r="H15" i="3"/>
  <c r="H32" i="3"/>
  <c r="G51" i="3"/>
  <c r="F60" i="3"/>
  <c r="H63" i="3"/>
  <c r="F105" i="3"/>
  <c r="H105" i="3" s="1"/>
  <c r="H113" i="3"/>
  <c r="H187" i="3"/>
  <c r="H207" i="3"/>
  <c r="F265" i="3"/>
  <c r="H268" i="3"/>
  <c r="H48" i="3"/>
  <c r="H68" i="3"/>
  <c r="H72" i="3"/>
  <c r="H96" i="3"/>
  <c r="G60" i="3"/>
  <c r="G56" i="3" s="1"/>
  <c r="H73" i="3"/>
  <c r="H74" i="3"/>
  <c r="H101" i="3"/>
  <c r="F100" i="3"/>
  <c r="F124" i="3"/>
  <c r="H124" i="3" s="1"/>
  <c r="H125" i="3"/>
  <c r="F128" i="3"/>
  <c r="H128" i="3" s="1"/>
  <c r="H129" i="3"/>
  <c r="F132" i="3"/>
  <c r="H132" i="3" s="1"/>
  <c r="H133" i="3"/>
  <c r="H144" i="3"/>
  <c r="H223" i="3"/>
  <c r="G222" i="3"/>
  <c r="H222" i="3" s="1"/>
  <c r="F251" i="3"/>
  <c r="H19" i="3"/>
  <c r="F18" i="3"/>
  <c r="H60" i="3"/>
  <c r="H66" i="3"/>
  <c r="H116" i="3"/>
  <c r="F115" i="3"/>
  <c r="H115" i="3" s="1"/>
  <c r="G254" i="3"/>
  <c r="G251" i="3" s="1"/>
  <c r="G228" i="3" s="1"/>
  <c r="H255" i="3"/>
  <c r="F11" i="3"/>
  <c r="H29" i="3"/>
  <c r="F28" i="3"/>
  <c r="H49" i="3"/>
  <c r="H58" i="3"/>
  <c r="F57" i="3"/>
  <c r="H67" i="3"/>
  <c r="H141" i="3"/>
  <c r="H182" i="3"/>
  <c r="F231" i="3"/>
  <c r="H232" i="3"/>
  <c r="H12" i="3"/>
  <c r="G18" i="3"/>
  <c r="G17" i="3" s="1"/>
  <c r="G31" i="3"/>
  <c r="H38" i="3"/>
  <c r="F37" i="3"/>
  <c r="H39" i="3"/>
  <c r="F41" i="3"/>
  <c r="H41" i="3" s="1"/>
  <c r="H47" i="3"/>
  <c r="H51" i="3"/>
  <c r="H77" i="3"/>
  <c r="F170" i="3"/>
  <c r="H171" i="3"/>
  <c r="G182" i="3"/>
  <c r="H183" i="3"/>
  <c r="H212" i="3"/>
  <c r="F211" i="3"/>
  <c r="F108" i="3"/>
  <c r="H108" i="3" s="1"/>
  <c r="F112" i="3"/>
  <c r="H112" i="3" s="1"/>
  <c r="F120" i="3"/>
  <c r="H120" i="3" s="1"/>
  <c r="H147" i="3"/>
  <c r="F186" i="3"/>
  <c r="F197" i="3"/>
  <c r="F206" i="3"/>
  <c r="F216" i="3"/>
  <c r="H216" i="3" s="1"/>
  <c r="F240" i="3"/>
  <c r="F244" i="3"/>
  <c r="H244" i="3" s="1"/>
  <c r="F259" i="3"/>
  <c r="H254" i="3" l="1"/>
  <c r="G10" i="3"/>
  <c r="G169" i="3"/>
  <c r="G210" i="3"/>
  <c r="G46" i="3" s="1"/>
  <c r="G45" i="3" s="1"/>
  <c r="H95" i="3"/>
  <c r="H33" i="3"/>
  <c r="F258" i="3"/>
  <c r="H259" i="3"/>
  <c r="F205" i="3"/>
  <c r="H205" i="3" s="1"/>
  <c r="H206" i="3"/>
  <c r="H211" i="3"/>
  <c r="F210" i="3"/>
  <c r="H11" i="3"/>
  <c r="F196" i="3"/>
  <c r="H196" i="3" s="1"/>
  <c r="H197" i="3"/>
  <c r="H170" i="3"/>
  <c r="F169" i="3"/>
  <c r="H231" i="3"/>
  <c r="F230" i="3"/>
  <c r="F25" i="3"/>
  <c r="H25" i="3" s="1"/>
  <c r="H28" i="3"/>
  <c r="H18" i="3"/>
  <c r="F239" i="3"/>
  <c r="H239" i="3" s="1"/>
  <c r="H240" i="3"/>
  <c r="F185" i="3"/>
  <c r="H185" i="3" s="1"/>
  <c r="H186" i="3"/>
  <c r="F56" i="3"/>
  <c r="H57" i="3"/>
  <c r="H265" i="3"/>
  <c r="F264" i="3"/>
  <c r="H37" i="3"/>
  <c r="F31" i="3"/>
  <c r="H31" i="3" s="1"/>
  <c r="H251" i="3"/>
  <c r="H100" i="3"/>
  <c r="F76" i="3"/>
  <c r="F17" i="3" l="1"/>
  <c r="F10" i="3" s="1"/>
  <c r="H210" i="3"/>
  <c r="F228" i="3"/>
  <c r="H230" i="3"/>
  <c r="H169" i="3"/>
  <c r="H258" i="3"/>
  <c r="H264" i="3"/>
  <c r="F263" i="3"/>
  <c r="H263" i="3" s="1"/>
  <c r="H10" i="3"/>
  <c r="H76" i="3"/>
  <c r="H56" i="3"/>
  <c r="F46" i="3"/>
  <c r="H17" i="3" l="1"/>
  <c r="H46" i="3"/>
  <c r="F257" i="3"/>
  <c r="H228" i="3"/>
  <c r="H257" i="3" l="1"/>
  <c r="F45" i="3"/>
  <c r="H45" i="3" l="1"/>
</calcChain>
</file>

<file path=xl/sharedStrings.xml><?xml version="1.0" encoding="utf-8"?>
<sst xmlns="http://schemas.openxmlformats.org/spreadsheetml/2006/main" count="556" uniqueCount="238">
  <si>
    <t xml:space="preserve">Prezydenta Miasta Włocławek </t>
  </si>
  <si>
    <t>Zmiany w budżecie miasta Włocławek na 2022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</si>
  <si>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</si>
  <si>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</si>
  <si>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</si>
  <si>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</si>
  <si>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</si>
  <si>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</si>
  <si>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</si>
  <si>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</si>
  <si>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</si>
  <si>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</si>
  <si>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WYDATKI OGÓŁEM:</t>
  </si>
  <si>
    <t>Wydatki na zadania własne:</t>
  </si>
  <si>
    <t>wynagrodzenia osobowe pracowników</t>
  </si>
  <si>
    <t xml:space="preserve">składki na ubezpieczenia społeczne </t>
  </si>
  <si>
    <t xml:space="preserve">składki na Fundusz Pracy oraz Fundusz Solidarnościowy </t>
  </si>
  <si>
    <t>wynagrodzenia bezosobowe</t>
  </si>
  <si>
    <t>4210</t>
  </si>
  <si>
    <t>zakup materiałów i wyposażenia</t>
  </si>
  <si>
    <t>zakup usług zdrowotnych</t>
  </si>
  <si>
    <t>zakup usług pozostałych</t>
  </si>
  <si>
    <t xml:space="preserve">szkolenia pracowników  niebędących członkami korpusu służby cywilnej </t>
  </si>
  <si>
    <t>wpłaty na PPK finansowane przez podmiot zatrudniający</t>
  </si>
  <si>
    <t>wydatki osobowe niezaliczone do wynagrodzeń</t>
  </si>
  <si>
    <t>zakup energii</t>
  </si>
  <si>
    <t>opłaty z tytułu zakupu usług telekomunikacyjnych</t>
  </si>
  <si>
    <t>podróże służbowe krajowe</t>
  </si>
  <si>
    <t>Załącznik Nr 1</t>
  </si>
  <si>
    <t>DOCHODY OGÓŁEM:</t>
  </si>
  <si>
    <t>Dochody na zadania własne:</t>
  </si>
  <si>
    <t>Pomoc społeczna</t>
  </si>
  <si>
    <t xml:space="preserve">Zasiłki okresowe, celowe i pomoc w naturze oraz składki </t>
  </si>
  <si>
    <t>na ubezpieczenia emerytalne i rentowe</t>
  </si>
  <si>
    <t>Organ</t>
  </si>
  <si>
    <t>2030</t>
  </si>
  <si>
    <t>dotacje celowe otrzymane z budżetu państwa na realizację własnych zadań bieżących gmin (związków gmin, związków powiatowo-gminnych)</t>
  </si>
  <si>
    <t>Dochody na zadania zlecone:</t>
  </si>
  <si>
    <t>Ośrodki pomocy społecznej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</si>
  <si>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</si>
  <si>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</si>
  <si>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Pozostała działalność</t>
  </si>
  <si>
    <t>Rodzina</t>
  </si>
  <si>
    <t xml:space="preserve">Składki na ubezpieczenie zdrowotne opłacane za osoby </t>
  </si>
  <si>
    <t>pobierające niektóre świadczenia rodzinne oraz za osoby</t>
  </si>
  <si>
    <t>pobierające zasiki dla opiekunów</t>
  </si>
  <si>
    <t>Dochody na zadania rządowe:</t>
  </si>
  <si>
    <t>Gospodarka mieszkaniowa</t>
  </si>
  <si>
    <t>Gospodarka gruntami i nieruchomościami</t>
  </si>
  <si>
    <t>dotacje celowe otrzymane z budżetu państwa na zadania bieżące z zakresu administracji rządowej oraz inne zadania zlecone ustawami realizowane przez powiat</t>
  </si>
  <si>
    <t xml:space="preserve">Bezpieczeństwo publiczne i ochrona </t>
  </si>
  <si>
    <t>przeciwpożarowa</t>
  </si>
  <si>
    <t>Komendy powiatowe Państwowej Straży Pożarnej</t>
  </si>
  <si>
    <t>Zadania w zakresie przeciwdziałania przemocy w rodzinie</t>
  </si>
  <si>
    <t>Transport i łączność</t>
  </si>
  <si>
    <t>Drogi publiczne gminne</t>
  </si>
  <si>
    <t>Wydział Inwestycji</t>
  </si>
  <si>
    <t>4560</t>
  </si>
  <si>
    <t xml:space="preserve">odsetki od dotacji oraz płatności: wykorzystanych niezgodnie z przeznaczeniem lub wykorzystanych z naruszeniem procedur, o których mowa w art. 184 ustawy, pobranych nienależnie lub w nadmiernej wysokości </t>
  </si>
  <si>
    <t>Turystyka</t>
  </si>
  <si>
    <t>Zadania w zakresie upowszechniania turystyki</t>
  </si>
  <si>
    <t>Ośrodek Sportu i Rekreacji</t>
  </si>
  <si>
    <t>zakup usług remontowych</t>
  </si>
  <si>
    <t xml:space="preserve">różne opłaty i składki </t>
  </si>
  <si>
    <t>Wydział Gospodarowania Mieniem Komunalnym</t>
  </si>
  <si>
    <t>koszty postępowania sądowego i prokuratorskiego</t>
  </si>
  <si>
    <t>Gospodarowanie mieszkaniowym zasobem gminy</t>
  </si>
  <si>
    <t>Administracja Zasobów Komunalnych</t>
  </si>
  <si>
    <t>wpłaty na Państwowy Fundusz Rehabilitacji Osób Niepełnosprawnych</t>
  </si>
  <si>
    <t>Administracja publiczna</t>
  </si>
  <si>
    <t>75095</t>
  </si>
  <si>
    <t xml:space="preserve">zakup usług obejmujących wykonanie ekspertyz, analiz i opinii </t>
  </si>
  <si>
    <t>pozostałe odsetki</t>
  </si>
  <si>
    <t>kary i odszkodowania wypłacane na rzecz osób prawnych i innych jednostek organizacyjnych</t>
  </si>
  <si>
    <t>Różne rozliczenia</t>
  </si>
  <si>
    <t>Rezerwy ogólne i celowe</t>
  </si>
  <si>
    <t>4810</t>
  </si>
  <si>
    <t xml:space="preserve">rezerwy </t>
  </si>
  <si>
    <t xml:space="preserve"> - rezerwa ogólna</t>
  </si>
  <si>
    <t>Oświata i wychowanie</t>
  </si>
  <si>
    <t>Szkoły podstawowe</t>
  </si>
  <si>
    <t>Jednostki oświatowe zbiorczo</t>
  </si>
  <si>
    <t>opłaty na rzecz budżetu państwa</t>
  </si>
  <si>
    <t>Program "Laboratoria przyszłości" - jednostki oświatowe zbiorczo</t>
  </si>
  <si>
    <t>zakup środków dydaktycznych i książek</t>
  </si>
  <si>
    <t>Szkoły podstawowe specjalne</t>
  </si>
  <si>
    <t>zakup środków żywności</t>
  </si>
  <si>
    <t>Przedszkola</t>
  </si>
  <si>
    <t>Przedszkola specjalne</t>
  </si>
  <si>
    <t>Świetlice szkolne</t>
  </si>
  <si>
    <t>dodatkowe wynagrodzenie roczne nauczycieli</t>
  </si>
  <si>
    <t>Technika</t>
  </si>
  <si>
    <t>Branżowe szkoły I i II stopnia</t>
  </si>
  <si>
    <t>Licea ogólnokształcące</t>
  </si>
  <si>
    <t>Szkoły zawodowe specjalne</t>
  </si>
  <si>
    <t xml:space="preserve">Placówki kształcenia ustawicznego i centra </t>
  </si>
  <si>
    <t xml:space="preserve"> kształcenia zawodowego</t>
  </si>
  <si>
    <t>Dokształcanie i doskonalenie nauczycieli</t>
  </si>
  <si>
    <t>Stołówki szkolne i przedszkolne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</si>
  <si>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</si>
  <si>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</si>
  <si>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</si>
  <si>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</si>
  <si>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Jednostki oświatowe zbiorczo (projekty z grantów Lokalnej</t>
  </si>
  <si>
    <t>Grupy Działania Miasta Włocławek)</t>
  </si>
  <si>
    <t>składki na ubezpieczenia społeczne</t>
  </si>
  <si>
    <t>składki na Fundusz Pracy oraz Fundusz Solidarnościowy</t>
  </si>
  <si>
    <t xml:space="preserve">zakup materiałów i wyposażenia </t>
  </si>
  <si>
    <t>wynagrodzenie osobowe nauczycieli</t>
  </si>
  <si>
    <t>Jednostki oświatowe zbiorczo - Fundusz Pomocy (realizacja dodatkowych zadań oświatowych)</t>
  </si>
  <si>
    <t>Jednostki oświatowe zbiorczo - projekt pn."Włocławska Akademia Kariery Zawodowej w Zespole Szkół Elektrycznych"</t>
  </si>
  <si>
    <t>852</t>
  </si>
  <si>
    <t>Domy pomocy społecznej</t>
  </si>
  <si>
    <t>Dom Pomocy Społecznej ul. Dobrzyńska 102</t>
  </si>
  <si>
    <t xml:space="preserve">Dom Pomocy Społecznej ul. Dobrzyńska 102 - Fundusz </t>
  </si>
  <si>
    <t>w przeciwdziałaniu skutkom rozprzestrzeniania się SARS-Cov-2)</t>
  </si>
  <si>
    <t>4230</t>
  </si>
  <si>
    <t>zakup leków, wyrobów medycznych i produktów biobójczych</t>
  </si>
  <si>
    <t xml:space="preserve">Miejski Ośrodek Pomocy Rodzinie </t>
  </si>
  <si>
    <t>świadczenia społeczne</t>
  </si>
  <si>
    <t>Edukacyjna opieka wychowawcza</t>
  </si>
  <si>
    <t>Internaty i bursy szkolne</t>
  </si>
  <si>
    <t>Kolonie i obozy oraz inne formy wypoczynku dzieci</t>
  </si>
  <si>
    <t>i młodzieży szkolnej, a także szkolenia młodzieży</t>
  </si>
  <si>
    <t>Świadczenia rodzinne, świadczenie z funduszu alimentacyjnego oraz składki na ubezpieczenia emerytalne i rentowe z ubezpieczenia społecznego</t>
  </si>
  <si>
    <t>Miejski Ośrodek Pomocy Rodzinie</t>
  </si>
  <si>
    <t>Działalność placówek opiekuńczo - wychowawczych</t>
  </si>
  <si>
    <t xml:space="preserve">Centrum Opieki nad Dzieckiem </t>
  </si>
  <si>
    <t>Gospodarka komunalna i ochrona środowiska</t>
  </si>
  <si>
    <t>Utrzymanie zieleni w miastach i gminach</t>
  </si>
  <si>
    <t>Miejski Zakład Zieleni i Usług Komunalnych</t>
  </si>
  <si>
    <t>Kultura fizyczna</t>
  </si>
  <si>
    <t>Obiekty sportowe</t>
  </si>
  <si>
    <t>Instytucje kultury fizycznej</t>
  </si>
  <si>
    <t>pozostałe podatki na rzecz budżetów jednostek samorządu terytorialnego</t>
  </si>
  <si>
    <t>Zadania w zakresie kultury fizycznej</t>
  </si>
  <si>
    <t xml:space="preserve">Wydział Sportu i Turystyki - Projekt pn. "WŁOCŁAWEK - MIASTO NOWYCH MOŻLIWOŚCI. Tutaj mieszkam, pracuję, inwestuję i tu wypoczywam" </t>
  </si>
  <si>
    <t>dotacja celowa z budżetu na finansowanie lub dofinansowanie zadań zleconych do realizacji fundacjom</t>
  </si>
  <si>
    <t>2826</t>
  </si>
  <si>
    <t>dotacja celowa z budżetu na finansowanie lub dofinansowanie zadań zleconych do realizacji stowarzyszeniom</t>
  </si>
  <si>
    <t>2827</t>
  </si>
  <si>
    <t>Wydatki na zadania zlecone:</t>
  </si>
  <si>
    <t>Wydział Zarządzania Kryzysowego i Bezpieczeństwa - Fundusz Pomocy (zapewnienie zakwaterowania i wyżywienia obywatelom Ukrainy)</t>
  </si>
  <si>
    <t>Administracja Zasobów Komunalnych - Fundusz Pomocy (zapewnienie zakwaterowania i wyżywienia obywatelom Ukrainy)</t>
  </si>
  <si>
    <t>różne opłaty i składki</t>
  </si>
  <si>
    <t xml:space="preserve">składki na ubezpieczenie zdrowotne </t>
  </si>
  <si>
    <t>Wydatki na zadania rządowe:</t>
  </si>
  <si>
    <t xml:space="preserve">zakup usług pozostałych </t>
  </si>
  <si>
    <t>Bezpieczeństwo publiczne i ochrona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</si>
  <si>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</si>
  <si>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Komenda Miejska Państwowej Straży Pożarnej</t>
  </si>
  <si>
    <t>wynagrodzenia osobowe członków korpusu służby cywilnej</t>
  </si>
  <si>
    <t>uposażenia żołnierzy zawodowych oraz funkcjonariuszy</t>
  </si>
  <si>
    <t>inne należności żołnierzy zawodowych oraz funkcjonariuszy zaliczane do wynagrodzeń</t>
  </si>
  <si>
    <t>Zadania w zakresie przeciwdziałania przemocy</t>
  </si>
  <si>
    <t>w rodzinie</t>
  </si>
  <si>
    <t>Miejski Ośrodek Pomocy Rodzinie - Specjalistyczny Ośrodek Wsparcia</t>
  </si>
  <si>
    <t>do Zarządzenia NR 286/2022</t>
  </si>
  <si>
    <t>z dnia 29 lipca 2022 r.</t>
  </si>
  <si>
    <t>Załącznik Nr 2</t>
  </si>
  <si>
    <t>Plan dochodów i wydatków na wydzielonym rachunku dotyczącym przeciwdziałania COVID-19</t>
  </si>
  <si>
    <t>Lp.</t>
  </si>
  <si>
    <t>Nazwa zadania</t>
  </si>
  <si>
    <t xml:space="preserve">Dział </t>
  </si>
  <si>
    <t>Rozdział</t>
  </si>
  <si>
    <t>Dochody na 2022 rok</t>
  </si>
  <si>
    <t>Wydatki na 2022 rok</t>
  </si>
  <si>
    <t>6090</t>
  </si>
  <si>
    <t>x</t>
  </si>
  <si>
    <t>1.</t>
  </si>
  <si>
    <t>Przebudowa ulicy Kilińskiego we Włocławku w ramach projektu "Przebudowa ulic śródmieścia, w celu uspokojenia ruchu"</t>
  </si>
  <si>
    <t>600</t>
  </si>
  <si>
    <t>60015</t>
  </si>
  <si>
    <t>w tym:</t>
  </si>
  <si>
    <t>6050</t>
  </si>
  <si>
    <t xml:space="preserve"> - wkład własny</t>
  </si>
  <si>
    <t>2.</t>
  </si>
  <si>
    <t>Budowa drogi stanowiącej alternatywne połączenie osiedla Michelin z osiedlem Południe</t>
  </si>
  <si>
    <t>60016</t>
  </si>
  <si>
    <t>2180</t>
  </si>
  <si>
    <t>3.</t>
  </si>
  <si>
    <t>Pomoc dla domów pomocy społecznej w przeciwdziałaniu skutkom rozprzestrzeniania się SARS-Cov-2</t>
  </si>
  <si>
    <t>85202</t>
  </si>
  <si>
    <t>Dom Pomocy Społecznej</t>
  </si>
  <si>
    <t>ul. Nowomiejska 19</t>
  </si>
  <si>
    <t>3020</t>
  </si>
  <si>
    <t>4010</t>
  </si>
  <si>
    <t>4110</t>
  </si>
  <si>
    <t>4120</t>
  </si>
  <si>
    <t>ul. Dobrzyńska 102</t>
  </si>
  <si>
    <t>4.</t>
  </si>
  <si>
    <t>Program "Korpus Wsparcia Seniorów"</t>
  </si>
  <si>
    <t>85295</t>
  </si>
  <si>
    <t>4220</t>
  </si>
  <si>
    <t>4300</t>
  </si>
  <si>
    <t>4710</t>
  </si>
  <si>
    <t>Ogółem:</t>
  </si>
  <si>
    <t>Załącznik Nr 3</t>
  </si>
  <si>
    <t>Plan dochodów i wydatków na wydzielonym rachunku Funduszu Pomocy</t>
  </si>
  <si>
    <t>dotyczącym realizacji zadań na rzecz pomocy Ukrainie</t>
  </si>
  <si>
    <t>2700</t>
  </si>
  <si>
    <t>Zapewnienie posiłku dzieciom i młodzieży</t>
  </si>
  <si>
    <t>85230</t>
  </si>
  <si>
    <t>Miejski Ośrodek Pomocy Rodznie</t>
  </si>
  <si>
    <t>3110</t>
  </si>
  <si>
    <t>Świadczenia rodzinne</t>
  </si>
  <si>
    <t>855</t>
  </si>
  <si>
    <t>85502</t>
  </si>
  <si>
    <t>Świadczenie pieniężne w wysokości          300 zł</t>
  </si>
  <si>
    <t>853</t>
  </si>
  <si>
    <t>85395</t>
  </si>
  <si>
    <t>758</t>
  </si>
  <si>
    <t>75814</t>
  </si>
  <si>
    <t>Realizacja dodatkowych zadań oświatowych</t>
  </si>
  <si>
    <t>801</t>
  </si>
  <si>
    <t>80195</t>
  </si>
  <si>
    <t>4790</t>
  </si>
  <si>
    <t>5.</t>
  </si>
  <si>
    <t>Nadanie numeru PESEL</t>
  </si>
  <si>
    <t>750</t>
  </si>
  <si>
    <t>75011</t>
  </si>
  <si>
    <t>Wydział Organizacyjno - Prawny i Kadr</t>
  </si>
  <si>
    <t>0970</t>
  </si>
  <si>
    <t>6.</t>
  </si>
  <si>
    <t>Świadczenie pieniężne - 40 zł za osobę dziennie</t>
  </si>
  <si>
    <t>754</t>
  </si>
  <si>
    <t>75495</t>
  </si>
  <si>
    <t>7.</t>
  </si>
  <si>
    <t>Zapewnienie zakwaterowania i wyżywienia obywatelom Ukrainy</t>
  </si>
  <si>
    <t>Wydział Zarządzania Kryzysowego i Bezpieczeństwa</t>
  </si>
  <si>
    <t>4260</t>
  </si>
  <si>
    <t>4270</t>
  </si>
  <si>
    <t>4430</t>
  </si>
  <si>
    <t>8.</t>
  </si>
  <si>
    <t>Zapewnienie transportu obywatelom Ukrainy</t>
  </si>
  <si>
    <t>60095</t>
  </si>
  <si>
    <t>Straż Miejska</t>
  </si>
  <si>
    <r>
      <t xml:space="preserve">Przeciwdziałania COVID-19 </t>
    </r>
    <r>
      <rPr>
        <sz val="7"/>
        <rFont val="Arial CE"/>
        <charset val="238"/>
      </rPr>
      <t xml:space="preserve">(pomoc dla domów pomocy społecznej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</si>
</sst>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7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1" fillId="0" borderId="3" xfId="0" applyFont="1" applyBorder="1"/>
    <xf numFmtId="49" fontId="1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4" fontId="2" fillId="0" borderId="5" xfId="0" applyNumberFormat="1" applyFont="1" applyBorder="1"/>
    <xf numFmtId="4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/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4" xfId="0" applyFont="1" applyBorder="1"/>
    <xf numFmtId="4" fontId="2" fillId="0" borderId="3" xfId="0" applyNumberFormat="1" applyFont="1" applyBorder="1"/>
    <xf numFmtId="4" fontId="1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2" fillId="0" borderId="4" xfId="0" applyFont="1" applyBorder="1"/>
    <xf numFmtId="0" fontId="1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wrapText="1"/>
    </xf>
    <xf numFmtId="0" fontId="7" fillId="0" borderId="5" xfId="0" applyFont="1" applyBorder="1"/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/>
    <xf numFmtId="4" fontId="7" fillId="0" borderId="0" xfId="0" applyNumberFormat="1" applyFont="1"/>
    <xf numFmtId="3" fontId="1" fillId="0" borderId="3" xfId="0" applyNumberFormat="1" applyFont="1" applyBorder="1"/>
    <xf numFmtId="3" fontId="5" fillId="0" borderId="3" xfId="0" applyNumberFormat="1" applyFont="1" applyBorder="1"/>
    <xf numFmtId="3" fontId="1" fillId="0" borderId="4" xfId="0" applyNumberFormat="1" applyFont="1" applyBorder="1"/>
    <xf numFmtId="4" fontId="5" fillId="0" borderId="3" xfId="0" applyNumberFormat="1" applyFont="1" applyBorder="1" applyAlignment="1">
      <alignment horizontal="right"/>
    </xf>
    <xf numFmtId="3" fontId="2" fillId="0" borderId="6" xfId="0" applyNumberFormat="1" applyFont="1" applyBorder="1"/>
    <xf numFmtId="49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3" xfId="0" applyFont="1" applyBorder="1" applyAlignment="1">
      <alignment vertical="top" wrapText="1"/>
    </xf>
    <xf numFmtId="0" fontId="2" fillId="0" borderId="3" xfId="0" applyFont="1" applyBorder="1"/>
    <xf numFmtId="0" fontId="1" fillId="0" borderId="4" xfId="0" applyFont="1" applyBorder="1" applyAlignment="1">
      <alignment wrapText="1"/>
    </xf>
    <xf numFmtId="4" fontId="2" fillId="0" borderId="13" xfId="0" applyNumberFormat="1" applyFont="1" applyBorder="1" applyAlignment="1">
      <alignment horizontal="right"/>
    </xf>
    <xf numFmtId="4" fontId="1" fillId="0" borderId="13" xfId="0" applyNumberFormat="1" applyFont="1" applyBorder="1"/>
    <xf numFmtId="4" fontId="5" fillId="0" borderId="3" xfId="0" applyNumberFormat="1" applyFont="1" applyBorder="1"/>
    <xf numFmtId="3" fontId="1" fillId="0" borderId="6" xfId="0" applyNumberFormat="1" applyFont="1" applyBorder="1"/>
    <xf numFmtId="3" fontId="5" fillId="0" borderId="5" xfId="0" applyNumberFormat="1" applyFont="1" applyBorder="1"/>
    <xf numFmtId="3" fontId="1" fillId="0" borderId="5" xfId="0" applyNumberFormat="1" applyFont="1" applyBorder="1"/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>
      <alignment wrapText="1"/>
    </xf>
    <xf numFmtId="4" fontId="2" fillId="0" borderId="5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center"/>
    </xf>
    <xf numFmtId="4" fontId="5" fillId="0" borderId="14" xfId="0" applyNumberFormat="1" applyFont="1" applyBorder="1"/>
    <xf numFmtId="0" fontId="11" fillId="0" borderId="3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49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4" fontId="2" fillId="0" borderId="11" xfId="0" applyNumberFormat="1" applyFont="1" applyBorder="1"/>
    <xf numFmtId="0" fontId="12" fillId="0" borderId="3" xfId="0" applyFont="1" applyBorder="1"/>
    <xf numFmtId="0" fontId="2" fillId="0" borderId="3" xfId="0" applyFont="1" applyBorder="1" applyAlignment="1">
      <alignment horizontal="right" vertical="top"/>
    </xf>
    <xf numFmtId="4" fontId="2" fillId="0" borderId="1" xfId="0" applyNumberFormat="1" applyFont="1" applyBorder="1"/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0" fontId="10" fillId="0" borderId="0" xfId="0" applyFont="1"/>
    <xf numFmtId="3" fontId="2" fillId="0" borderId="4" xfId="0" applyNumberFormat="1" applyFont="1" applyBorder="1"/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right"/>
    </xf>
    <xf numFmtId="4" fontId="2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" fontId="1" fillId="0" borderId="11" xfId="0" applyNumberFormat="1" applyFont="1" applyBorder="1"/>
    <xf numFmtId="49" fontId="5" fillId="0" borderId="5" xfId="0" applyNumberFormat="1" applyFont="1" applyBorder="1" applyAlignment="1">
      <alignment horizontal="right"/>
    </xf>
    <xf numFmtId="0" fontId="2" fillId="0" borderId="6" xfId="0" applyFont="1" applyBorder="1"/>
    <xf numFmtId="3" fontId="2" fillId="0" borderId="3" xfId="0" applyNumberFormat="1" applyFont="1" applyBorder="1"/>
    <xf numFmtId="0" fontId="1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49" fontId="5" fillId="0" borderId="3" xfId="0" applyNumberFormat="1" applyFont="1" applyBorder="1"/>
    <xf numFmtId="49" fontId="5" fillId="0" borderId="5" xfId="0" applyNumberFormat="1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4" fontId="19" fillId="0" borderId="17" xfId="0" applyNumberFormat="1" applyFont="1" applyBorder="1" applyAlignment="1">
      <alignment vertical="center"/>
    </xf>
    <xf numFmtId="4" fontId="18" fillId="0" borderId="17" xfId="0" applyNumberFormat="1" applyFont="1" applyBorder="1" applyAlignment="1">
      <alignment horizontal="center" vertical="center"/>
    </xf>
    <xf numFmtId="0" fontId="20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49" fontId="18" fillId="0" borderId="3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4" fontId="18" fillId="0" borderId="17" xfId="0" applyNumberFormat="1" applyFont="1" applyBorder="1" applyAlignment="1">
      <alignment horizontal="center"/>
    </xf>
    <xf numFmtId="4" fontId="19" fillId="0" borderId="17" xfId="0" applyNumberFormat="1" applyFont="1" applyBorder="1" applyAlignment="1">
      <alignment horizontal="right"/>
    </xf>
    <xf numFmtId="49" fontId="18" fillId="0" borderId="3" xfId="0" applyNumberFormat="1" applyFont="1" applyBorder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/>
    </xf>
    <xf numFmtId="4" fontId="18" fillId="0" borderId="3" xfId="0" applyNumberFormat="1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49" fontId="18" fillId="0" borderId="5" xfId="0" applyNumberFormat="1" applyFont="1" applyBorder="1" applyAlignment="1">
      <alignment horizontal="center" vertical="center"/>
    </xf>
    <xf numFmtId="4" fontId="18" fillId="0" borderId="5" xfId="0" applyNumberFormat="1" applyFont="1" applyBorder="1" applyAlignment="1">
      <alignment vertical="center"/>
    </xf>
    <xf numFmtId="4" fontId="19" fillId="0" borderId="5" xfId="0" applyNumberFormat="1" applyFont="1" applyBorder="1" applyAlignment="1">
      <alignment vertical="center"/>
    </xf>
    <xf numFmtId="4" fontId="18" fillId="0" borderId="5" xfId="0" applyNumberFormat="1" applyFont="1" applyBorder="1" applyAlignment="1">
      <alignment horizontal="center" vertical="center"/>
    </xf>
    <xf numFmtId="4" fontId="19" fillId="0" borderId="17" xfId="0" applyNumberFormat="1" applyFont="1" applyBorder="1"/>
    <xf numFmtId="0" fontId="21" fillId="0" borderId="0" xfId="0" applyFont="1" applyAlignment="1">
      <alignment wrapText="1"/>
    </xf>
    <xf numFmtId="0" fontId="21" fillId="0" borderId="0" xfId="0" applyFont="1"/>
    <xf numFmtId="49" fontId="18" fillId="0" borderId="18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5" fillId="0" borderId="0" xfId="0" applyFont="1" applyAlignment="1">
      <alignment horizontal="centerContinuous" vertical="center" wrapText="1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2" fillId="0" borderId="12" xfId="0" applyFont="1" applyBorder="1" applyAlignment="1">
      <alignment vertical="center"/>
    </xf>
    <xf numFmtId="4" fontId="2" fillId="0" borderId="11" xfId="0" applyNumberFormat="1" applyFont="1" applyBorder="1" applyAlignment="1">
      <alignment horizontal="right"/>
    </xf>
    <xf numFmtId="0" fontId="2" fillId="0" borderId="12" xfId="0" applyFont="1" applyBorder="1"/>
    <xf numFmtId="0" fontId="2" fillId="0" borderId="11" xfId="0" applyFont="1" applyBorder="1"/>
    <xf numFmtId="0" fontId="1" fillId="0" borderId="12" xfId="0" applyFont="1" applyBorder="1"/>
    <xf numFmtId="4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9" fillId="0" borderId="12" xfId="0" applyFont="1" applyBorder="1" applyAlignment="1">
      <alignment vertical="center"/>
    </xf>
    <xf numFmtId="4" fontId="2" fillId="0" borderId="15" xfId="0" applyNumberFormat="1" applyFont="1" applyBorder="1"/>
    <xf numFmtId="0" fontId="2" fillId="0" borderId="11" xfId="0" applyFont="1" applyBorder="1" applyAlignment="1">
      <alignment vertical="center" wrapText="1"/>
    </xf>
    <xf numFmtId="0" fontId="2" fillId="0" borderId="16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" fillId="0" borderId="11" xfId="0" applyFont="1" applyBorder="1"/>
    <xf numFmtId="0" fontId="0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vertical="center"/>
    </xf>
    <xf numFmtId="49" fontId="12" fillId="0" borderId="18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vertical="center"/>
    </xf>
    <xf numFmtId="4" fontId="22" fillId="0" borderId="3" xfId="0" applyNumberFormat="1" applyFont="1" applyBorder="1" applyAlignment="1">
      <alignment vertical="center"/>
    </xf>
    <xf numFmtId="0" fontId="18" fillId="0" borderId="3" xfId="0" applyFont="1" applyBorder="1"/>
    <xf numFmtId="0" fontId="1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4" fontId="17" fillId="0" borderId="22" xfId="0" applyNumberFormat="1" applyFont="1" applyBorder="1" applyAlignment="1">
      <alignment vertical="center"/>
    </xf>
    <xf numFmtId="4" fontId="17" fillId="0" borderId="17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18" fillId="0" borderId="3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A877-0999-4825-950E-CD17C3E6CCDB}">
  <dimension ref="A1:H540"/>
  <sheetViews>
    <sheetView tabSelected="1" zoomScale="140" zoomScaleNormal="140" workbookViewId="0">
      <selection activeCell="B3" sqref="B3"/>
    </sheetView>
  </sheetViews>
  <sheetFormatPr defaultRowHeight="15" x14ac:dyDescent="0.25"/>
  <cols>
    <col min="1" max="1" width="4.140625" style="148" customWidth="1"/>
    <col min="2" max="2" width="6" style="148" customWidth="1"/>
    <col min="3" max="3" width="5" style="148" customWidth="1"/>
    <col min="4" max="4" width="39.5703125" style="148" customWidth="1"/>
    <col min="5" max="5" width="13" style="148" customWidth="1"/>
    <col min="6" max="6" width="10.5703125" style="148" customWidth="1"/>
    <col min="7" max="7" width="10.28515625" style="148" customWidth="1"/>
    <col min="8" max="8" width="13" style="148" customWidth="1"/>
    <col min="9" max="9" width="10.28515625" style="148" customWidth="1"/>
    <col min="10" max="16384" width="9.140625" style="148"/>
  </cols>
  <sheetData>
    <row r="1" spans="1:8" ht="12.75" customHeight="1" x14ac:dyDescent="0.25">
      <c r="A1" s="1"/>
      <c r="B1" s="1"/>
      <c r="C1" s="2"/>
      <c r="D1" s="3"/>
      <c r="E1" s="3"/>
      <c r="F1" s="3" t="s">
        <v>28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157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0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158</v>
      </c>
      <c r="G4" s="1"/>
      <c r="H4" s="1"/>
    </row>
    <row r="5" spans="1:8" ht="36.75" customHeight="1" x14ac:dyDescent="0.25">
      <c r="A5" s="4" t="s">
        <v>1</v>
      </c>
      <c r="B5" s="149"/>
      <c r="C5" s="5"/>
      <c r="D5" s="5"/>
      <c r="E5" s="149"/>
      <c r="F5" s="149"/>
      <c r="G5" s="6"/>
      <c r="H5" s="149"/>
    </row>
    <row r="6" spans="1:8" ht="30" customHeight="1" x14ac:dyDescent="0.25">
      <c r="A6" s="1"/>
      <c r="B6" s="1"/>
      <c r="C6" s="2"/>
      <c r="D6" s="2"/>
      <c r="E6" s="7"/>
      <c r="F6" s="1"/>
      <c r="G6" s="8"/>
      <c r="H6" s="9" t="s">
        <v>2</v>
      </c>
    </row>
    <row r="7" spans="1:8" s="16" customFormat="1" ht="11.25" x14ac:dyDescent="0.2">
      <c r="A7" s="10"/>
      <c r="B7" s="10"/>
      <c r="C7" s="11"/>
      <c r="D7" s="12"/>
      <c r="E7" s="13" t="s">
        <v>3</v>
      </c>
      <c r="F7" s="14"/>
      <c r="G7" s="15"/>
      <c r="H7" s="13" t="s">
        <v>3</v>
      </c>
    </row>
    <row r="8" spans="1:8" s="16" customFormat="1" ht="11.25" x14ac:dyDescent="0.2">
      <c r="A8" s="17" t="s">
        <v>4</v>
      </c>
      <c r="B8" s="17" t="s">
        <v>5</v>
      </c>
      <c r="C8" s="18" t="s">
        <v>6</v>
      </c>
      <c r="D8" s="19" t="s">
        <v>7</v>
      </c>
      <c r="E8" s="17" t="s">
        <v>8</v>
      </c>
      <c r="F8" s="20" t="s">
        <v>9</v>
      </c>
      <c r="G8" s="17" t="s">
        <v>10</v>
      </c>
      <c r="H8" s="17" t="s">
        <v>11</v>
      </c>
    </row>
    <row r="9" spans="1:8" s="16" customFormat="1" ht="4.5" customHeight="1" x14ac:dyDescent="0.2">
      <c r="A9" s="21"/>
      <c r="B9" s="21"/>
      <c r="C9" s="22"/>
      <c r="D9" s="23"/>
      <c r="E9" s="21"/>
      <c r="F9" s="24"/>
      <c r="G9" s="24"/>
      <c r="H9" s="21"/>
    </row>
    <row r="10" spans="1:8" s="16" customFormat="1" ht="21" customHeight="1" thickBot="1" x14ac:dyDescent="0.25">
      <c r="A10" s="54"/>
      <c r="B10" s="54"/>
      <c r="C10" s="26"/>
      <c r="D10" s="27" t="s">
        <v>29</v>
      </c>
      <c r="E10" s="28">
        <v>811285004.9399997</v>
      </c>
      <c r="F10" s="28">
        <f>SUM(F11,F17,F31)</f>
        <v>944650.44</v>
      </c>
      <c r="G10" s="28">
        <f>SUM(G11,G17,G31)</f>
        <v>100000</v>
      </c>
      <c r="H10" s="28">
        <f>SUM(E10+F10-G10)</f>
        <v>812129655.37999976</v>
      </c>
    </row>
    <row r="11" spans="1:8" s="16" customFormat="1" ht="21.75" customHeight="1" thickBot="1" x14ac:dyDescent="0.25">
      <c r="A11" s="54"/>
      <c r="B11" s="54"/>
      <c r="C11" s="26"/>
      <c r="D11" s="29" t="s">
        <v>30</v>
      </c>
      <c r="E11" s="30">
        <v>710402511.6099999</v>
      </c>
      <c r="F11" s="30">
        <f>SUM(F12)</f>
        <v>0</v>
      </c>
      <c r="G11" s="30">
        <f>SUM(G12)</f>
        <v>100000</v>
      </c>
      <c r="H11" s="30">
        <f>SUM(E11+F11-G11)</f>
        <v>710302511.6099999</v>
      </c>
    </row>
    <row r="12" spans="1:8" s="16" customFormat="1" ht="17.25" customHeight="1" thickTop="1" thickBot="1" x14ac:dyDescent="0.25">
      <c r="A12" s="32">
        <v>852</v>
      </c>
      <c r="B12" s="55"/>
      <c r="C12" s="31"/>
      <c r="D12" s="33" t="s">
        <v>31</v>
      </c>
      <c r="E12" s="30">
        <v>24046014.02</v>
      </c>
      <c r="F12" s="34">
        <f>SUM(F14)</f>
        <v>0</v>
      </c>
      <c r="G12" s="34">
        <f>SUM(G14)</f>
        <v>100000</v>
      </c>
      <c r="H12" s="30">
        <f t="shared" ref="H12" si="0">SUM(E12+F12-G12)</f>
        <v>23946014.02</v>
      </c>
    </row>
    <row r="13" spans="1:8" s="16" customFormat="1" ht="12" customHeight="1" thickTop="1" x14ac:dyDescent="0.2">
      <c r="A13" s="54"/>
      <c r="B13" s="25">
        <v>85214</v>
      </c>
      <c r="C13" s="26"/>
      <c r="D13" s="56" t="s">
        <v>32</v>
      </c>
      <c r="E13" s="57"/>
      <c r="F13" s="57"/>
      <c r="G13" s="57"/>
      <c r="H13" s="57"/>
    </row>
    <row r="14" spans="1:8" s="16" customFormat="1" ht="12" customHeight="1" x14ac:dyDescent="0.2">
      <c r="A14" s="54"/>
      <c r="B14" s="25"/>
      <c r="C14" s="26"/>
      <c r="D14" s="58" t="s">
        <v>33</v>
      </c>
      <c r="E14" s="40">
        <v>8034434</v>
      </c>
      <c r="F14" s="39">
        <f t="shared" ref="F14:G14" si="1">SUM(F15)</f>
        <v>0</v>
      </c>
      <c r="G14" s="39">
        <f t="shared" si="1"/>
        <v>100000</v>
      </c>
      <c r="H14" s="40">
        <f t="shared" ref="H14:H46" si="2">SUM(E14+F14-G14)</f>
        <v>7934434</v>
      </c>
    </row>
    <row r="15" spans="1:8" s="16" customFormat="1" ht="12" customHeight="1" x14ac:dyDescent="0.2">
      <c r="A15" s="54"/>
      <c r="B15" s="25"/>
      <c r="C15" s="26"/>
      <c r="D15" s="150" t="s">
        <v>34</v>
      </c>
      <c r="E15" s="83">
        <v>7985444</v>
      </c>
      <c r="F15" s="151">
        <f>SUM(F16)</f>
        <v>0</v>
      </c>
      <c r="G15" s="151">
        <f>SUM(G16)</f>
        <v>100000</v>
      </c>
      <c r="H15" s="83">
        <f t="shared" si="2"/>
        <v>7885444</v>
      </c>
    </row>
    <row r="16" spans="1:8" s="16" customFormat="1" ht="32.25" customHeight="1" x14ac:dyDescent="0.2">
      <c r="A16" s="54"/>
      <c r="B16" s="55"/>
      <c r="C16" s="59" t="s">
        <v>35</v>
      </c>
      <c r="D16" s="60" t="s">
        <v>36</v>
      </c>
      <c r="E16" s="61">
        <v>7985444</v>
      </c>
      <c r="F16" s="62"/>
      <c r="G16" s="62">
        <v>100000</v>
      </c>
      <c r="H16" s="61">
        <f t="shared" si="2"/>
        <v>7885444</v>
      </c>
    </row>
    <row r="17" spans="1:8" s="16" customFormat="1" ht="21" customHeight="1" thickBot="1" x14ac:dyDescent="0.25">
      <c r="A17" s="54"/>
      <c r="B17" s="54"/>
      <c r="C17" s="26"/>
      <c r="D17" s="29" t="s">
        <v>37</v>
      </c>
      <c r="E17" s="30">
        <v>82221987.620000005</v>
      </c>
      <c r="F17" s="34">
        <f>SUM(F18,F25)</f>
        <v>492579.44</v>
      </c>
      <c r="G17" s="34">
        <f>SUM(G18,G25)</f>
        <v>0</v>
      </c>
      <c r="H17" s="30">
        <f t="shared" si="2"/>
        <v>82714567.060000002</v>
      </c>
    </row>
    <row r="18" spans="1:8" s="16" customFormat="1" ht="21" customHeight="1" thickTop="1" thickBot="1" x14ac:dyDescent="0.25">
      <c r="A18" s="55">
        <v>852</v>
      </c>
      <c r="B18" s="55"/>
      <c r="C18" s="31"/>
      <c r="D18" s="33" t="s">
        <v>31</v>
      </c>
      <c r="E18" s="30">
        <v>7998136.1799999997</v>
      </c>
      <c r="F18" s="34">
        <f>SUM(F19,F22)</f>
        <v>464298.44</v>
      </c>
      <c r="G18" s="34">
        <f>SUM(G19,G22)</f>
        <v>0</v>
      </c>
      <c r="H18" s="34">
        <f>SUM(E18+F18-G18)</f>
        <v>8462434.6199999992</v>
      </c>
    </row>
    <row r="19" spans="1:8" s="16" customFormat="1" ht="12.75" customHeight="1" thickTop="1" x14ac:dyDescent="0.2">
      <c r="A19" s="55"/>
      <c r="B19" s="25">
        <v>85219</v>
      </c>
      <c r="C19" s="26"/>
      <c r="D19" s="63" t="s">
        <v>38</v>
      </c>
      <c r="E19" s="40">
        <v>17576</v>
      </c>
      <c r="F19" s="39">
        <f t="shared" ref="F19:G20" si="3">SUM(F20)</f>
        <v>5785</v>
      </c>
      <c r="G19" s="39">
        <f t="shared" si="3"/>
        <v>0</v>
      </c>
      <c r="H19" s="40">
        <f t="shared" ref="H19:H24" si="4">SUM(E19+F19-G19)</f>
        <v>23361</v>
      </c>
    </row>
    <row r="20" spans="1:8" s="16" customFormat="1" ht="12.75" customHeight="1" x14ac:dyDescent="0.2">
      <c r="A20" s="55"/>
      <c r="B20" s="25"/>
      <c r="C20" s="26"/>
      <c r="D20" s="150" t="s">
        <v>34</v>
      </c>
      <c r="E20" s="83">
        <v>17576</v>
      </c>
      <c r="F20" s="151">
        <f t="shared" si="3"/>
        <v>5785</v>
      </c>
      <c r="G20" s="151">
        <f t="shared" si="3"/>
        <v>0</v>
      </c>
      <c r="H20" s="83">
        <f t="shared" si="4"/>
        <v>23361</v>
      </c>
    </row>
    <row r="21" spans="1:8" s="16" customFormat="1" ht="45" customHeight="1" x14ac:dyDescent="0.2">
      <c r="A21" s="55"/>
      <c r="B21" s="55"/>
      <c r="C21" s="59" t="s">
        <v>39</v>
      </c>
      <c r="D21" s="64" t="s">
        <v>40</v>
      </c>
      <c r="E21" s="61">
        <v>17576</v>
      </c>
      <c r="F21" s="45">
        <v>5785</v>
      </c>
      <c r="G21" s="45"/>
      <c r="H21" s="61">
        <f t="shared" si="4"/>
        <v>23361</v>
      </c>
    </row>
    <row r="22" spans="1:8" s="16" customFormat="1" ht="12.75" customHeight="1" x14ac:dyDescent="0.2">
      <c r="A22" s="54"/>
      <c r="B22" s="25">
        <v>85295</v>
      </c>
      <c r="C22" s="26"/>
      <c r="D22" s="63" t="s">
        <v>41</v>
      </c>
      <c r="E22" s="40">
        <v>4080000</v>
      </c>
      <c r="F22" s="39">
        <f t="shared" ref="F22:G23" si="5">SUM(F23)</f>
        <v>458513.44</v>
      </c>
      <c r="G22" s="39">
        <f t="shared" si="5"/>
        <v>0</v>
      </c>
      <c r="H22" s="40">
        <f t="shared" si="4"/>
        <v>4538513.4400000004</v>
      </c>
    </row>
    <row r="23" spans="1:8" s="16" customFormat="1" ht="12.75" customHeight="1" x14ac:dyDescent="0.2">
      <c r="A23" s="54"/>
      <c r="B23" s="25"/>
      <c r="C23" s="26"/>
      <c r="D23" s="150" t="s">
        <v>34</v>
      </c>
      <c r="E23" s="83">
        <v>4080000</v>
      </c>
      <c r="F23" s="151">
        <f t="shared" si="5"/>
        <v>458513.44</v>
      </c>
      <c r="G23" s="151">
        <f t="shared" si="5"/>
        <v>0</v>
      </c>
      <c r="H23" s="83">
        <f t="shared" si="4"/>
        <v>4538513.4400000004</v>
      </c>
    </row>
    <row r="24" spans="1:8" s="16" customFormat="1" ht="45" customHeight="1" x14ac:dyDescent="0.2">
      <c r="A24" s="54"/>
      <c r="B24" s="55"/>
      <c r="C24" s="59" t="s">
        <v>39</v>
      </c>
      <c r="D24" s="64" t="s">
        <v>40</v>
      </c>
      <c r="E24" s="61">
        <v>4080000</v>
      </c>
      <c r="F24" s="45">
        <v>458513.44</v>
      </c>
      <c r="G24" s="45"/>
      <c r="H24" s="61">
        <f t="shared" si="4"/>
        <v>4538513.4400000004</v>
      </c>
    </row>
    <row r="25" spans="1:8" s="16" customFormat="1" ht="12.75" customHeight="1" thickBot="1" x14ac:dyDescent="0.25">
      <c r="A25" s="55">
        <v>855</v>
      </c>
      <c r="B25" s="55"/>
      <c r="C25" s="31"/>
      <c r="D25" s="33" t="s">
        <v>42</v>
      </c>
      <c r="E25" s="34">
        <v>70357146</v>
      </c>
      <c r="F25" s="34">
        <f>SUM(F28)</f>
        <v>28281</v>
      </c>
      <c r="G25" s="34">
        <f>SUM(G28)</f>
        <v>0</v>
      </c>
      <c r="H25" s="34">
        <f>SUM(E25+F25-G25)</f>
        <v>70385427</v>
      </c>
    </row>
    <row r="26" spans="1:8" s="16" customFormat="1" ht="12.75" customHeight="1" thickTop="1" x14ac:dyDescent="0.2">
      <c r="A26" s="55"/>
      <c r="B26" s="25">
        <v>85513</v>
      </c>
      <c r="C26" s="26"/>
      <c r="D26" s="65" t="s">
        <v>43</v>
      </c>
      <c r="E26" s="61"/>
      <c r="F26" s="45"/>
      <c r="G26" s="45"/>
      <c r="H26" s="61"/>
    </row>
    <row r="27" spans="1:8" s="16" customFormat="1" ht="12.75" customHeight="1" x14ac:dyDescent="0.2">
      <c r="A27" s="55"/>
      <c r="B27" s="54"/>
      <c r="C27" s="26"/>
      <c r="D27" s="56" t="s">
        <v>44</v>
      </c>
      <c r="E27" s="61"/>
      <c r="F27" s="45"/>
      <c r="G27" s="45"/>
      <c r="H27" s="61"/>
    </row>
    <row r="28" spans="1:8" s="16" customFormat="1" ht="12.75" customHeight="1" x14ac:dyDescent="0.2">
      <c r="A28" s="55"/>
      <c r="B28" s="25"/>
      <c r="C28" s="26"/>
      <c r="D28" s="63" t="s">
        <v>45</v>
      </c>
      <c r="E28" s="40">
        <v>243000</v>
      </c>
      <c r="F28" s="39">
        <f t="shared" ref="F28:G29" si="6">SUM(F29)</f>
        <v>28281</v>
      </c>
      <c r="G28" s="39">
        <f t="shared" si="6"/>
        <v>0</v>
      </c>
      <c r="H28" s="40">
        <f t="shared" ref="H28:H31" si="7">SUM(E28+F28-G28)</f>
        <v>271281</v>
      </c>
    </row>
    <row r="29" spans="1:8" s="16" customFormat="1" ht="12.75" customHeight="1" x14ac:dyDescent="0.2">
      <c r="A29" s="55"/>
      <c r="B29" s="25"/>
      <c r="C29" s="26"/>
      <c r="D29" s="150" t="s">
        <v>34</v>
      </c>
      <c r="E29" s="83">
        <v>243000</v>
      </c>
      <c r="F29" s="151">
        <f t="shared" si="6"/>
        <v>28281</v>
      </c>
      <c r="G29" s="151">
        <f t="shared" si="6"/>
        <v>0</v>
      </c>
      <c r="H29" s="83">
        <f t="shared" si="7"/>
        <v>271281</v>
      </c>
    </row>
    <row r="30" spans="1:8" s="16" customFormat="1" ht="45.75" customHeight="1" x14ac:dyDescent="0.2">
      <c r="A30" s="55"/>
      <c r="B30" s="55"/>
      <c r="C30" s="59" t="s">
        <v>39</v>
      </c>
      <c r="D30" s="64" t="s">
        <v>40</v>
      </c>
      <c r="E30" s="61">
        <v>243000</v>
      </c>
      <c r="F30" s="45">
        <v>28281</v>
      </c>
      <c r="G30" s="45"/>
      <c r="H30" s="61">
        <f t="shared" si="7"/>
        <v>271281</v>
      </c>
    </row>
    <row r="31" spans="1:8" s="16" customFormat="1" ht="22.5" customHeight="1" thickBot="1" x14ac:dyDescent="0.25">
      <c r="A31" s="54"/>
      <c r="B31" s="54"/>
      <c r="C31" s="26"/>
      <c r="D31" s="29" t="s">
        <v>46</v>
      </c>
      <c r="E31" s="30">
        <v>18660505.710000001</v>
      </c>
      <c r="F31" s="30">
        <f>SUM(F32,F37,F41)</f>
        <v>452071</v>
      </c>
      <c r="G31" s="30">
        <f>SUM(G32,G37,G41)</f>
        <v>0</v>
      </c>
      <c r="H31" s="30">
        <f t="shared" si="7"/>
        <v>19112576.710000001</v>
      </c>
    </row>
    <row r="32" spans="1:8" s="16" customFormat="1" ht="22.5" customHeight="1" thickTop="1" thickBot="1" x14ac:dyDescent="0.25">
      <c r="A32" s="55">
        <v>700</v>
      </c>
      <c r="B32" s="55"/>
      <c r="C32" s="31"/>
      <c r="D32" s="33" t="s">
        <v>47</v>
      </c>
      <c r="E32" s="30">
        <v>416855.8</v>
      </c>
      <c r="F32" s="30">
        <f t="shared" ref="F32:G34" si="8">SUM(F33)</f>
        <v>3000</v>
      </c>
      <c r="G32" s="30">
        <f t="shared" si="8"/>
        <v>0</v>
      </c>
      <c r="H32" s="30">
        <f>SUM(E32+F32-G32)</f>
        <v>419855.8</v>
      </c>
    </row>
    <row r="33" spans="1:8" s="16" customFormat="1" ht="12.75" customHeight="1" thickTop="1" x14ac:dyDescent="0.2">
      <c r="A33" s="55"/>
      <c r="B33" s="25">
        <v>70005</v>
      </c>
      <c r="C33" s="26"/>
      <c r="D33" s="58" t="s">
        <v>48</v>
      </c>
      <c r="E33" s="40">
        <v>416855.8</v>
      </c>
      <c r="F33" s="40">
        <f t="shared" si="8"/>
        <v>3000</v>
      </c>
      <c r="G33" s="40">
        <f t="shared" si="8"/>
        <v>0</v>
      </c>
      <c r="H33" s="40">
        <f>SUM(E33+F33-G33)</f>
        <v>419855.8</v>
      </c>
    </row>
    <row r="34" spans="1:8" s="16" customFormat="1" ht="12.75" customHeight="1" x14ac:dyDescent="0.2">
      <c r="A34" s="54"/>
      <c r="B34" s="25"/>
      <c r="C34" s="26"/>
      <c r="D34" s="150" t="s">
        <v>34</v>
      </c>
      <c r="E34" s="83">
        <v>416855.8</v>
      </c>
      <c r="F34" s="151">
        <f t="shared" si="8"/>
        <v>3000</v>
      </c>
      <c r="G34" s="151">
        <f t="shared" si="8"/>
        <v>0</v>
      </c>
      <c r="H34" s="83">
        <f>SUM(E34+F34-G34)</f>
        <v>419855.8</v>
      </c>
    </row>
    <row r="35" spans="1:8" s="16" customFormat="1" ht="33.75" customHeight="1" x14ac:dyDescent="0.2">
      <c r="A35" s="55"/>
      <c r="B35" s="54"/>
      <c r="C35" s="48">
        <v>2110</v>
      </c>
      <c r="D35" s="66" t="s">
        <v>49</v>
      </c>
      <c r="E35" s="67">
        <v>416855.8</v>
      </c>
      <c r="F35" s="68">
        <v>3000</v>
      </c>
      <c r="G35" s="68"/>
      <c r="H35" s="67">
        <f t="shared" ref="H35" si="9">SUM(E35+F35-G35)</f>
        <v>419855.8</v>
      </c>
    </row>
    <row r="36" spans="1:8" s="16" customFormat="1" ht="12.75" customHeight="1" x14ac:dyDescent="0.2">
      <c r="A36" s="32">
        <v>754</v>
      </c>
      <c r="B36" s="55"/>
      <c r="C36" s="31"/>
      <c r="D36" s="33" t="s">
        <v>50</v>
      </c>
      <c r="E36" s="69"/>
      <c r="F36" s="69"/>
      <c r="G36" s="69"/>
      <c r="H36" s="69"/>
    </row>
    <row r="37" spans="1:8" s="16" customFormat="1" ht="12.75" customHeight="1" thickBot="1" x14ac:dyDescent="0.25">
      <c r="A37" s="32"/>
      <c r="B37" s="55"/>
      <c r="C37" s="31"/>
      <c r="D37" s="33" t="s">
        <v>51</v>
      </c>
      <c r="E37" s="30">
        <v>15310486</v>
      </c>
      <c r="F37" s="30">
        <f t="shared" ref="F37:G39" si="10">SUM(F38)</f>
        <v>424671</v>
      </c>
      <c r="G37" s="30">
        <f t="shared" si="10"/>
        <v>0</v>
      </c>
      <c r="H37" s="30">
        <f>SUM(E37+F37-G37)</f>
        <v>15735157</v>
      </c>
    </row>
    <row r="38" spans="1:8" s="16" customFormat="1" ht="12.75" customHeight="1" thickTop="1" x14ac:dyDescent="0.2">
      <c r="A38" s="42"/>
      <c r="B38" s="25">
        <v>75411</v>
      </c>
      <c r="C38" s="26"/>
      <c r="D38" s="70" t="s">
        <v>52</v>
      </c>
      <c r="E38" s="40">
        <v>15310486</v>
      </c>
      <c r="F38" s="40">
        <f t="shared" si="10"/>
        <v>424671</v>
      </c>
      <c r="G38" s="40">
        <f t="shared" si="10"/>
        <v>0</v>
      </c>
      <c r="H38" s="40">
        <f>SUM(E38+F38-G38)</f>
        <v>15735157</v>
      </c>
    </row>
    <row r="39" spans="1:8" s="16" customFormat="1" ht="12.75" customHeight="1" x14ac:dyDescent="0.2">
      <c r="A39" s="54"/>
      <c r="B39" s="25"/>
      <c r="C39" s="26"/>
      <c r="D39" s="150" t="s">
        <v>34</v>
      </c>
      <c r="E39" s="83">
        <v>15310486</v>
      </c>
      <c r="F39" s="151">
        <f t="shared" si="10"/>
        <v>424671</v>
      </c>
      <c r="G39" s="151">
        <f t="shared" si="10"/>
        <v>0</v>
      </c>
      <c r="H39" s="83">
        <f>SUM(E39+F39-G39)</f>
        <v>15735157</v>
      </c>
    </row>
    <row r="40" spans="1:8" s="16" customFormat="1" ht="33" customHeight="1" x14ac:dyDescent="0.2">
      <c r="A40" s="71"/>
      <c r="B40" s="72"/>
      <c r="C40" s="73">
        <v>2110</v>
      </c>
      <c r="D40" s="74" t="s">
        <v>49</v>
      </c>
      <c r="E40" s="75">
        <v>15160486</v>
      </c>
      <c r="F40" s="40">
        <f>369571+55100</f>
        <v>424671</v>
      </c>
      <c r="G40" s="40"/>
      <c r="H40" s="75">
        <f t="shared" ref="H40:H44" si="11">SUM(E40+F40-G40)</f>
        <v>15585157</v>
      </c>
    </row>
    <row r="41" spans="1:8" s="16" customFormat="1" ht="12.75" customHeight="1" thickBot="1" x14ac:dyDescent="0.25">
      <c r="A41" s="55">
        <v>852</v>
      </c>
      <c r="B41" s="55"/>
      <c r="C41" s="31"/>
      <c r="D41" s="33" t="s">
        <v>31</v>
      </c>
      <c r="E41" s="30">
        <v>452000</v>
      </c>
      <c r="F41" s="30">
        <f>SUM(F42)</f>
        <v>24400</v>
      </c>
      <c r="G41" s="30">
        <f>SUM(G42)</f>
        <v>0</v>
      </c>
      <c r="H41" s="30">
        <f t="shared" si="11"/>
        <v>476400</v>
      </c>
    </row>
    <row r="42" spans="1:8" s="16" customFormat="1" ht="12.75" customHeight="1" thickTop="1" x14ac:dyDescent="0.2">
      <c r="A42" s="55"/>
      <c r="B42" s="25">
        <v>85205</v>
      </c>
      <c r="C42" s="26"/>
      <c r="D42" s="58" t="s">
        <v>53</v>
      </c>
      <c r="E42" s="40">
        <v>452000</v>
      </c>
      <c r="F42" s="40">
        <f t="shared" ref="F42:G42" si="12">SUM(F43)</f>
        <v>24400</v>
      </c>
      <c r="G42" s="40">
        <f t="shared" si="12"/>
        <v>0</v>
      </c>
      <c r="H42" s="40">
        <f t="shared" si="11"/>
        <v>476400</v>
      </c>
    </row>
    <row r="43" spans="1:8" s="16" customFormat="1" ht="12.75" customHeight="1" x14ac:dyDescent="0.2">
      <c r="A43" s="54"/>
      <c r="B43" s="25"/>
      <c r="C43" s="26"/>
      <c r="D43" s="150" t="s">
        <v>34</v>
      </c>
      <c r="E43" s="83">
        <v>452000</v>
      </c>
      <c r="F43" s="151">
        <f>SUM(F44:F44)</f>
        <v>24400</v>
      </c>
      <c r="G43" s="151">
        <f>SUM(G44:G44)</f>
        <v>0</v>
      </c>
      <c r="H43" s="83">
        <f t="shared" si="11"/>
        <v>476400</v>
      </c>
    </row>
    <row r="44" spans="1:8" s="16" customFormat="1" ht="33" customHeight="1" x14ac:dyDescent="0.2">
      <c r="A44" s="55"/>
      <c r="B44" s="54"/>
      <c r="C44" s="48">
        <v>2110</v>
      </c>
      <c r="D44" s="66" t="s">
        <v>49</v>
      </c>
      <c r="E44" s="45">
        <v>452000</v>
      </c>
      <c r="F44" s="62">
        <v>24400</v>
      </c>
      <c r="G44" s="76"/>
      <c r="H44" s="45">
        <f t="shared" si="11"/>
        <v>476400</v>
      </c>
    </row>
    <row r="45" spans="1:8" s="16" customFormat="1" ht="25.5" customHeight="1" thickBot="1" x14ac:dyDescent="0.25">
      <c r="A45" s="25"/>
      <c r="B45" s="25"/>
      <c r="C45" s="26"/>
      <c r="D45" s="27" t="s">
        <v>12</v>
      </c>
      <c r="E45" s="28">
        <v>925659061.61000001</v>
      </c>
      <c r="F45" s="28">
        <f>SUM(F46,F228,F257)</f>
        <v>1385180.08</v>
      </c>
      <c r="G45" s="28">
        <f>SUM(G46,G228,G257)</f>
        <v>540529.64</v>
      </c>
      <c r="H45" s="28">
        <f t="shared" si="2"/>
        <v>926503712.05000007</v>
      </c>
    </row>
    <row r="46" spans="1:8" s="16" customFormat="1" ht="17.25" customHeight="1" thickBot="1" x14ac:dyDescent="0.25">
      <c r="A46" s="25"/>
      <c r="B46" s="25"/>
      <c r="C46" s="26"/>
      <c r="D46" s="29" t="s">
        <v>13</v>
      </c>
      <c r="E46" s="30">
        <v>824776568.28000009</v>
      </c>
      <c r="F46" s="30">
        <f>SUM(F47,F51,F56,F66,F72,F76,F169,F185,F196,F205,F210)</f>
        <v>411831.80000000005</v>
      </c>
      <c r="G46" s="30">
        <f>SUM(G47,G51,G56,G66,G72,G76,G169,G185,G196,G205,G210)</f>
        <v>511831.80000000005</v>
      </c>
      <c r="H46" s="30">
        <f t="shared" si="2"/>
        <v>824676568.28000009</v>
      </c>
    </row>
    <row r="47" spans="1:8" s="16" customFormat="1" ht="17.25" customHeight="1" thickTop="1" thickBot="1" x14ac:dyDescent="0.25">
      <c r="A47" s="55">
        <v>600</v>
      </c>
      <c r="B47" s="55"/>
      <c r="C47" s="31"/>
      <c r="D47" s="33" t="s">
        <v>54</v>
      </c>
      <c r="E47" s="77">
        <v>109575675.7</v>
      </c>
      <c r="F47" s="77">
        <f>SUM(F48)</f>
        <v>52046</v>
      </c>
      <c r="G47" s="77">
        <f>SUM(G48)</f>
        <v>0</v>
      </c>
      <c r="H47" s="30">
        <f>SUM(E47+F47-G47)</f>
        <v>109627721.7</v>
      </c>
    </row>
    <row r="48" spans="1:8" s="16" customFormat="1" ht="12" customHeight="1" thickTop="1" x14ac:dyDescent="0.2">
      <c r="A48" s="55"/>
      <c r="B48" s="25">
        <v>60016</v>
      </c>
      <c r="C48" s="26"/>
      <c r="D48" s="63" t="s">
        <v>55</v>
      </c>
      <c r="E48" s="38">
        <v>33854958.340000004</v>
      </c>
      <c r="F48" s="38">
        <f>SUM(F49)</f>
        <v>52046</v>
      </c>
      <c r="G48" s="38">
        <f>SUM(G49)</f>
        <v>0</v>
      </c>
      <c r="H48" s="40">
        <f>SUM(E48+F48-G48)</f>
        <v>33907004.340000004</v>
      </c>
    </row>
    <row r="49" spans="1:8" s="16" customFormat="1" ht="12" customHeight="1" x14ac:dyDescent="0.2">
      <c r="A49" s="55"/>
      <c r="B49" s="25"/>
      <c r="C49" s="35"/>
      <c r="D49" s="152" t="s">
        <v>56</v>
      </c>
      <c r="E49" s="83">
        <v>29306014.34</v>
      </c>
      <c r="F49" s="83">
        <f>SUM(F50:F50)</f>
        <v>52046</v>
      </c>
      <c r="G49" s="83">
        <f>SUM(G50:G50)</f>
        <v>0</v>
      </c>
      <c r="H49" s="83">
        <f>SUM(E49+F49-G49)</f>
        <v>29358060.34</v>
      </c>
    </row>
    <row r="50" spans="1:8" s="16" customFormat="1" ht="46.5" customHeight="1" x14ac:dyDescent="0.2">
      <c r="A50" s="55"/>
      <c r="B50" s="25"/>
      <c r="C50" s="59" t="s">
        <v>57</v>
      </c>
      <c r="D50" s="60" t="s">
        <v>58</v>
      </c>
      <c r="E50" s="44">
        <v>0</v>
      </c>
      <c r="F50" s="44">
        <v>52046</v>
      </c>
      <c r="G50" s="44"/>
      <c r="H50" s="45">
        <f t="shared" ref="H50" si="13">SUM(E50+F50-G50)</f>
        <v>52046</v>
      </c>
    </row>
    <row r="51" spans="1:8" s="16" customFormat="1" ht="12" customHeight="1" thickBot="1" x14ac:dyDescent="0.25">
      <c r="A51" s="78">
        <v>630</v>
      </c>
      <c r="B51" s="78"/>
      <c r="C51" s="79"/>
      <c r="D51" s="80" t="s">
        <v>59</v>
      </c>
      <c r="E51" s="30">
        <v>2986255</v>
      </c>
      <c r="F51" s="30">
        <f>SUM(F52)</f>
        <v>6512</v>
      </c>
      <c r="G51" s="30">
        <f>SUM(G52)</f>
        <v>6512</v>
      </c>
      <c r="H51" s="30">
        <f>SUM(E51+F51-G51)</f>
        <v>2986255</v>
      </c>
    </row>
    <row r="52" spans="1:8" s="16" customFormat="1" ht="12" customHeight="1" thickTop="1" x14ac:dyDescent="0.2">
      <c r="A52" s="81"/>
      <c r="B52" s="35">
        <v>63003</v>
      </c>
      <c r="C52" s="36"/>
      <c r="D52" s="37" t="s">
        <v>60</v>
      </c>
      <c r="E52" s="38">
        <v>2986255</v>
      </c>
      <c r="F52" s="38">
        <f>SUM(F53)</f>
        <v>6512</v>
      </c>
      <c r="G52" s="38">
        <f>SUM(G53)</f>
        <v>6512</v>
      </c>
      <c r="H52" s="40">
        <f>SUM(E52+F52-G52)</f>
        <v>2986255</v>
      </c>
    </row>
    <row r="53" spans="1:8" s="16" customFormat="1" ht="12" customHeight="1" x14ac:dyDescent="0.2">
      <c r="A53" s="32"/>
      <c r="B53" s="41"/>
      <c r="C53" s="82"/>
      <c r="D53" s="153" t="s">
        <v>61</v>
      </c>
      <c r="E53" s="83">
        <v>1986255</v>
      </c>
      <c r="F53" s="83">
        <f>SUM(F54:F55)</f>
        <v>6512</v>
      </c>
      <c r="G53" s="83">
        <f>SUM(G54:G55)</f>
        <v>6512</v>
      </c>
      <c r="H53" s="83">
        <f>SUM(E53+F53-G53)</f>
        <v>1986255</v>
      </c>
    </row>
    <row r="54" spans="1:8" s="16" customFormat="1" ht="12" customHeight="1" x14ac:dyDescent="0.2">
      <c r="A54" s="32"/>
      <c r="B54" s="41"/>
      <c r="C54" s="41">
        <v>4270</v>
      </c>
      <c r="D54" s="43" t="s">
        <v>62</v>
      </c>
      <c r="E54" s="44">
        <v>66512</v>
      </c>
      <c r="F54" s="44"/>
      <c r="G54" s="44">
        <v>6512</v>
      </c>
      <c r="H54" s="45">
        <f t="shared" ref="H54:H60" si="14">SUM(E54+F54-G54)</f>
        <v>60000</v>
      </c>
    </row>
    <row r="55" spans="1:8" s="16" customFormat="1" ht="12" customHeight="1" x14ac:dyDescent="0.2">
      <c r="A55" s="32"/>
      <c r="B55" s="41"/>
      <c r="C55" s="41">
        <v>4430</v>
      </c>
      <c r="D55" s="43" t="s">
        <v>63</v>
      </c>
      <c r="E55" s="44">
        <v>18406</v>
      </c>
      <c r="F55" s="44">
        <v>6512</v>
      </c>
      <c r="G55" s="44"/>
      <c r="H55" s="45">
        <f t="shared" si="14"/>
        <v>24918</v>
      </c>
    </row>
    <row r="56" spans="1:8" s="16" customFormat="1" ht="12" customHeight="1" thickBot="1" x14ac:dyDescent="0.25">
      <c r="A56" s="32">
        <v>700</v>
      </c>
      <c r="B56" s="32"/>
      <c r="C56" s="31"/>
      <c r="D56" s="33" t="s">
        <v>47</v>
      </c>
      <c r="E56" s="30">
        <v>62847788.329999998</v>
      </c>
      <c r="F56" s="34">
        <f>SUM(F57,F60)</f>
        <v>6000</v>
      </c>
      <c r="G56" s="34">
        <f>SUM(G57,G60)</f>
        <v>6000</v>
      </c>
      <c r="H56" s="30">
        <f t="shared" si="14"/>
        <v>62847788.329999998</v>
      </c>
    </row>
    <row r="57" spans="1:8" s="16" customFormat="1" ht="12" customHeight="1" thickTop="1" x14ac:dyDescent="0.2">
      <c r="A57" s="32"/>
      <c r="B57" s="25">
        <v>70005</v>
      </c>
      <c r="C57" s="26"/>
      <c r="D57" s="63" t="s">
        <v>48</v>
      </c>
      <c r="E57" s="40">
        <v>3265800</v>
      </c>
      <c r="F57" s="39">
        <f>SUM(F58)</f>
        <v>5000</v>
      </c>
      <c r="G57" s="39">
        <f>SUM(G58)</f>
        <v>0</v>
      </c>
      <c r="H57" s="40">
        <f t="shared" si="14"/>
        <v>3270800</v>
      </c>
    </row>
    <row r="58" spans="1:8" s="16" customFormat="1" ht="12" customHeight="1" x14ac:dyDescent="0.2">
      <c r="A58" s="32"/>
      <c r="B58" s="25"/>
      <c r="C58" s="26"/>
      <c r="D58" s="154" t="s">
        <v>64</v>
      </c>
      <c r="E58" s="95">
        <v>3258800</v>
      </c>
      <c r="F58" s="151">
        <f>SUM(F59:F59)</f>
        <v>5000</v>
      </c>
      <c r="G58" s="151">
        <f>SUM(G59:G59)</f>
        <v>0</v>
      </c>
      <c r="H58" s="83">
        <f>SUM(E58+F58-G58)</f>
        <v>3263800</v>
      </c>
    </row>
    <row r="59" spans="1:8" s="16" customFormat="1" ht="12" customHeight="1" x14ac:dyDescent="0.2">
      <c r="A59" s="32"/>
      <c r="B59" s="25"/>
      <c r="C59" s="41">
        <v>4610</v>
      </c>
      <c r="D59" s="84" t="s">
        <v>65</v>
      </c>
      <c r="E59" s="44">
        <v>18000</v>
      </c>
      <c r="F59" s="61">
        <v>5000</v>
      </c>
      <c r="G59" s="61"/>
      <c r="H59" s="44">
        <f t="shared" ref="H59" si="15">SUM(E59+F59-G59)</f>
        <v>23000</v>
      </c>
    </row>
    <row r="60" spans="1:8" s="16" customFormat="1" ht="12" customHeight="1" x14ac:dyDescent="0.2">
      <c r="A60" s="32"/>
      <c r="B60" s="35">
        <v>70007</v>
      </c>
      <c r="C60" s="36"/>
      <c r="D60" s="37" t="s">
        <v>66</v>
      </c>
      <c r="E60" s="40">
        <v>29787488.329999998</v>
      </c>
      <c r="F60" s="39">
        <f>SUM(F61,F63)</f>
        <v>1000</v>
      </c>
      <c r="G60" s="39">
        <f>SUM(G61,G63)</f>
        <v>6000</v>
      </c>
      <c r="H60" s="40">
        <f t="shared" si="14"/>
        <v>29782488.329999998</v>
      </c>
    </row>
    <row r="61" spans="1:8" s="16" customFormat="1" ht="12" customHeight="1" x14ac:dyDescent="0.2">
      <c r="A61" s="20"/>
      <c r="B61" s="41"/>
      <c r="C61" s="26"/>
      <c r="D61" s="154" t="s">
        <v>64</v>
      </c>
      <c r="E61" s="95">
        <v>114400</v>
      </c>
      <c r="F61" s="151">
        <f>SUM(F62:F62)</f>
        <v>0</v>
      </c>
      <c r="G61" s="151">
        <f>SUM(G62:G62)</f>
        <v>5000</v>
      </c>
      <c r="H61" s="83">
        <f>SUM(E61+F61-G61)</f>
        <v>109400</v>
      </c>
    </row>
    <row r="62" spans="1:8" s="16" customFormat="1" ht="12" customHeight="1" x14ac:dyDescent="0.2">
      <c r="A62" s="20"/>
      <c r="B62" s="41"/>
      <c r="C62" s="41">
        <v>4610</v>
      </c>
      <c r="D62" s="84" t="s">
        <v>65</v>
      </c>
      <c r="E62" s="44">
        <v>5000</v>
      </c>
      <c r="F62" s="44"/>
      <c r="G62" s="44">
        <v>5000</v>
      </c>
      <c r="H62" s="45">
        <f t="shared" ref="H62:H71" si="16">SUM(E62+F62-G62)</f>
        <v>0</v>
      </c>
    </row>
    <row r="63" spans="1:8" s="16" customFormat="1" ht="12" customHeight="1" x14ac:dyDescent="0.2">
      <c r="A63" s="20"/>
      <c r="B63" s="41"/>
      <c r="C63" s="26"/>
      <c r="D63" s="153" t="s">
        <v>67</v>
      </c>
      <c r="E63" s="95">
        <v>29673088.329999998</v>
      </c>
      <c r="F63" s="151">
        <f>SUM(F64:F65)</f>
        <v>1000</v>
      </c>
      <c r="G63" s="151">
        <f>SUM(G64:G65)</f>
        <v>1000</v>
      </c>
      <c r="H63" s="83">
        <f>SUM(E63+F63-G63)</f>
        <v>29673088.329999998</v>
      </c>
    </row>
    <row r="64" spans="1:8" s="16" customFormat="1" ht="12" customHeight="1" x14ac:dyDescent="0.2">
      <c r="A64" s="20"/>
      <c r="B64" s="41"/>
      <c r="C64" s="41">
        <v>3020</v>
      </c>
      <c r="D64" s="43" t="s">
        <v>24</v>
      </c>
      <c r="E64" s="44">
        <v>6237</v>
      </c>
      <c r="F64" s="44">
        <v>1000</v>
      </c>
      <c r="G64" s="44"/>
      <c r="H64" s="45">
        <f t="shared" ref="H64:H65" si="17">SUM(E64+F64-G64)</f>
        <v>7237</v>
      </c>
    </row>
    <row r="65" spans="1:8" s="16" customFormat="1" ht="21" customHeight="1" x14ac:dyDescent="0.2">
      <c r="A65" s="20"/>
      <c r="B65" s="41"/>
      <c r="C65" s="85">
        <v>4140</v>
      </c>
      <c r="D65" s="49" t="s">
        <v>68</v>
      </c>
      <c r="E65" s="44">
        <v>67668</v>
      </c>
      <c r="F65" s="44"/>
      <c r="G65" s="44">
        <v>1000</v>
      </c>
      <c r="H65" s="45">
        <f t="shared" si="17"/>
        <v>66668</v>
      </c>
    </row>
    <row r="66" spans="1:8" s="16" customFormat="1" ht="12" customHeight="1" thickBot="1" x14ac:dyDescent="0.25">
      <c r="A66" s="32">
        <v>750</v>
      </c>
      <c r="B66" s="32"/>
      <c r="C66" s="31"/>
      <c r="D66" s="33" t="s">
        <v>69</v>
      </c>
      <c r="E66" s="30">
        <v>82395266.080000013</v>
      </c>
      <c r="F66" s="34">
        <f>SUM(F67)</f>
        <v>27886.69</v>
      </c>
      <c r="G66" s="34">
        <f>SUM(G67)</f>
        <v>27886.69</v>
      </c>
      <c r="H66" s="30">
        <f t="shared" si="16"/>
        <v>82395266.080000013</v>
      </c>
    </row>
    <row r="67" spans="1:8" s="16" customFormat="1" ht="12" customHeight="1" thickTop="1" x14ac:dyDescent="0.2">
      <c r="A67" s="25"/>
      <c r="B67" s="26" t="s">
        <v>70</v>
      </c>
      <c r="C67" s="41"/>
      <c r="D67" s="63" t="s">
        <v>41</v>
      </c>
      <c r="E67" s="40">
        <v>35352991.170000002</v>
      </c>
      <c r="F67" s="39">
        <f>SUM(F68)</f>
        <v>27886.69</v>
      </c>
      <c r="G67" s="39">
        <f>SUM(G68)</f>
        <v>27886.69</v>
      </c>
      <c r="H67" s="40">
        <f t="shared" si="16"/>
        <v>35352991.170000002</v>
      </c>
    </row>
    <row r="68" spans="1:8" s="16" customFormat="1" ht="12.75" customHeight="1" x14ac:dyDescent="0.2">
      <c r="A68" s="25"/>
      <c r="B68" s="25"/>
      <c r="C68" s="41"/>
      <c r="D68" s="152" t="s">
        <v>56</v>
      </c>
      <c r="E68" s="95">
        <v>5263418.2699999996</v>
      </c>
      <c r="F68" s="155">
        <f>SUM(F69:F71)</f>
        <v>27886.69</v>
      </c>
      <c r="G68" s="155">
        <f>SUM(G69:G71)</f>
        <v>27886.69</v>
      </c>
      <c r="H68" s="83">
        <f t="shared" si="16"/>
        <v>5263418.2699999996</v>
      </c>
    </row>
    <row r="69" spans="1:8" s="16" customFormat="1" ht="21" customHeight="1" x14ac:dyDescent="0.2">
      <c r="A69" s="25"/>
      <c r="B69" s="25"/>
      <c r="C69" s="48">
        <v>4390</v>
      </c>
      <c r="D69" s="66" t="s">
        <v>71</v>
      </c>
      <c r="E69" s="61">
        <v>100000</v>
      </c>
      <c r="F69" s="44"/>
      <c r="G69" s="44">
        <v>27886.69</v>
      </c>
      <c r="H69" s="45">
        <f t="shared" si="16"/>
        <v>72113.31</v>
      </c>
    </row>
    <row r="70" spans="1:8" s="16" customFormat="1" ht="12" customHeight="1" x14ac:dyDescent="0.2">
      <c r="A70" s="25"/>
      <c r="B70" s="25"/>
      <c r="C70" s="41">
        <v>4580</v>
      </c>
      <c r="D70" s="43" t="s">
        <v>72</v>
      </c>
      <c r="E70" s="61">
        <v>0</v>
      </c>
      <c r="F70" s="44">
        <v>7600</v>
      </c>
      <c r="G70" s="44"/>
      <c r="H70" s="45">
        <f t="shared" si="16"/>
        <v>7600</v>
      </c>
    </row>
    <row r="71" spans="1:8" s="16" customFormat="1" ht="23.25" customHeight="1" x14ac:dyDescent="0.2">
      <c r="A71" s="25"/>
      <c r="B71" s="25"/>
      <c r="C71" s="48">
        <v>4600</v>
      </c>
      <c r="D71" s="66" t="s">
        <v>73</v>
      </c>
      <c r="E71" s="61">
        <v>0</v>
      </c>
      <c r="F71" s="44">
        <v>20286.689999999999</v>
      </c>
      <c r="G71" s="44"/>
      <c r="H71" s="45">
        <f t="shared" si="16"/>
        <v>20286.689999999999</v>
      </c>
    </row>
    <row r="72" spans="1:8" s="16" customFormat="1" ht="12" customHeight="1" thickBot="1" x14ac:dyDescent="0.25">
      <c r="A72" s="55">
        <v>758</v>
      </c>
      <c r="B72" s="55"/>
      <c r="C72" s="31"/>
      <c r="D72" s="33" t="s">
        <v>74</v>
      </c>
      <c r="E72" s="30">
        <v>18199687.719999999</v>
      </c>
      <c r="F72" s="34">
        <f>SUM(F73)</f>
        <v>0</v>
      </c>
      <c r="G72" s="34">
        <f>SUM(G73)</f>
        <v>139787</v>
      </c>
      <c r="H72" s="30">
        <f>SUM(E72+F72-G72)</f>
        <v>18059900.719999999</v>
      </c>
    </row>
    <row r="73" spans="1:8" s="16" customFormat="1" ht="12" customHeight="1" thickTop="1" x14ac:dyDescent="0.2">
      <c r="A73" s="54"/>
      <c r="B73" s="25">
        <v>75818</v>
      </c>
      <c r="C73" s="26"/>
      <c r="D73" s="70" t="s">
        <v>75</v>
      </c>
      <c r="E73" s="40">
        <v>18199687.719999999</v>
      </c>
      <c r="F73" s="39">
        <f>SUM(F74)</f>
        <v>0</v>
      </c>
      <c r="G73" s="39">
        <f>SUM(G74)</f>
        <v>139787</v>
      </c>
      <c r="H73" s="40">
        <f>SUM(E73+F73-G73)</f>
        <v>18059900.719999999</v>
      </c>
    </row>
    <row r="74" spans="1:8" s="16" customFormat="1" ht="12" customHeight="1" x14ac:dyDescent="0.2">
      <c r="A74" s="54"/>
      <c r="B74" s="25"/>
      <c r="C74" s="26" t="s">
        <v>76</v>
      </c>
      <c r="D74" s="56" t="s">
        <v>77</v>
      </c>
      <c r="E74" s="86">
        <v>15957871.409999998</v>
      </c>
      <c r="F74" s="86">
        <f>SUM(F75:F75)</f>
        <v>0</v>
      </c>
      <c r="G74" s="86">
        <f>SUM(G75:G75)</f>
        <v>139787</v>
      </c>
      <c r="H74" s="86">
        <f>SUM(E74+F74-G74)</f>
        <v>15818084.409999998</v>
      </c>
    </row>
    <row r="75" spans="1:8" s="16" customFormat="1" ht="12" customHeight="1" x14ac:dyDescent="0.2">
      <c r="A75" s="54"/>
      <c r="B75" s="25"/>
      <c r="C75" s="26"/>
      <c r="D75" s="47" t="s">
        <v>78</v>
      </c>
      <c r="E75" s="44">
        <v>1712993.87</v>
      </c>
      <c r="F75" s="44"/>
      <c r="G75" s="44">
        <f>18804+52046+68937</f>
        <v>139787</v>
      </c>
      <c r="H75" s="44">
        <f t="shared" ref="H75" si="18">SUM(E75+F75-G75)</f>
        <v>1573206.87</v>
      </c>
    </row>
    <row r="76" spans="1:8" s="16" customFormat="1" ht="12" customHeight="1" thickBot="1" x14ac:dyDescent="0.25">
      <c r="A76" s="55">
        <v>801</v>
      </c>
      <c r="B76" s="55"/>
      <c r="C76" s="31"/>
      <c r="D76" s="33" t="s">
        <v>79</v>
      </c>
      <c r="E76" s="30">
        <v>298097144.58000004</v>
      </c>
      <c r="F76" s="34">
        <f>SUM(F77,F90,F95,F100,F105,F108,F112,F115,F120,F124,F128,F132,F141,F144)</f>
        <v>97204.2</v>
      </c>
      <c r="G76" s="34">
        <f>SUM(G77,G90,G95,G100,G105,G108,G112,G115,G120,G124,G128,G132,G141,G144)</f>
        <v>97204.2</v>
      </c>
      <c r="H76" s="30">
        <f>SUM(E76+F76-G76)</f>
        <v>298097144.58000004</v>
      </c>
    </row>
    <row r="77" spans="1:8" s="16" customFormat="1" ht="12" customHeight="1" thickTop="1" x14ac:dyDescent="0.2">
      <c r="A77" s="55"/>
      <c r="B77" s="25">
        <v>80101</v>
      </c>
      <c r="C77" s="26"/>
      <c r="D77" s="63" t="s">
        <v>80</v>
      </c>
      <c r="E77" s="40">
        <v>80639961.539999992</v>
      </c>
      <c r="F77" s="39">
        <f>SUM(F78,F87)</f>
        <v>11854.41</v>
      </c>
      <c r="G77" s="39">
        <f>SUM(G78,G87)</f>
        <v>11854.41</v>
      </c>
      <c r="H77" s="40">
        <f>SUM(E77+F77-G77)</f>
        <v>80639961.539999992</v>
      </c>
    </row>
    <row r="78" spans="1:8" s="16" customFormat="1" ht="12" customHeight="1" x14ac:dyDescent="0.2">
      <c r="A78" s="55"/>
      <c r="B78" s="25"/>
      <c r="C78" s="26"/>
      <c r="D78" s="154" t="s">
        <v>81</v>
      </c>
      <c r="E78" s="95">
        <v>72034101.149999991</v>
      </c>
      <c r="F78" s="95">
        <f>SUM(F79:F86)</f>
        <v>11297</v>
      </c>
      <c r="G78" s="95">
        <f>SUM(G79:G86)</f>
        <v>11297</v>
      </c>
      <c r="H78" s="83">
        <f>SUM(E78+F78-G78)</f>
        <v>72034101.149999991</v>
      </c>
    </row>
    <row r="79" spans="1:8" s="16" customFormat="1" ht="12" customHeight="1" x14ac:dyDescent="0.2">
      <c r="A79" s="55"/>
      <c r="B79" s="25"/>
      <c r="C79" s="41">
        <v>4260</v>
      </c>
      <c r="D79" s="43" t="s">
        <v>25</v>
      </c>
      <c r="E79" s="44">
        <v>4040058</v>
      </c>
      <c r="F79" s="44">
        <v>1228</v>
      </c>
      <c r="G79" s="44"/>
      <c r="H79" s="45">
        <f t="shared" ref="H79:H86" si="19">SUM(E79+F79-G79)</f>
        <v>4041286</v>
      </c>
    </row>
    <row r="80" spans="1:8" s="16" customFormat="1" ht="12" customHeight="1" x14ac:dyDescent="0.2">
      <c r="A80" s="55"/>
      <c r="B80" s="25"/>
      <c r="C80" s="41">
        <v>4270</v>
      </c>
      <c r="D80" s="43" t="s">
        <v>62</v>
      </c>
      <c r="E80" s="44">
        <v>217728</v>
      </c>
      <c r="F80" s="44">
        <v>8000</v>
      </c>
      <c r="G80" s="44"/>
      <c r="H80" s="45">
        <f t="shared" si="19"/>
        <v>225728</v>
      </c>
    </row>
    <row r="81" spans="1:8" s="16" customFormat="1" ht="12" customHeight="1" x14ac:dyDescent="0.2">
      <c r="A81" s="55"/>
      <c r="B81" s="25"/>
      <c r="C81" s="41">
        <v>4280</v>
      </c>
      <c r="D81" s="43" t="s">
        <v>20</v>
      </c>
      <c r="E81" s="44">
        <v>54677</v>
      </c>
      <c r="F81" s="44">
        <v>2000</v>
      </c>
      <c r="G81" s="44"/>
      <c r="H81" s="45">
        <f t="shared" si="19"/>
        <v>56677</v>
      </c>
    </row>
    <row r="82" spans="1:8" s="16" customFormat="1" ht="12" customHeight="1" x14ac:dyDescent="0.2">
      <c r="A82" s="55"/>
      <c r="B82" s="25"/>
      <c r="C82" s="25">
        <v>4300</v>
      </c>
      <c r="D82" s="43" t="s">
        <v>21</v>
      </c>
      <c r="E82" s="61">
        <v>839704</v>
      </c>
      <c r="F82" s="61"/>
      <c r="G82" s="61">
        <v>52</v>
      </c>
      <c r="H82" s="45">
        <f t="shared" si="19"/>
        <v>839652</v>
      </c>
    </row>
    <row r="83" spans="1:8" s="16" customFormat="1" ht="12" customHeight="1" x14ac:dyDescent="0.2">
      <c r="A83" s="55"/>
      <c r="B83" s="25"/>
      <c r="C83" s="41">
        <v>4360</v>
      </c>
      <c r="D83" s="43" t="s">
        <v>26</v>
      </c>
      <c r="E83" s="61">
        <v>54627</v>
      </c>
      <c r="F83" s="61"/>
      <c r="G83" s="61">
        <v>17</v>
      </c>
      <c r="H83" s="45">
        <f t="shared" si="19"/>
        <v>54610</v>
      </c>
    </row>
    <row r="84" spans="1:8" s="16" customFormat="1" ht="12" customHeight="1" x14ac:dyDescent="0.2">
      <c r="A84" s="55"/>
      <c r="B84" s="25"/>
      <c r="C84" s="41">
        <v>4430</v>
      </c>
      <c r="D84" s="43" t="s">
        <v>63</v>
      </c>
      <c r="E84" s="61">
        <v>8180</v>
      </c>
      <c r="F84" s="61">
        <v>52</v>
      </c>
      <c r="G84" s="61"/>
      <c r="H84" s="45">
        <f t="shared" si="19"/>
        <v>8232</v>
      </c>
    </row>
    <row r="85" spans="1:8" s="16" customFormat="1" ht="12" customHeight="1" x14ac:dyDescent="0.2">
      <c r="A85" s="55"/>
      <c r="B85" s="25"/>
      <c r="C85" s="41">
        <v>4510</v>
      </c>
      <c r="D85" s="43" t="s">
        <v>82</v>
      </c>
      <c r="E85" s="61">
        <v>0</v>
      </c>
      <c r="F85" s="61">
        <v>17</v>
      </c>
      <c r="G85" s="61"/>
      <c r="H85" s="45">
        <f t="shared" si="19"/>
        <v>17</v>
      </c>
    </row>
    <row r="86" spans="1:8" s="16" customFormat="1" ht="12" customHeight="1" x14ac:dyDescent="0.2">
      <c r="A86" s="55"/>
      <c r="B86" s="25"/>
      <c r="C86" s="41">
        <v>4710</v>
      </c>
      <c r="D86" s="47" t="s">
        <v>23</v>
      </c>
      <c r="E86" s="61">
        <v>190865.18</v>
      </c>
      <c r="F86" s="61"/>
      <c r="G86" s="61">
        <v>11228</v>
      </c>
      <c r="H86" s="45">
        <f t="shared" si="19"/>
        <v>179637.18</v>
      </c>
    </row>
    <row r="87" spans="1:8" s="16" customFormat="1" ht="23.25" customHeight="1" x14ac:dyDescent="0.2">
      <c r="A87" s="55"/>
      <c r="B87" s="25"/>
      <c r="C87" s="26"/>
      <c r="D87" s="156" t="s">
        <v>83</v>
      </c>
      <c r="E87" s="95">
        <v>568477.54</v>
      </c>
      <c r="F87" s="95">
        <f>SUM(F88:F89)</f>
        <v>557.41</v>
      </c>
      <c r="G87" s="95">
        <f>SUM(G88:G89)</f>
        <v>557.41</v>
      </c>
      <c r="H87" s="83">
        <f>SUM(E87+F87-G87)</f>
        <v>568477.54</v>
      </c>
    </row>
    <row r="88" spans="1:8" s="16" customFormat="1" ht="12" customHeight="1" x14ac:dyDescent="0.2">
      <c r="A88" s="55"/>
      <c r="B88" s="25"/>
      <c r="C88" s="46" t="s">
        <v>18</v>
      </c>
      <c r="D88" s="47" t="s">
        <v>19</v>
      </c>
      <c r="E88" s="44">
        <v>91725.39</v>
      </c>
      <c r="F88" s="44">
        <v>557.41</v>
      </c>
      <c r="G88" s="44"/>
      <c r="H88" s="45">
        <f t="shared" ref="H88:H89" si="20">SUM(E88+F88-G88)</f>
        <v>92282.8</v>
      </c>
    </row>
    <row r="89" spans="1:8" s="16" customFormat="1" ht="12" customHeight="1" x14ac:dyDescent="0.2">
      <c r="A89" s="71"/>
      <c r="B89" s="87"/>
      <c r="C89" s="88">
        <v>4240</v>
      </c>
      <c r="D89" s="63" t="s">
        <v>84</v>
      </c>
      <c r="E89" s="38">
        <v>476752.14999999997</v>
      </c>
      <c r="F89" s="38"/>
      <c r="G89" s="38">
        <v>557.41</v>
      </c>
      <c r="H89" s="40">
        <f t="shared" si="20"/>
        <v>476194.74</v>
      </c>
    </row>
    <row r="90" spans="1:8" s="16" customFormat="1" ht="12" customHeight="1" x14ac:dyDescent="0.2">
      <c r="A90" s="55"/>
      <c r="B90" s="25">
        <v>80102</v>
      </c>
      <c r="C90" s="26"/>
      <c r="D90" s="63" t="s">
        <v>85</v>
      </c>
      <c r="E90" s="39">
        <v>10389682</v>
      </c>
      <c r="F90" s="39">
        <f>SUM(F91)</f>
        <v>2000</v>
      </c>
      <c r="G90" s="39">
        <f>SUM(G91)</f>
        <v>2000</v>
      </c>
      <c r="H90" s="40">
        <f>SUM(E90+F90-G90)</f>
        <v>10389682</v>
      </c>
    </row>
    <row r="91" spans="1:8" s="16" customFormat="1" ht="12" customHeight="1" x14ac:dyDescent="0.2">
      <c r="A91" s="55"/>
      <c r="B91" s="25"/>
      <c r="C91" s="26"/>
      <c r="D91" s="154" t="s">
        <v>81</v>
      </c>
      <c r="E91" s="95">
        <v>10389682</v>
      </c>
      <c r="F91" s="95">
        <f>SUM(F92:F94)</f>
        <v>2000</v>
      </c>
      <c r="G91" s="95">
        <f>SUM(G92:G94)</f>
        <v>2000</v>
      </c>
      <c r="H91" s="83">
        <f>SUM(E91+F91-G91)</f>
        <v>10389682</v>
      </c>
    </row>
    <row r="92" spans="1:8" s="16" customFormat="1" ht="12" customHeight="1" x14ac:dyDescent="0.2">
      <c r="A92" s="55"/>
      <c r="B92" s="25"/>
      <c r="C92" s="35">
        <v>4210</v>
      </c>
      <c r="D92" s="47" t="s">
        <v>19</v>
      </c>
      <c r="E92" s="44">
        <v>31558</v>
      </c>
      <c r="F92" s="44">
        <v>2000</v>
      </c>
      <c r="G92" s="44"/>
      <c r="H92" s="45">
        <f t="shared" ref="H92:H94" si="21">SUM(E92+F92-G92)</f>
        <v>33558</v>
      </c>
    </row>
    <row r="93" spans="1:8" s="16" customFormat="1" ht="12" customHeight="1" x14ac:dyDescent="0.2">
      <c r="A93" s="55"/>
      <c r="B93" s="25"/>
      <c r="C93" s="41">
        <v>4220</v>
      </c>
      <c r="D93" s="43" t="s">
        <v>86</v>
      </c>
      <c r="E93" s="44">
        <v>2500</v>
      </c>
      <c r="F93" s="44"/>
      <c r="G93" s="44">
        <v>1000</v>
      </c>
      <c r="H93" s="45">
        <f t="shared" si="21"/>
        <v>1500</v>
      </c>
    </row>
    <row r="94" spans="1:8" s="16" customFormat="1" ht="12" customHeight="1" x14ac:dyDescent="0.2">
      <c r="A94" s="55"/>
      <c r="B94" s="25"/>
      <c r="C94" s="41">
        <v>4240</v>
      </c>
      <c r="D94" s="43" t="s">
        <v>84</v>
      </c>
      <c r="E94" s="44">
        <v>25591</v>
      </c>
      <c r="F94" s="44"/>
      <c r="G94" s="44">
        <v>1000</v>
      </c>
      <c r="H94" s="45">
        <f t="shared" si="21"/>
        <v>24591</v>
      </c>
    </row>
    <row r="95" spans="1:8" s="16" customFormat="1" ht="12" customHeight="1" x14ac:dyDescent="0.2">
      <c r="A95" s="55"/>
      <c r="B95" s="25">
        <v>80104</v>
      </c>
      <c r="C95" s="26"/>
      <c r="D95" s="63" t="s">
        <v>87</v>
      </c>
      <c r="E95" s="39">
        <v>37945069.460000001</v>
      </c>
      <c r="F95" s="39">
        <f>SUM(F96)</f>
        <v>3450</v>
      </c>
      <c r="G95" s="39">
        <f>SUM(G96)</f>
        <v>3450</v>
      </c>
      <c r="H95" s="40">
        <f>SUM(E95+F95-G95)</f>
        <v>37945069.460000001</v>
      </c>
    </row>
    <row r="96" spans="1:8" s="16" customFormat="1" ht="12" customHeight="1" x14ac:dyDescent="0.2">
      <c r="A96" s="55"/>
      <c r="B96" s="25"/>
      <c r="C96" s="26"/>
      <c r="D96" s="154" t="s">
        <v>81</v>
      </c>
      <c r="E96" s="95">
        <v>28274171</v>
      </c>
      <c r="F96" s="95">
        <f>SUM(F97:F99)</f>
        <v>3450</v>
      </c>
      <c r="G96" s="95">
        <f>SUM(G97:G99)</f>
        <v>3450</v>
      </c>
      <c r="H96" s="83">
        <f>SUM(E96+F96-G96)</f>
        <v>28274171</v>
      </c>
    </row>
    <row r="97" spans="1:8" s="16" customFormat="1" ht="12" customHeight="1" x14ac:dyDescent="0.2">
      <c r="A97" s="55"/>
      <c r="B97" s="25"/>
      <c r="C97" s="46" t="s">
        <v>18</v>
      </c>
      <c r="D97" s="47" t="s">
        <v>19</v>
      </c>
      <c r="E97" s="61">
        <v>695605</v>
      </c>
      <c r="F97" s="61"/>
      <c r="G97" s="61">
        <f>3000+450</f>
        <v>3450</v>
      </c>
      <c r="H97" s="45">
        <f t="shared" ref="H97:H99" si="22">SUM(E97+F97-G97)</f>
        <v>692155</v>
      </c>
    </row>
    <row r="98" spans="1:8" s="16" customFormat="1" ht="12" customHeight="1" x14ac:dyDescent="0.2">
      <c r="A98" s="55"/>
      <c r="B98" s="25"/>
      <c r="C98" s="41">
        <v>4280</v>
      </c>
      <c r="D98" s="43" t="s">
        <v>20</v>
      </c>
      <c r="E98" s="61">
        <v>27852</v>
      </c>
      <c r="F98" s="61">
        <v>450</v>
      </c>
      <c r="G98" s="61"/>
      <c r="H98" s="45">
        <f t="shared" si="22"/>
        <v>28302</v>
      </c>
    </row>
    <row r="99" spans="1:8" s="16" customFormat="1" ht="22.5" customHeight="1" x14ac:dyDescent="0.2">
      <c r="A99" s="55"/>
      <c r="B99" s="25"/>
      <c r="C99" s="48">
        <v>4700</v>
      </c>
      <c r="D99" s="49" t="s">
        <v>22</v>
      </c>
      <c r="E99" s="61">
        <v>21522</v>
      </c>
      <c r="F99" s="61">
        <v>3000</v>
      </c>
      <c r="G99" s="61"/>
      <c r="H99" s="45">
        <f t="shared" si="22"/>
        <v>24522</v>
      </c>
    </row>
    <row r="100" spans="1:8" s="16" customFormat="1" ht="12.75" customHeight="1" x14ac:dyDescent="0.2">
      <c r="A100" s="55"/>
      <c r="B100" s="25">
        <v>80105</v>
      </c>
      <c r="C100" s="26"/>
      <c r="D100" s="63" t="s">
        <v>88</v>
      </c>
      <c r="E100" s="39">
        <v>684052</v>
      </c>
      <c r="F100" s="39">
        <f>SUM(F101)</f>
        <v>1500</v>
      </c>
      <c r="G100" s="39">
        <f>SUM(G101)</f>
        <v>1500</v>
      </c>
      <c r="H100" s="40">
        <f>SUM(E100+F100-G100)</f>
        <v>684052</v>
      </c>
    </row>
    <row r="101" spans="1:8" s="16" customFormat="1" ht="12.75" customHeight="1" x14ac:dyDescent="0.2">
      <c r="A101" s="55"/>
      <c r="B101" s="41"/>
      <c r="C101" s="26"/>
      <c r="D101" s="154" t="s">
        <v>81</v>
      </c>
      <c r="E101" s="95">
        <v>684052</v>
      </c>
      <c r="F101" s="95">
        <f>SUM(F102:F104)</f>
        <v>1500</v>
      </c>
      <c r="G101" s="95">
        <f>SUM(G102:G104)</f>
        <v>1500</v>
      </c>
      <c r="H101" s="83">
        <f>SUM(E101+F101-G101)</f>
        <v>684052</v>
      </c>
    </row>
    <row r="102" spans="1:8" s="16" customFormat="1" ht="12.75" customHeight="1" x14ac:dyDescent="0.2">
      <c r="A102" s="55"/>
      <c r="B102" s="41"/>
      <c r="C102" s="41">
        <v>4270</v>
      </c>
      <c r="D102" s="43" t="s">
        <v>62</v>
      </c>
      <c r="E102" s="44">
        <v>630</v>
      </c>
      <c r="F102" s="44">
        <v>500</v>
      </c>
      <c r="G102" s="44"/>
      <c r="H102" s="45">
        <f t="shared" ref="H102:H104" si="23">SUM(E102+F102-G102)</f>
        <v>1130</v>
      </c>
    </row>
    <row r="103" spans="1:8" s="16" customFormat="1" ht="12.75" customHeight="1" x14ac:dyDescent="0.2">
      <c r="A103" s="55"/>
      <c r="B103" s="41"/>
      <c r="C103" s="25">
        <v>4300</v>
      </c>
      <c r="D103" s="43" t="s">
        <v>21</v>
      </c>
      <c r="E103" s="44">
        <v>3250</v>
      </c>
      <c r="F103" s="44">
        <v>1000</v>
      </c>
      <c r="G103" s="44"/>
      <c r="H103" s="45">
        <f t="shared" si="23"/>
        <v>4250</v>
      </c>
    </row>
    <row r="104" spans="1:8" s="16" customFormat="1" ht="12.75" customHeight="1" x14ac:dyDescent="0.2">
      <c r="A104" s="55"/>
      <c r="B104" s="41"/>
      <c r="C104" s="41">
        <v>4710</v>
      </c>
      <c r="D104" s="47" t="s">
        <v>23</v>
      </c>
      <c r="E104" s="44">
        <v>5361</v>
      </c>
      <c r="F104" s="44"/>
      <c r="G104" s="44">
        <v>1500</v>
      </c>
      <c r="H104" s="45">
        <f t="shared" si="23"/>
        <v>3861</v>
      </c>
    </row>
    <row r="105" spans="1:8" s="16" customFormat="1" ht="12" customHeight="1" x14ac:dyDescent="0.2">
      <c r="A105" s="55"/>
      <c r="B105" s="25">
        <v>80107</v>
      </c>
      <c r="C105" s="26"/>
      <c r="D105" s="37" t="s">
        <v>89</v>
      </c>
      <c r="E105" s="39">
        <v>5617698</v>
      </c>
      <c r="F105" s="39">
        <f>SUM(F106)</f>
        <v>0</v>
      </c>
      <c r="G105" s="39">
        <f>SUM(G106)</f>
        <v>19948</v>
      </c>
      <c r="H105" s="40">
        <f>SUM(E105+F105-G105)</f>
        <v>5597750</v>
      </c>
    </row>
    <row r="106" spans="1:8" s="16" customFormat="1" ht="12" customHeight="1" x14ac:dyDescent="0.2">
      <c r="A106" s="55"/>
      <c r="B106" s="41"/>
      <c r="C106" s="26"/>
      <c r="D106" s="154" t="s">
        <v>81</v>
      </c>
      <c r="E106" s="95">
        <v>5617698</v>
      </c>
      <c r="F106" s="95">
        <f>SUM(F107:F107)</f>
        <v>0</v>
      </c>
      <c r="G106" s="95">
        <f>SUM(G107:G107)</f>
        <v>19948</v>
      </c>
      <c r="H106" s="83">
        <f>SUM(E106+F106-G106)</f>
        <v>5597750</v>
      </c>
    </row>
    <row r="107" spans="1:8" s="16" customFormat="1" ht="12" customHeight="1" x14ac:dyDescent="0.2">
      <c r="A107" s="55"/>
      <c r="B107" s="41"/>
      <c r="C107" s="35">
        <v>4800</v>
      </c>
      <c r="D107" s="89" t="s">
        <v>90</v>
      </c>
      <c r="E107" s="44">
        <v>359903</v>
      </c>
      <c r="F107" s="44"/>
      <c r="G107" s="44">
        <v>19948</v>
      </c>
      <c r="H107" s="45">
        <f t="shared" ref="H107" si="24">SUM(E107+F107-G107)</f>
        <v>339955</v>
      </c>
    </row>
    <row r="108" spans="1:8" s="16" customFormat="1" ht="12" customHeight="1" x14ac:dyDescent="0.2">
      <c r="A108" s="55"/>
      <c r="B108" s="25">
        <v>80115</v>
      </c>
      <c r="C108" s="26"/>
      <c r="D108" s="63" t="s">
        <v>91</v>
      </c>
      <c r="E108" s="40">
        <v>41025925.149999999</v>
      </c>
      <c r="F108" s="39">
        <f>SUM(F109)</f>
        <v>14177.76</v>
      </c>
      <c r="G108" s="39">
        <f>SUM(G109)</f>
        <v>0</v>
      </c>
      <c r="H108" s="40">
        <f>SUM(E108+F108-G108)</f>
        <v>41040102.909999996</v>
      </c>
    </row>
    <row r="109" spans="1:8" s="16" customFormat="1" ht="12" customHeight="1" x14ac:dyDescent="0.2">
      <c r="A109" s="55"/>
      <c r="B109" s="25"/>
      <c r="C109" s="41"/>
      <c r="D109" s="152" t="s">
        <v>56</v>
      </c>
      <c r="E109" s="95">
        <v>900000</v>
      </c>
      <c r="F109" s="155">
        <f>SUM(F110:F111)</f>
        <v>14177.76</v>
      </c>
      <c r="G109" s="155">
        <f>SUM(G110:G111)</f>
        <v>0</v>
      </c>
      <c r="H109" s="83">
        <f t="shared" ref="H109:H111" si="25">SUM(E109+F109-G109)</f>
        <v>914177.76</v>
      </c>
    </row>
    <row r="110" spans="1:8" s="16" customFormat="1" ht="12" customHeight="1" x14ac:dyDescent="0.2">
      <c r="A110" s="55"/>
      <c r="B110" s="25"/>
      <c r="C110" s="41">
        <v>4580</v>
      </c>
      <c r="D110" s="43" t="s">
        <v>72</v>
      </c>
      <c r="E110" s="61">
        <v>0</v>
      </c>
      <c r="F110" s="44">
        <v>4500</v>
      </c>
      <c r="G110" s="44"/>
      <c r="H110" s="45">
        <f t="shared" si="25"/>
        <v>4500</v>
      </c>
    </row>
    <row r="111" spans="1:8" s="16" customFormat="1" ht="23.25" customHeight="1" x14ac:dyDescent="0.2">
      <c r="A111" s="55"/>
      <c r="B111" s="25"/>
      <c r="C111" s="48">
        <v>4600</v>
      </c>
      <c r="D111" s="66" t="s">
        <v>73</v>
      </c>
      <c r="E111" s="61">
        <v>0</v>
      </c>
      <c r="F111" s="44">
        <v>9677.76</v>
      </c>
      <c r="G111" s="44"/>
      <c r="H111" s="45">
        <f t="shared" si="25"/>
        <v>9677.76</v>
      </c>
    </row>
    <row r="112" spans="1:8" s="16" customFormat="1" ht="12" customHeight="1" x14ac:dyDescent="0.2">
      <c r="A112" s="55"/>
      <c r="B112" s="25">
        <v>80117</v>
      </c>
      <c r="C112" s="26"/>
      <c r="D112" s="63" t="s">
        <v>92</v>
      </c>
      <c r="E112" s="38">
        <v>8510525.2400000002</v>
      </c>
      <c r="F112" s="39">
        <f>SUM(F113)</f>
        <v>0</v>
      </c>
      <c r="G112" s="39">
        <f>SUM(G113)</f>
        <v>52</v>
      </c>
      <c r="H112" s="40">
        <f>SUM(E112+F112-G112)</f>
        <v>8510473.2400000002</v>
      </c>
    </row>
    <row r="113" spans="1:8" s="16" customFormat="1" ht="12" customHeight="1" x14ac:dyDescent="0.2">
      <c r="A113" s="55"/>
      <c r="B113" s="55"/>
      <c r="C113" s="26"/>
      <c r="D113" s="154" t="s">
        <v>81</v>
      </c>
      <c r="E113" s="95">
        <v>5853541.2400000002</v>
      </c>
      <c r="F113" s="95">
        <f>SUM(F114:F114)</f>
        <v>0</v>
      </c>
      <c r="G113" s="95">
        <f>SUM(G114:G114)</f>
        <v>52</v>
      </c>
      <c r="H113" s="95">
        <f t="shared" ref="H113:H114" si="26">SUM(E113+F113-G113)</f>
        <v>5853489.2400000002</v>
      </c>
    </row>
    <row r="114" spans="1:8" s="16" customFormat="1" ht="12" customHeight="1" x14ac:dyDescent="0.2">
      <c r="A114" s="55"/>
      <c r="B114" s="25"/>
      <c r="C114" s="41">
        <v>4710</v>
      </c>
      <c r="D114" s="47" t="s">
        <v>23</v>
      </c>
      <c r="E114" s="61">
        <v>35027.03</v>
      </c>
      <c r="F114" s="44"/>
      <c r="G114" s="44">
        <v>52</v>
      </c>
      <c r="H114" s="61">
        <f t="shared" si="26"/>
        <v>34975.03</v>
      </c>
    </row>
    <row r="115" spans="1:8" s="16" customFormat="1" ht="12" customHeight="1" x14ac:dyDescent="0.2">
      <c r="A115" s="55"/>
      <c r="B115" s="35">
        <v>80120</v>
      </c>
      <c r="C115" s="36"/>
      <c r="D115" s="37" t="s">
        <v>93</v>
      </c>
      <c r="E115" s="38">
        <v>28637753.709999997</v>
      </c>
      <c r="F115" s="39">
        <f>SUM(F116)</f>
        <v>50000</v>
      </c>
      <c r="G115" s="39">
        <f>SUM(G116)</f>
        <v>18000</v>
      </c>
      <c r="H115" s="40">
        <f>SUM(E115+F115-G115)</f>
        <v>28669753.709999997</v>
      </c>
    </row>
    <row r="116" spans="1:8" s="16" customFormat="1" ht="12" customHeight="1" x14ac:dyDescent="0.2">
      <c r="A116" s="55"/>
      <c r="B116" s="55"/>
      <c r="C116" s="26"/>
      <c r="D116" s="154" t="s">
        <v>81</v>
      </c>
      <c r="E116" s="95">
        <v>21459854.25</v>
      </c>
      <c r="F116" s="95">
        <f>SUM(F117:F119)</f>
        <v>50000</v>
      </c>
      <c r="G116" s="95">
        <f>SUM(G117:G119)</f>
        <v>18000</v>
      </c>
      <c r="H116" s="95">
        <f t="shared" ref="H116:H119" si="27">SUM(E116+F116-G116)</f>
        <v>21491854.25</v>
      </c>
    </row>
    <row r="117" spans="1:8" s="16" customFormat="1" ht="11.45" customHeight="1" x14ac:dyDescent="0.2">
      <c r="A117" s="55"/>
      <c r="B117" s="25"/>
      <c r="C117" s="41">
        <v>4260</v>
      </c>
      <c r="D117" s="43" t="s">
        <v>25</v>
      </c>
      <c r="E117" s="45">
        <v>1353017</v>
      </c>
      <c r="F117" s="62">
        <v>50000</v>
      </c>
      <c r="G117" s="62"/>
      <c r="H117" s="62">
        <f t="shared" si="27"/>
        <v>1403017</v>
      </c>
    </row>
    <row r="118" spans="1:8" s="16" customFormat="1" ht="11.45" customHeight="1" x14ac:dyDescent="0.2">
      <c r="A118" s="55"/>
      <c r="B118" s="25"/>
      <c r="C118" s="41">
        <v>4710</v>
      </c>
      <c r="D118" s="47" t="s">
        <v>23</v>
      </c>
      <c r="E118" s="45">
        <v>79779.960000000006</v>
      </c>
      <c r="F118" s="44"/>
      <c r="G118" s="44">
        <v>1180</v>
      </c>
      <c r="H118" s="61">
        <f t="shared" si="27"/>
        <v>78599.960000000006</v>
      </c>
    </row>
    <row r="119" spans="1:8" s="16" customFormat="1" ht="11.45" customHeight="1" x14ac:dyDescent="0.2">
      <c r="A119" s="55"/>
      <c r="B119" s="25"/>
      <c r="C119" s="35">
        <v>4800</v>
      </c>
      <c r="D119" s="89" t="s">
        <v>90</v>
      </c>
      <c r="E119" s="45">
        <v>1098632</v>
      </c>
      <c r="F119" s="44"/>
      <c r="G119" s="44">
        <v>16820</v>
      </c>
      <c r="H119" s="61">
        <f t="shared" si="27"/>
        <v>1081812</v>
      </c>
    </row>
    <row r="120" spans="1:8" s="16" customFormat="1" ht="11.45" customHeight="1" x14ac:dyDescent="0.2">
      <c r="A120" s="55"/>
      <c r="B120" s="25">
        <v>80134</v>
      </c>
      <c r="C120" s="26"/>
      <c r="D120" s="70" t="s">
        <v>94</v>
      </c>
      <c r="E120" s="38">
        <v>9270896</v>
      </c>
      <c r="F120" s="39">
        <f>SUM(F121)</f>
        <v>0</v>
      </c>
      <c r="G120" s="39">
        <f>SUM(G121)</f>
        <v>14177.76</v>
      </c>
      <c r="H120" s="40">
        <f>SUM(E120+F120-G120)</f>
        <v>9256718.2400000002</v>
      </c>
    </row>
    <row r="121" spans="1:8" s="16" customFormat="1" ht="11.45" customHeight="1" x14ac:dyDescent="0.2">
      <c r="A121" s="55"/>
      <c r="B121" s="55"/>
      <c r="C121" s="26"/>
      <c r="D121" s="152" t="s">
        <v>56</v>
      </c>
      <c r="E121" s="95">
        <v>300000</v>
      </c>
      <c r="F121" s="95">
        <f>SUM(F122:F122)</f>
        <v>0</v>
      </c>
      <c r="G121" s="95">
        <f>SUM(G122:G122)</f>
        <v>14177.76</v>
      </c>
      <c r="H121" s="95">
        <f t="shared" ref="H121:H122" si="28">SUM(E121+F121-G121)</f>
        <v>285822.24</v>
      </c>
    </row>
    <row r="122" spans="1:8" s="16" customFormat="1" ht="11.45" customHeight="1" x14ac:dyDescent="0.2">
      <c r="A122" s="55"/>
      <c r="B122" s="55"/>
      <c r="C122" s="41">
        <v>4270</v>
      </c>
      <c r="D122" s="43" t="s">
        <v>62</v>
      </c>
      <c r="E122" s="44">
        <v>300000</v>
      </c>
      <c r="F122" s="44"/>
      <c r="G122" s="44">
        <v>14177.76</v>
      </c>
      <c r="H122" s="62">
        <f t="shared" si="28"/>
        <v>285822.24</v>
      </c>
    </row>
    <row r="123" spans="1:8" s="16" customFormat="1" ht="12" customHeight="1" x14ac:dyDescent="0.2">
      <c r="A123" s="55"/>
      <c r="B123" s="41">
        <v>80140</v>
      </c>
      <c r="C123" s="46"/>
      <c r="D123" s="90" t="s">
        <v>95</v>
      </c>
      <c r="E123" s="45"/>
      <c r="F123" s="62"/>
      <c r="G123" s="62"/>
      <c r="H123" s="62"/>
    </row>
    <row r="124" spans="1:8" s="16" customFormat="1" ht="12" customHeight="1" x14ac:dyDescent="0.2">
      <c r="A124" s="55"/>
      <c r="B124" s="41"/>
      <c r="C124" s="26"/>
      <c r="D124" s="63" t="s">
        <v>96</v>
      </c>
      <c r="E124" s="40">
        <v>3119069</v>
      </c>
      <c r="F124" s="39">
        <f>SUM(F125)</f>
        <v>730</v>
      </c>
      <c r="G124" s="39">
        <f>SUM(G125)</f>
        <v>730</v>
      </c>
      <c r="H124" s="40">
        <f>SUM(E124+F124-G124)</f>
        <v>3119069</v>
      </c>
    </row>
    <row r="125" spans="1:8" s="16" customFormat="1" ht="12" customHeight="1" x14ac:dyDescent="0.2">
      <c r="A125" s="55"/>
      <c r="B125" s="25"/>
      <c r="C125" s="26"/>
      <c r="D125" s="154" t="s">
        <v>81</v>
      </c>
      <c r="E125" s="83">
        <v>3119069</v>
      </c>
      <c r="F125" s="155">
        <f>SUM(F126:F127)</f>
        <v>730</v>
      </c>
      <c r="G125" s="155">
        <f>SUM(G126:G127)</f>
        <v>730</v>
      </c>
      <c r="H125" s="95">
        <f t="shared" ref="H125:H127" si="29">SUM(E125+F125-G125)</f>
        <v>3119069</v>
      </c>
    </row>
    <row r="126" spans="1:8" s="16" customFormat="1" ht="12" customHeight="1" x14ac:dyDescent="0.2">
      <c r="A126" s="55"/>
      <c r="B126" s="25"/>
      <c r="C126" s="25">
        <v>4300</v>
      </c>
      <c r="D126" s="43" t="s">
        <v>21</v>
      </c>
      <c r="E126" s="45">
        <v>140700</v>
      </c>
      <c r="F126" s="61"/>
      <c r="G126" s="61">
        <v>730</v>
      </c>
      <c r="H126" s="62">
        <f t="shared" si="29"/>
        <v>139970</v>
      </c>
    </row>
    <row r="127" spans="1:8" s="16" customFormat="1" ht="12" customHeight="1" x14ac:dyDescent="0.2">
      <c r="A127" s="55"/>
      <c r="B127" s="25"/>
      <c r="C127" s="41">
        <v>4430</v>
      </c>
      <c r="D127" s="43" t="s">
        <v>63</v>
      </c>
      <c r="E127" s="45">
        <v>353</v>
      </c>
      <c r="F127" s="61">
        <v>730</v>
      </c>
      <c r="G127" s="61"/>
      <c r="H127" s="62">
        <f t="shared" si="29"/>
        <v>1083</v>
      </c>
    </row>
    <row r="128" spans="1:8" s="16" customFormat="1" ht="12" customHeight="1" x14ac:dyDescent="0.2">
      <c r="A128" s="55"/>
      <c r="B128" s="65">
        <v>80146</v>
      </c>
      <c r="C128" s="46"/>
      <c r="D128" s="63" t="s">
        <v>97</v>
      </c>
      <c r="E128" s="40">
        <v>1324592</v>
      </c>
      <c r="F128" s="39">
        <f>SUM(F129)</f>
        <v>3200</v>
      </c>
      <c r="G128" s="39">
        <f>SUM(G129)</f>
        <v>3200</v>
      </c>
      <c r="H128" s="40">
        <f>SUM(E128+F128-G128)</f>
        <v>1324592</v>
      </c>
    </row>
    <row r="129" spans="1:8" s="16" customFormat="1" ht="12" customHeight="1" x14ac:dyDescent="0.2">
      <c r="A129" s="55"/>
      <c r="B129" s="25"/>
      <c r="C129" s="26"/>
      <c r="D129" s="154" t="s">
        <v>81</v>
      </c>
      <c r="E129" s="83">
        <v>1091142</v>
      </c>
      <c r="F129" s="155">
        <f>SUM(F130:F131)</f>
        <v>3200</v>
      </c>
      <c r="G129" s="155">
        <f>SUM(G130:G131)</f>
        <v>3200</v>
      </c>
      <c r="H129" s="95">
        <f t="shared" ref="H129:H131" si="30">SUM(E129+F129-G129)</f>
        <v>1091142</v>
      </c>
    </row>
    <row r="130" spans="1:8" s="16" customFormat="1" ht="12" customHeight="1" x14ac:dyDescent="0.2">
      <c r="A130" s="55"/>
      <c r="B130" s="25"/>
      <c r="C130" s="41">
        <v>4300</v>
      </c>
      <c r="D130" s="43" t="s">
        <v>21</v>
      </c>
      <c r="E130" s="45">
        <v>217892</v>
      </c>
      <c r="F130" s="61"/>
      <c r="G130" s="61">
        <v>3200</v>
      </c>
      <c r="H130" s="62">
        <f t="shared" si="30"/>
        <v>214692</v>
      </c>
    </row>
    <row r="131" spans="1:8" s="16" customFormat="1" ht="12" customHeight="1" x14ac:dyDescent="0.2">
      <c r="A131" s="55"/>
      <c r="B131" s="25"/>
      <c r="C131" s="48">
        <v>4700</v>
      </c>
      <c r="D131" s="91" t="s">
        <v>22</v>
      </c>
      <c r="E131" s="45">
        <v>493121</v>
      </c>
      <c r="F131" s="61">
        <v>3200</v>
      </c>
      <c r="G131" s="61"/>
      <c r="H131" s="62">
        <f t="shared" si="30"/>
        <v>496321</v>
      </c>
    </row>
    <row r="132" spans="1:8" s="16" customFormat="1" ht="12" customHeight="1" x14ac:dyDescent="0.2">
      <c r="A132" s="55"/>
      <c r="B132" s="25">
        <v>80148</v>
      </c>
      <c r="C132" s="26"/>
      <c r="D132" s="63" t="s">
        <v>98</v>
      </c>
      <c r="E132" s="38">
        <v>3226147</v>
      </c>
      <c r="F132" s="39">
        <f>SUM(F133)</f>
        <v>2554</v>
      </c>
      <c r="G132" s="39">
        <f>SUM(G133)</f>
        <v>2554</v>
      </c>
      <c r="H132" s="40">
        <f>SUM(E132+F132-G132)</f>
        <v>3226147</v>
      </c>
    </row>
    <row r="133" spans="1:8" s="16" customFormat="1" ht="12" customHeight="1" x14ac:dyDescent="0.2">
      <c r="A133" s="55"/>
      <c r="B133" s="55"/>
      <c r="C133" s="26"/>
      <c r="D133" s="154" t="s">
        <v>81</v>
      </c>
      <c r="E133" s="95">
        <v>3226147</v>
      </c>
      <c r="F133" s="95">
        <f>SUM(F134:F137)</f>
        <v>2554</v>
      </c>
      <c r="G133" s="95">
        <f>SUM(G134:G137)</f>
        <v>2554</v>
      </c>
      <c r="H133" s="95">
        <f t="shared" ref="H133:H137" si="31">SUM(E133+F133-G133)</f>
        <v>3226147</v>
      </c>
    </row>
    <row r="134" spans="1:8" s="16" customFormat="1" ht="12" customHeight="1" x14ac:dyDescent="0.2">
      <c r="A134" s="55"/>
      <c r="B134" s="25"/>
      <c r="C134" s="46" t="s">
        <v>18</v>
      </c>
      <c r="D134" s="47" t="s">
        <v>19</v>
      </c>
      <c r="E134" s="45">
        <v>58441</v>
      </c>
      <c r="F134" s="61"/>
      <c r="G134" s="61">
        <v>554</v>
      </c>
      <c r="H134" s="62">
        <f t="shared" si="31"/>
        <v>57887</v>
      </c>
    </row>
    <row r="135" spans="1:8" s="16" customFormat="1" ht="12" customHeight="1" x14ac:dyDescent="0.2">
      <c r="A135" s="55"/>
      <c r="B135" s="25"/>
      <c r="C135" s="41">
        <v>4260</v>
      </c>
      <c r="D135" s="43" t="s">
        <v>25</v>
      </c>
      <c r="E135" s="45">
        <v>86469</v>
      </c>
      <c r="F135" s="61">
        <v>1000</v>
      </c>
      <c r="G135" s="61"/>
      <c r="H135" s="62">
        <f t="shared" si="31"/>
        <v>87469</v>
      </c>
    </row>
    <row r="136" spans="1:8" s="16" customFormat="1" ht="12" customHeight="1" x14ac:dyDescent="0.2">
      <c r="A136" s="55"/>
      <c r="B136" s="25"/>
      <c r="C136" s="25">
        <v>4300</v>
      </c>
      <c r="D136" s="43" t="s">
        <v>21</v>
      </c>
      <c r="E136" s="45">
        <v>26260</v>
      </c>
      <c r="F136" s="61">
        <v>1554</v>
      </c>
      <c r="G136" s="61"/>
      <c r="H136" s="62">
        <f t="shared" si="31"/>
        <v>27814</v>
      </c>
    </row>
    <row r="137" spans="1:8" s="16" customFormat="1" ht="12" customHeight="1" x14ac:dyDescent="0.2">
      <c r="A137" s="55"/>
      <c r="B137" s="25"/>
      <c r="C137" s="41">
        <v>4710</v>
      </c>
      <c r="D137" s="47" t="s">
        <v>23</v>
      </c>
      <c r="E137" s="45">
        <v>22352</v>
      </c>
      <c r="F137" s="61"/>
      <c r="G137" s="61">
        <v>2000</v>
      </c>
      <c r="H137" s="62">
        <f t="shared" si="31"/>
        <v>20352</v>
      </c>
    </row>
    <row r="138" spans="1:8" s="16" customFormat="1" ht="12" customHeight="1" x14ac:dyDescent="0.2">
      <c r="A138" s="55"/>
      <c r="B138" s="25">
        <v>80149</v>
      </c>
      <c r="C138" s="46"/>
      <c r="D138" s="47" t="s">
        <v>99</v>
      </c>
      <c r="E138" s="62"/>
      <c r="F138" s="62"/>
      <c r="G138" s="62"/>
      <c r="H138" s="62"/>
    </row>
    <row r="139" spans="1:8" s="16" customFormat="1" ht="12" customHeight="1" x14ac:dyDescent="0.2">
      <c r="A139" s="55"/>
      <c r="B139" s="25"/>
      <c r="C139" s="46"/>
      <c r="D139" s="47" t="s">
        <v>100</v>
      </c>
      <c r="E139" s="62"/>
      <c r="F139" s="62"/>
      <c r="G139" s="62"/>
      <c r="H139" s="62"/>
    </row>
    <row r="140" spans="1:8" s="16" customFormat="1" ht="12" customHeight="1" x14ac:dyDescent="0.2">
      <c r="A140" s="55"/>
      <c r="B140" s="25"/>
      <c r="C140" s="46"/>
      <c r="D140" s="47" t="s">
        <v>101</v>
      </c>
      <c r="E140" s="62"/>
      <c r="F140" s="62"/>
      <c r="G140" s="62"/>
      <c r="H140" s="62"/>
    </row>
    <row r="141" spans="1:8" s="16" customFormat="1" ht="12" customHeight="1" x14ac:dyDescent="0.2">
      <c r="A141" s="55"/>
      <c r="B141" s="25"/>
      <c r="C141" s="26"/>
      <c r="D141" s="63" t="s">
        <v>102</v>
      </c>
      <c r="E141" s="40">
        <v>4719148</v>
      </c>
      <c r="F141" s="39">
        <f>SUM(F142)</f>
        <v>0</v>
      </c>
      <c r="G141" s="39">
        <f>SUM(G142)</f>
        <v>12000</v>
      </c>
      <c r="H141" s="40">
        <f>SUM(E141+F141-G141)</f>
        <v>4707148</v>
      </c>
    </row>
    <row r="142" spans="1:8" s="16" customFormat="1" ht="12" customHeight="1" x14ac:dyDescent="0.2">
      <c r="A142" s="55"/>
      <c r="B142" s="55"/>
      <c r="C142" s="26"/>
      <c r="D142" s="154" t="s">
        <v>81</v>
      </c>
      <c r="E142" s="95">
        <v>2012068</v>
      </c>
      <c r="F142" s="95">
        <f>SUM(F143:F143)</f>
        <v>0</v>
      </c>
      <c r="G142" s="95">
        <f>SUM(G143:G143)</f>
        <v>12000</v>
      </c>
      <c r="H142" s="95">
        <f t="shared" ref="H142:H143" si="32">SUM(E142+F142-G142)</f>
        <v>2000068</v>
      </c>
    </row>
    <row r="143" spans="1:8" s="16" customFormat="1" ht="11.45" customHeight="1" x14ac:dyDescent="0.2">
      <c r="A143" s="55"/>
      <c r="B143" s="55"/>
      <c r="C143" s="35">
        <v>4800</v>
      </c>
      <c r="D143" s="89" t="s">
        <v>90</v>
      </c>
      <c r="E143" s="45">
        <v>127781</v>
      </c>
      <c r="F143" s="62"/>
      <c r="G143" s="62">
        <v>12000</v>
      </c>
      <c r="H143" s="62">
        <f t="shared" si="32"/>
        <v>115781</v>
      </c>
    </row>
    <row r="144" spans="1:8" s="16" customFormat="1" ht="12" customHeight="1" x14ac:dyDescent="0.2">
      <c r="A144" s="55"/>
      <c r="B144" s="25">
        <v>80195</v>
      </c>
      <c r="C144" s="26"/>
      <c r="D144" s="63" t="s">
        <v>41</v>
      </c>
      <c r="E144" s="40">
        <v>27424895.769999992</v>
      </c>
      <c r="F144" s="39">
        <f>SUM(F146,F155,F160)</f>
        <v>7738.0300000000007</v>
      </c>
      <c r="G144" s="39">
        <f>SUM(G146,G155,G160)</f>
        <v>7738.0300000000007</v>
      </c>
      <c r="H144" s="40">
        <f>SUM(E144+F144-G144)</f>
        <v>27424895.769999992</v>
      </c>
    </row>
    <row r="145" spans="1:8" s="16" customFormat="1" ht="12" customHeight="1" x14ac:dyDescent="0.2">
      <c r="A145" s="55"/>
      <c r="B145" s="25"/>
      <c r="C145" s="26"/>
      <c r="D145" s="157" t="s">
        <v>103</v>
      </c>
      <c r="E145" s="45"/>
      <c r="F145" s="62"/>
      <c r="G145" s="62"/>
      <c r="H145" s="45"/>
    </row>
    <row r="146" spans="1:8" s="16" customFormat="1" ht="12" customHeight="1" x14ac:dyDescent="0.2">
      <c r="A146" s="55"/>
      <c r="B146" s="25"/>
      <c r="C146" s="46"/>
      <c r="D146" s="150" t="s">
        <v>104</v>
      </c>
      <c r="E146" s="83">
        <v>248915</v>
      </c>
      <c r="F146" s="151">
        <f>SUM(F147:F154)</f>
        <v>2208.5300000000002</v>
      </c>
      <c r="G146" s="151">
        <f>SUM(G147:G154)</f>
        <v>2208.5300000000002</v>
      </c>
      <c r="H146" s="95">
        <f t="shared" ref="H146:H175" si="33">SUM(E146+F146-G146)</f>
        <v>248915</v>
      </c>
    </row>
    <row r="147" spans="1:8" s="16" customFormat="1" ht="12" customHeight="1" x14ac:dyDescent="0.2">
      <c r="A147" s="55"/>
      <c r="B147" s="25"/>
      <c r="C147" s="35">
        <v>4117</v>
      </c>
      <c r="D147" s="65" t="s">
        <v>105</v>
      </c>
      <c r="E147" s="44">
        <v>14331.599999999999</v>
      </c>
      <c r="F147" s="61"/>
      <c r="G147" s="61">
        <f>192.3+359.79</f>
        <v>552.09</v>
      </c>
      <c r="H147" s="62">
        <f t="shared" si="33"/>
        <v>13779.509999999998</v>
      </c>
    </row>
    <row r="148" spans="1:8" s="16" customFormat="1" ht="12" customHeight="1" x14ac:dyDescent="0.2">
      <c r="A148" s="71"/>
      <c r="B148" s="87"/>
      <c r="C148" s="92">
        <v>4127</v>
      </c>
      <c r="D148" s="37" t="s">
        <v>106</v>
      </c>
      <c r="E148" s="38">
        <v>1968.4399999999998</v>
      </c>
      <c r="F148" s="75"/>
      <c r="G148" s="75">
        <f>61.99+133.52</f>
        <v>195.51000000000002</v>
      </c>
      <c r="H148" s="39">
        <f t="shared" si="33"/>
        <v>1772.9299999999998</v>
      </c>
    </row>
    <row r="149" spans="1:8" s="16" customFormat="1" ht="12" customHeight="1" x14ac:dyDescent="0.2">
      <c r="A149" s="55"/>
      <c r="B149" s="25"/>
      <c r="C149" s="41">
        <v>4177</v>
      </c>
      <c r="D149" s="43" t="s">
        <v>17</v>
      </c>
      <c r="E149" s="44">
        <v>77043.749999999985</v>
      </c>
      <c r="F149" s="61"/>
      <c r="G149" s="61">
        <f>0.24+0.24</f>
        <v>0.48</v>
      </c>
      <c r="H149" s="62">
        <f t="shared" si="33"/>
        <v>77043.26999999999</v>
      </c>
    </row>
    <row r="150" spans="1:8" s="16" customFormat="1" ht="12" customHeight="1" x14ac:dyDescent="0.2">
      <c r="A150" s="55"/>
      <c r="B150" s="25"/>
      <c r="C150" s="35">
        <v>4217</v>
      </c>
      <c r="D150" s="65" t="s">
        <v>107</v>
      </c>
      <c r="E150" s="44">
        <v>58141.33</v>
      </c>
      <c r="F150" s="61">
        <f>868.13+1340.4</f>
        <v>2208.5300000000002</v>
      </c>
      <c r="G150" s="61"/>
      <c r="H150" s="62">
        <f t="shared" si="33"/>
        <v>60349.86</v>
      </c>
    </row>
    <row r="151" spans="1:8" s="16" customFormat="1" ht="12" customHeight="1" x14ac:dyDescent="0.2">
      <c r="A151" s="55"/>
      <c r="B151" s="25"/>
      <c r="C151" s="41">
        <v>4227</v>
      </c>
      <c r="D151" s="43" t="s">
        <v>86</v>
      </c>
      <c r="E151" s="44">
        <v>2624.15</v>
      </c>
      <c r="F151" s="61"/>
      <c r="G151" s="61">
        <v>208.65</v>
      </c>
      <c r="H151" s="62">
        <f t="shared" si="33"/>
        <v>2415.5</v>
      </c>
    </row>
    <row r="152" spans="1:8" s="16" customFormat="1" ht="12" customHeight="1" x14ac:dyDescent="0.2">
      <c r="A152" s="55"/>
      <c r="B152" s="25"/>
      <c r="C152" s="41">
        <v>4247</v>
      </c>
      <c r="D152" s="43" t="s">
        <v>84</v>
      </c>
      <c r="E152" s="44">
        <v>50533.14</v>
      </c>
      <c r="F152" s="61"/>
      <c r="G152" s="61">
        <v>0.96</v>
      </c>
      <c r="H152" s="62">
        <f t="shared" si="33"/>
        <v>50532.18</v>
      </c>
    </row>
    <row r="153" spans="1:8" s="16" customFormat="1" ht="12" customHeight="1" x14ac:dyDescent="0.2">
      <c r="A153" s="55"/>
      <c r="B153" s="25"/>
      <c r="C153" s="35">
        <v>4307</v>
      </c>
      <c r="D153" s="65" t="s">
        <v>21</v>
      </c>
      <c r="E153" s="44">
        <v>3068.2999999999993</v>
      </c>
      <c r="F153" s="61"/>
      <c r="G153" s="61">
        <v>27</v>
      </c>
      <c r="H153" s="62">
        <f t="shared" si="33"/>
        <v>3041.2999999999993</v>
      </c>
    </row>
    <row r="154" spans="1:8" s="16" customFormat="1" ht="12" customHeight="1" x14ac:dyDescent="0.2">
      <c r="A154" s="55"/>
      <c r="B154" s="25"/>
      <c r="C154" s="35">
        <v>4797</v>
      </c>
      <c r="D154" s="89" t="s">
        <v>108</v>
      </c>
      <c r="E154" s="44">
        <v>40787</v>
      </c>
      <c r="F154" s="61"/>
      <c r="G154" s="61">
        <f>376.99+846.85</f>
        <v>1223.8400000000001</v>
      </c>
      <c r="H154" s="62">
        <f t="shared" si="33"/>
        <v>39563.160000000003</v>
      </c>
    </row>
    <row r="155" spans="1:8" s="16" customFormat="1" ht="22.5" customHeight="1" x14ac:dyDescent="0.2">
      <c r="A155" s="55"/>
      <c r="B155" s="25"/>
      <c r="C155" s="46"/>
      <c r="D155" s="158" t="s">
        <v>109</v>
      </c>
      <c r="E155" s="83">
        <v>515972.00000000012</v>
      </c>
      <c r="F155" s="151">
        <f>SUM(F156:F159)</f>
        <v>4627.5</v>
      </c>
      <c r="G155" s="151">
        <f>SUM(G156:G159)</f>
        <v>4627.5</v>
      </c>
      <c r="H155" s="95">
        <f t="shared" si="33"/>
        <v>515972.00000000012</v>
      </c>
    </row>
    <row r="156" spans="1:8" s="16" customFormat="1" ht="11.45" customHeight="1" x14ac:dyDescent="0.2">
      <c r="A156" s="55"/>
      <c r="B156" s="25"/>
      <c r="C156" s="46" t="s">
        <v>18</v>
      </c>
      <c r="D156" s="47" t="s">
        <v>19</v>
      </c>
      <c r="E156" s="44">
        <v>0</v>
      </c>
      <c r="F156" s="61">
        <v>4547.5</v>
      </c>
      <c r="G156" s="61"/>
      <c r="H156" s="61">
        <f t="shared" si="33"/>
        <v>4547.5</v>
      </c>
    </row>
    <row r="157" spans="1:8" s="16" customFormat="1" ht="11.45" customHeight="1" x14ac:dyDescent="0.2">
      <c r="A157" s="55"/>
      <c r="B157" s="25"/>
      <c r="C157" s="35">
        <v>4300</v>
      </c>
      <c r="D157" s="65" t="s">
        <v>21</v>
      </c>
      <c r="E157" s="44">
        <v>4960</v>
      </c>
      <c r="F157" s="61"/>
      <c r="G157" s="61">
        <v>4547.5</v>
      </c>
      <c r="H157" s="61">
        <f t="shared" si="33"/>
        <v>412.5</v>
      </c>
    </row>
    <row r="158" spans="1:8" s="16" customFormat="1" ht="11.45" customHeight="1" x14ac:dyDescent="0.2">
      <c r="A158" s="55"/>
      <c r="B158" s="25"/>
      <c r="C158" s="41">
        <v>4710</v>
      </c>
      <c r="D158" s="47" t="s">
        <v>23</v>
      </c>
      <c r="E158" s="44">
        <v>847.68</v>
      </c>
      <c r="F158" s="61">
        <v>80</v>
      </c>
      <c r="G158" s="61"/>
      <c r="H158" s="61">
        <f t="shared" si="33"/>
        <v>927.68</v>
      </c>
    </row>
    <row r="159" spans="1:8" s="16" customFormat="1" ht="11.45" customHeight="1" x14ac:dyDescent="0.2">
      <c r="A159" s="55"/>
      <c r="B159" s="25"/>
      <c r="C159" s="35">
        <v>4790</v>
      </c>
      <c r="D159" s="89" t="s">
        <v>108</v>
      </c>
      <c r="E159" s="44">
        <v>378009.89</v>
      </c>
      <c r="F159" s="61"/>
      <c r="G159" s="61">
        <v>80</v>
      </c>
      <c r="H159" s="61">
        <f t="shared" si="33"/>
        <v>377929.89</v>
      </c>
    </row>
    <row r="160" spans="1:8" s="16" customFormat="1" ht="32.25" customHeight="1" x14ac:dyDescent="0.2">
      <c r="A160" s="55"/>
      <c r="B160" s="25"/>
      <c r="C160" s="46"/>
      <c r="D160" s="159" t="s">
        <v>110</v>
      </c>
      <c r="E160" s="83">
        <v>41250</v>
      </c>
      <c r="F160" s="151">
        <f>SUM(F161:F168)</f>
        <v>902</v>
      </c>
      <c r="G160" s="151">
        <f>SUM(G161:G168)</f>
        <v>902</v>
      </c>
      <c r="H160" s="95">
        <f t="shared" si="33"/>
        <v>41250</v>
      </c>
    </row>
    <row r="161" spans="1:8" s="16" customFormat="1" ht="11.45" customHeight="1" x14ac:dyDescent="0.2">
      <c r="A161" s="55"/>
      <c r="B161" s="25"/>
      <c r="C161" s="35">
        <v>4117</v>
      </c>
      <c r="D161" s="65" t="s">
        <v>105</v>
      </c>
      <c r="E161" s="44">
        <v>4843</v>
      </c>
      <c r="F161" s="61">
        <v>107</v>
      </c>
      <c r="G161" s="61"/>
      <c r="H161" s="62">
        <f t="shared" si="33"/>
        <v>4950</v>
      </c>
    </row>
    <row r="162" spans="1:8" s="16" customFormat="1" ht="11.45" customHeight="1" x14ac:dyDescent="0.2">
      <c r="A162" s="55"/>
      <c r="B162" s="25"/>
      <c r="C162" s="35">
        <v>4119</v>
      </c>
      <c r="D162" s="65" t="s">
        <v>105</v>
      </c>
      <c r="E162" s="44">
        <v>573</v>
      </c>
      <c r="F162" s="61">
        <v>15</v>
      </c>
      <c r="G162" s="61"/>
      <c r="H162" s="62">
        <f t="shared" si="33"/>
        <v>588</v>
      </c>
    </row>
    <row r="163" spans="1:8" s="16" customFormat="1" ht="11.45" customHeight="1" x14ac:dyDescent="0.2">
      <c r="A163" s="55"/>
      <c r="B163" s="25"/>
      <c r="C163" s="41">
        <v>4417</v>
      </c>
      <c r="D163" s="47" t="s">
        <v>27</v>
      </c>
      <c r="E163" s="44">
        <v>2825</v>
      </c>
      <c r="F163" s="61"/>
      <c r="G163" s="61">
        <v>502</v>
      </c>
      <c r="H163" s="62">
        <f t="shared" si="33"/>
        <v>2323</v>
      </c>
    </row>
    <row r="164" spans="1:8" s="16" customFormat="1" ht="11.45" customHeight="1" x14ac:dyDescent="0.2">
      <c r="A164" s="55"/>
      <c r="B164" s="25"/>
      <c r="C164" s="41">
        <v>4419</v>
      </c>
      <c r="D164" s="47" t="s">
        <v>27</v>
      </c>
      <c r="E164" s="44">
        <v>335</v>
      </c>
      <c r="F164" s="61"/>
      <c r="G164" s="61">
        <v>65</v>
      </c>
      <c r="H164" s="62">
        <f t="shared" si="33"/>
        <v>270</v>
      </c>
    </row>
    <row r="165" spans="1:8" s="16" customFormat="1" ht="11.45" customHeight="1" x14ac:dyDescent="0.2">
      <c r="A165" s="55"/>
      <c r="B165" s="25"/>
      <c r="C165" s="41">
        <v>4717</v>
      </c>
      <c r="D165" s="47" t="s">
        <v>23</v>
      </c>
      <c r="E165" s="44">
        <v>358</v>
      </c>
      <c r="F165" s="61"/>
      <c r="G165" s="61">
        <v>300</v>
      </c>
      <c r="H165" s="62">
        <f t="shared" si="33"/>
        <v>58</v>
      </c>
    </row>
    <row r="166" spans="1:8" s="16" customFormat="1" ht="11.45" customHeight="1" x14ac:dyDescent="0.2">
      <c r="A166" s="55"/>
      <c r="B166" s="25"/>
      <c r="C166" s="41">
        <v>4719</v>
      </c>
      <c r="D166" s="47" t="s">
        <v>23</v>
      </c>
      <c r="E166" s="44">
        <v>42</v>
      </c>
      <c r="F166" s="61"/>
      <c r="G166" s="61">
        <v>35</v>
      </c>
      <c r="H166" s="62">
        <f t="shared" si="33"/>
        <v>7</v>
      </c>
    </row>
    <row r="167" spans="1:8" s="16" customFormat="1" ht="11.45" customHeight="1" x14ac:dyDescent="0.2">
      <c r="A167" s="55"/>
      <c r="B167" s="25"/>
      <c r="C167" s="35">
        <v>4797</v>
      </c>
      <c r="D167" s="89" t="s">
        <v>108</v>
      </c>
      <c r="E167" s="44">
        <v>28174</v>
      </c>
      <c r="F167" s="61">
        <v>695</v>
      </c>
      <c r="G167" s="61"/>
      <c r="H167" s="62">
        <f t="shared" si="33"/>
        <v>28869</v>
      </c>
    </row>
    <row r="168" spans="1:8" s="16" customFormat="1" ht="11.45" customHeight="1" x14ac:dyDescent="0.2">
      <c r="A168" s="55"/>
      <c r="B168" s="25"/>
      <c r="C168" s="35">
        <v>4799</v>
      </c>
      <c r="D168" s="89" t="s">
        <v>108</v>
      </c>
      <c r="E168" s="44">
        <v>3327</v>
      </c>
      <c r="F168" s="61">
        <v>85</v>
      </c>
      <c r="G168" s="61"/>
      <c r="H168" s="62">
        <f t="shared" si="33"/>
        <v>3412</v>
      </c>
    </row>
    <row r="169" spans="1:8" s="16" customFormat="1" ht="12" customHeight="1" thickBot="1" x14ac:dyDescent="0.25">
      <c r="A169" s="31" t="s">
        <v>111</v>
      </c>
      <c r="B169" s="55"/>
      <c r="C169" s="31"/>
      <c r="D169" s="33" t="s">
        <v>31</v>
      </c>
      <c r="E169" s="30">
        <v>65951804.07</v>
      </c>
      <c r="F169" s="34">
        <f>SUM(F170,F182)</f>
        <v>48711</v>
      </c>
      <c r="G169" s="34">
        <f>SUM(G170,G182)</f>
        <v>148711</v>
      </c>
      <c r="H169" s="30">
        <f t="shared" si="33"/>
        <v>65851804.07</v>
      </c>
    </row>
    <row r="170" spans="1:8" s="16" customFormat="1" ht="12" customHeight="1" thickTop="1" x14ac:dyDescent="0.2">
      <c r="A170" s="31"/>
      <c r="B170" s="25">
        <v>85202</v>
      </c>
      <c r="C170" s="26"/>
      <c r="D170" s="70" t="s">
        <v>112</v>
      </c>
      <c r="E170" s="38">
        <v>15552678.26</v>
      </c>
      <c r="F170" s="39">
        <f>SUM(F171,F178)</f>
        <v>48711</v>
      </c>
      <c r="G170" s="39">
        <f>SUM(G171,G178)</f>
        <v>48711</v>
      </c>
      <c r="H170" s="40">
        <f t="shared" si="33"/>
        <v>15552678.26</v>
      </c>
    </row>
    <row r="171" spans="1:8" s="16" customFormat="1" ht="12" customHeight="1" x14ac:dyDescent="0.2">
      <c r="A171" s="31"/>
      <c r="B171" s="25"/>
      <c r="C171" s="26"/>
      <c r="D171" s="154" t="s">
        <v>113</v>
      </c>
      <c r="E171" s="83">
        <v>3266564</v>
      </c>
      <c r="F171" s="155">
        <f>SUM(F172:F175)</f>
        <v>48710</v>
      </c>
      <c r="G171" s="155">
        <f>SUM(G172:G175)</f>
        <v>48710</v>
      </c>
      <c r="H171" s="95">
        <f t="shared" si="33"/>
        <v>3266564</v>
      </c>
    </row>
    <row r="172" spans="1:8" s="16" customFormat="1" ht="12" customHeight="1" x14ac:dyDescent="0.2">
      <c r="A172" s="31"/>
      <c r="B172" s="25"/>
      <c r="C172" s="46" t="s">
        <v>18</v>
      </c>
      <c r="D172" s="47" t="s">
        <v>19</v>
      </c>
      <c r="E172" s="61">
        <v>108710</v>
      </c>
      <c r="F172" s="44"/>
      <c r="G172" s="44">
        <v>8710</v>
      </c>
      <c r="H172" s="62">
        <f t="shared" si="33"/>
        <v>100000</v>
      </c>
    </row>
    <row r="173" spans="1:8" s="16" customFormat="1" ht="12" customHeight="1" x14ac:dyDescent="0.2">
      <c r="A173" s="31"/>
      <c r="B173" s="25"/>
      <c r="C173" s="41">
        <v>4220</v>
      </c>
      <c r="D173" s="43" t="s">
        <v>86</v>
      </c>
      <c r="E173" s="61">
        <v>210000</v>
      </c>
      <c r="F173" s="44">
        <v>8710</v>
      </c>
      <c r="G173" s="44"/>
      <c r="H173" s="62">
        <f t="shared" si="33"/>
        <v>218710</v>
      </c>
    </row>
    <row r="174" spans="1:8" s="16" customFormat="1" ht="12" customHeight="1" x14ac:dyDescent="0.2">
      <c r="A174" s="31"/>
      <c r="B174" s="25"/>
      <c r="C174" s="41">
        <v>4260</v>
      </c>
      <c r="D174" s="43" t="s">
        <v>25</v>
      </c>
      <c r="E174" s="61">
        <v>196883</v>
      </c>
      <c r="F174" s="44">
        <v>40000</v>
      </c>
      <c r="G174" s="44"/>
      <c r="H174" s="62">
        <f t="shared" si="33"/>
        <v>236883</v>
      </c>
    </row>
    <row r="175" spans="1:8" s="16" customFormat="1" ht="12" customHeight="1" x14ac:dyDescent="0.2">
      <c r="A175" s="31"/>
      <c r="B175" s="25"/>
      <c r="C175" s="41">
        <v>4270</v>
      </c>
      <c r="D175" s="43" t="s">
        <v>62</v>
      </c>
      <c r="E175" s="61">
        <v>105211</v>
      </c>
      <c r="F175" s="44"/>
      <c r="G175" s="44">
        <v>40000</v>
      </c>
      <c r="H175" s="62">
        <f t="shared" si="33"/>
        <v>65211</v>
      </c>
    </row>
    <row r="176" spans="1:8" s="16" customFormat="1" ht="12" customHeight="1" x14ac:dyDescent="0.2">
      <c r="A176" s="31"/>
      <c r="B176" s="25"/>
      <c r="C176" s="26"/>
      <c r="D176" s="90" t="s">
        <v>114</v>
      </c>
      <c r="E176" s="44"/>
      <c r="F176" s="62"/>
      <c r="G176" s="62"/>
      <c r="H176" s="45"/>
    </row>
    <row r="177" spans="1:8" s="16" customFormat="1" ht="12" customHeight="1" x14ac:dyDescent="0.2">
      <c r="A177" s="31"/>
      <c r="B177" s="25"/>
      <c r="C177" s="26"/>
      <c r="D177" s="90" t="s">
        <v>237</v>
      </c>
      <c r="E177" s="44"/>
      <c r="F177" s="62"/>
      <c r="G177" s="62"/>
      <c r="H177" s="45"/>
    </row>
    <row r="178" spans="1:8" s="16" customFormat="1" ht="12" customHeight="1" x14ac:dyDescent="0.2">
      <c r="A178" s="31"/>
      <c r="B178" s="25"/>
      <c r="C178" s="26"/>
      <c r="D178" s="160" t="s">
        <v>115</v>
      </c>
      <c r="E178" s="83">
        <v>17338</v>
      </c>
      <c r="F178" s="155">
        <f>SUM(F179:F180)</f>
        <v>1</v>
      </c>
      <c r="G178" s="155">
        <f>SUM(G179:G180)</f>
        <v>1</v>
      </c>
      <c r="H178" s="95">
        <f t="shared" ref="H178:H180" si="34">SUM(E178+F178-G178)</f>
        <v>17338</v>
      </c>
    </row>
    <row r="179" spans="1:8" s="16" customFormat="1" ht="12" customHeight="1" x14ac:dyDescent="0.2">
      <c r="A179" s="31"/>
      <c r="B179" s="25"/>
      <c r="C179" s="41">
        <v>4120</v>
      </c>
      <c r="D179" s="43" t="s">
        <v>16</v>
      </c>
      <c r="E179" s="61">
        <v>236</v>
      </c>
      <c r="F179" s="44"/>
      <c r="G179" s="44">
        <v>1</v>
      </c>
      <c r="H179" s="62">
        <f t="shared" si="34"/>
        <v>235</v>
      </c>
    </row>
    <row r="180" spans="1:8" s="16" customFormat="1" ht="12" customHeight="1" x14ac:dyDescent="0.2">
      <c r="A180" s="31"/>
      <c r="B180" s="25"/>
      <c r="C180" s="26" t="s">
        <v>116</v>
      </c>
      <c r="D180" s="56" t="s">
        <v>117</v>
      </c>
      <c r="E180" s="61">
        <v>3178</v>
      </c>
      <c r="F180" s="44">
        <v>1</v>
      </c>
      <c r="G180" s="44"/>
      <c r="H180" s="62">
        <f t="shared" si="34"/>
        <v>3179</v>
      </c>
    </row>
    <row r="181" spans="1:8" s="16" customFormat="1" ht="12" customHeight="1" x14ac:dyDescent="0.2">
      <c r="A181" s="31"/>
      <c r="B181" s="25">
        <v>85214</v>
      </c>
      <c r="C181" s="31"/>
      <c r="D181" s="56" t="s">
        <v>32</v>
      </c>
      <c r="E181" s="61"/>
      <c r="F181" s="61"/>
      <c r="G181" s="93"/>
      <c r="H181" s="62"/>
    </row>
    <row r="182" spans="1:8" s="16" customFormat="1" ht="12" customHeight="1" x14ac:dyDescent="0.2">
      <c r="A182" s="31"/>
      <c r="B182" s="25"/>
      <c r="C182" s="26"/>
      <c r="D182" s="58" t="s">
        <v>33</v>
      </c>
      <c r="E182" s="38">
        <v>9611744.1400000006</v>
      </c>
      <c r="F182" s="40">
        <f>SUM(F183)</f>
        <v>0</v>
      </c>
      <c r="G182" s="40">
        <f>SUM(G183)</f>
        <v>100000</v>
      </c>
      <c r="H182" s="40">
        <f t="shared" ref="H182:H185" si="35">SUM(E182+F182-G182)</f>
        <v>9511744.1400000006</v>
      </c>
    </row>
    <row r="183" spans="1:8" s="16" customFormat="1" ht="12" customHeight="1" x14ac:dyDescent="0.2">
      <c r="A183" s="31"/>
      <c r="B183" s="25"/>
      <c r="C183" s="26"/>
      <c r="D183" s="154" t="s">
        <v>118</v>
      </c>
      <c r="E183" s="161">
        <v>9566631.1400000006</v>
      </c>
      <c r="F183" s="155">
        <f>SUM(F184:F184)</f>
        <v>0</v>
      </c>
      <c r="G183" s="155">
        <f>SUM(G184:G184)</f>
        <v>100000</v>
      </c>
      <c r="H183" s="95">
        <f t="shared" si="35"/>
        <v>9466631.1400000006</v>
      </c>
    </row>
    <row r="184" spans="1:8" s="16" customFormat="1" ht="12" customHeight="1" x14ac:dyDescent="0.2">
      <c r="A184" s="31"/>
      <c r="B184" s="25"/>
      <c r="C184" s="41">
        <v>3110</v>
      </c>
      <c r="D184" s="43" t="s">
        <v>119</v>
      </c>
      <c r="E184" s="61">
        <v>9477831.1400000006</v>
      </c>
      <c r="F184" s="61"/>
      <c r="G184" s="61">
        <v>100000</v>
      </c>
      <c r="H184" s="62">
        <f t="shared" si="35"/>
        <v>9377831.1400000006</v>
      </c>
    </row>
    <row r="185" spans="1:8" s="16" customFormat="1" ht="12" customHeight="1" thickBot="1" x14ac:dyDescent="0.25">
      <c r="A185" s="55">
        <v>854</v>
      </c>
      <c r="B185" s="55"/>
      <c r="C185" s="31"/>
      <c r="D185" s="33" t="s">
        <v>120</v>
      </c>
      <c r="E185" s="30">
        <v>15282543</v>
      </c>
      <c r="F185" s="34">
        <f>SUM(F186,F192)</f>
        <v>23817</v>
      </c>
      <c r="G185" s="34">
        <f>SUM(G186,G192)</f>
        <v>5013</v>
      </c>
      <c r="H185" s="30">
        <f t="shared" si="35"/>
        <v>15301347</v>
      </c>
    </row>
    <row r="186" spans="1:8" s="16" customFormat="1" ht="12.6" customHeight="1" thickTop="1" x14ac:dyDescent="0.2">
      <c r="A186" s="55"/>
      <c r="B186" s="35">
        <v>85410</v>
      </c>
      <c r="C186" s="81"/>
      <c r="D186" s="37" t="s">
        <v>121</v>
      </c>
      <c r="E186" s="39">
        <v>3526114</v>
      </c>
      <c r="F186" s="39">
        <f>SUM(F187)</f>
        <v>23804</v>
      </c>
      <c r="G186" s="39">
        <f>SUM(G187)</f>
        <v>5000</v>
      </c>
      <c r="H186" s="40">
        <f>SUM(E186+F186-G186)</f>
        <v>3544918</v>
      </c>
    </row>
    <row r="187" spans="1:8" s="16" customFormat="1" ht="12.6" customHeight="1" x14ac:dyDescent="0.2">
      <c r="A187" s="55"/>
      <c r="B187" s="41"/>
      <c r="C187" s="26"/>
      <c r="D187" s="154" t="s">
        <v>81</v>
      </c>
      <c r="E187" s="161">
        <v>2374107</v>
      </c>
      <c r="F187" s="155">
        <f>SUM(F188:F190)</f>
        <v>23804</v>
      </c>
      <c r="G187" s="155">
        <f>SUM(G188:G190)</f>
        <v>5000</v>
      </c>
      <c r="H187" s="95">
        <f t="shared" ref="H187:H190" si="36">SUM(E187+F187-G187)</f>
        <v>2392911</v>
      </c>
    </row>
    <row r="188" spans="1:8" s="16" customFormat="1" ht="12.6" customHeight="1" x14ac:dyDescent="0.2">
      <c r="A188" s="55"/>
      <c r="B188" s="41"/>
      <c r="C188" s="41">
        <v>3020</v>
      </c>
      <c r="D188" s="43" t="s">
        <v>24</v>
      </c>
      <c r="E188" s="44">
        <v>30411</v>
      </c>
      <c r="F188" s="61">
        <v>18804</v>
      </c>
      <c r="G188" s="61"/>
      <c r="H188" s="45">
        <f t="shared" si="36"/>
        <v>49215</v>
      </c>
    </row>
    <row r="189" spans="1:8" s="16" customFormat="1" ht="20.25" customHeight="1" x14ac:dyDescent="0.2">
      <c r="A189" s="55"/>
      <c r="B189" s="41"/>
      <c r="C189" s="85">
        <v>4140</v>
      </c>
      <c r="D189" s="49" t="s">
        <v>68</v>
      </c>
      <c r="E189" s="44">
        <v>4532</v>
      </c>
      <c r="F189" s="44">
        <v>5000</v>
      </c>
      <c r="G189" s="44"/>
      <c r="H189" s="45">
        <f t="shared" si="36"/>
        <v>9532</v>
      </c>
    </row>
    <row r="190" spans="1:8" s="16" customFormat="1" ht="12.6" customHeight="1" x14ac:dyDescent="0.2">
      <c r="A190" s="55"/>
      <c r="B190" s="41"/>
      <c r="C190" s="41">
        <v>4270</v>
      </c>
      <c r="D190" s="43" t="s">
        <v>62</v>
      </c>
      <c r="E190" s="44">
        <v>93000</v>
      </c>
      <c r="F190" s="44"/>
      <c r="G190" s="44">
        <v>5000</v>
      </c>
      <c r="H190" s="45">
        <f t="shared" si="36"/>
        <v>88000</v>
      </c>
    </row>
    <row r="191" spans="1:8" s="16" customFormat="1" ht="12" customHeight="1" x14ac:dyDescent="0.2">
      <c r="A191" s="55"/>
      <c r="B191" s="41">
        <v>85412</v>
      </c>
      <c r="C191" s="25"/>
      <c r="D191" s="43" t="s">
        <v>122</v>
      </c>
      <c r="E191" s="69"/>
      <c r="F191" s="69"/>
      <c r="G191" s="69"/>
      <c r="H191" s="69"/>
    </row>
    <row r="192" spans="1:8" s="16" customFormat="1" ht="12" customHeight="1" x14ac:dyDescent="0.2">
      <c r="A192" s="55"/>
      <c r="B192" s="94"/>
      <c r="C192" s="25"/>
      <c r="D192" s="63" t="s">
        <v>123</v>
      </c>
      <c r="E192" s="40">
        <v>55000</v>
      </c>
      <c r="F192" s="40">
        <f>SUM(F193)</f>
        <v>13</v>
      </c>
      <c r="G192" s="40">
        <f>SUM(G193)</f>
        <v>13</v>
      </c>
      <c r="H192" s="40">
        <f>SUM(E192+F192-G192)</f>
        <v>55000</v>
      </c>
    </row>
    <row r="193" spans="1:8" s="16" customFormat="1" ht="12" customHeight="1" x14ac:dyDescent="0.2">
      <c r="A193" s="55"/>
      <c r="B193" s="25"/>
      <c r="C193" s="26"/>
      <c r="D193" s="154" t="s">
        <v>81</v>
      </c>
      <c r="E193" s="95">
        <v>54950</v>
      </c>
      <c r="F193" s="95">
        <f>SUM(F194:F195)</f>
        <v>13</v>
      </c>
      <c r="G193" s="95">
        <f>SUM(G194:G195)</f>
        <v>13</v>
      </c>
      <c r="H193" s="83">
        <f>SUM(E193+F193-G193)</f>
        <v>54950</v>
      </c>
    </row>
    <row r="194" spans="1:8" s="16" customFormat="1" ht="12" customHeight="1" x14ac:dyDescent="0.2">
      <c r="A194" s="55"/>
      <c r="B194" s="65"/>
      <c r="C194" s="41">
        <v>4110</v>
      </c>
      <c r="D194" s="43" t="s">
        <v>15</v>
      </c>
      <c r="E194" s="44">
        <v>5174</v>
      </c>
      <c r="F194" s="44"/>
      <c r="G194" s="44">
        <v>13</v>
      </c>
      <c r="H194" s="62">
        <f t="shared" ref="H194:H195" si="37">SUM(E194+F194-G194)</f>
        <v>5161</v>
      </c>
    </row>
    <row r="195" spans="1:8" s="16" customFormat="1" ht="12" customHeight="1" x14ac:dyDescent="0.2">
      <c r="A195" s="55"/>
      <c r="B195" s="65"/>
      <c r="C195" s="41">
        <v>4710</v>
      </c>
      <c r="D195" s="47" t="s">
        <v>23</v>
      </c>
      <c r="E195" s="44">
        <v>16</v>
      </c>
      <c r="F195" s="44">
        <v>13</v>
      </c>
      <c r="G195" s="44"/>
      <c r="H195" s="62">
        <f t="shared" si="37"/>
        <v>29</v>
      </c>
    </row>
    <row r="196" spans="1:8" s="16" customFormat="1" ht="12" customHeight="1" thickBot="1" x14ac:dyDescent="0.25">
      <c r="A196" s="55">
        <v>855</v>
      </c>
      <c r="B196" s="55"/>
      <c r="C196" s="31"/>
      <c r="D196" s="33" t="s">
        <v>42</v>
      </c>
      <c r="E196" s="34">
        <v>22139612.129999999</v>
      </c>
      <c r="F196" s="34">
        <f>SUM(F197,F201)</f>
        <v>11295.2</v>
      </c>
      <c r="G196" s="34">
        <f>SUM(G197,G201)</f>
        <v>11295.2</v>
      </c>
      <c r="H196" s="34">
        <f>SUM(E196+F196-G196)</f>
        <v>22139612.129999999</v>
      </c>
    </row>
    <row r="197" spans="1:8" s="16" customFormat="1" ht="34.5" customHeight="1" thickTop="1" x14ac:dyDescent="0.2">
      <c r="A197" s="55"/>
      <c r="B197" s="48">
        <v>85502</v>
      </c>
      <c r="C197" s="26"/>
      <c r="D197" s="74" t="s">
        <v>124</v>
      </c>
      <c r="E197" s="40">
        <v>1034267</v>
      </c>
      <c r="F197" s="39">
        <f t="shared" ref="F197:G197" si="38">SUM(F198)</f>
        <v>4295.2</v>
      </c>
      <c r="G197" s="39">
        <f t="shared" si="38"/>
        <v>4295.2</v>
      </c>
      <c r="H197" s="40">
        <f>SUM(E197+F197-G197)</f>
        <v>1034267</v>
      </c>
    </row>
    <row r="198" spans="1:8" s="16" customFormat="1" ht="12.75" customHeight="1" x14ac:dyDescent="0.2">
      <c r="A198" s="55"/>
      <c r="B198" s="55"/>
      <c r="C198" s="46"/>
      <c r="D198" s="162" t="s">
        <v>125</v>
      </c>
      <c r="E198" s="83">
        <v>729819</v>
      </c>
      <c r="F198" s="151">
        <f>SUM(F199:F200)</f>
        <v>4295.2</v>
      </c>
      <c r="G198" s="151">
        <f>SUM(G199:G200)</f>
        <v>4295.2</v>
      </c>
      <c r="H198" s="83">
        <f t="shared" ref="H198:H222" si="39">SUM(E198+F198-G198)</f>
        <v>729819</v>
      </c>
    </row>
    <row r="199" spans="1:8" s="16" customFormat="1" ht="12" customHeight="1" x14ac:dyDescent="0.2">
      <c r="A199" s="55"/>
      <c r="B199" s="55"/>
      <c r="C199" s="41">
        <v>3110</v>
      </c>
      <c r="D199" s="43" t="s">
        <v>119</v>
      </c>
      <c r="E199" s="45">
        <v>0</v>
      </c>
      <c r="F199" s="45">
        <v>4295.2</v>
      </c>
      <c r="G199" s="62"/>
      <c r="H199" s="45">
        <f t="shared" si="39"/>
        <v>4295.2</v>
      </c>
    </row>
    <row r="200" spans="1:8" s="16" customFormat="1" ht="12" customHeight="1" x14ac:dyDescent="0.2">
      <c r="A200" s="55"/>
      <c r="B200" s="25"/>
      <c r="C200" s="41">
        <v>4300</v>
      </c>
      <c r="D200" s="43" t="s">
        <v>21</v>
      </c>
      <c r="E200" s="61">
        <v>91510</v>
      </c>
      <c r="F200" s="44"/>
      <c r="G200" s="61">
        <v>4295.2</v>
      </c>
      <c r="H200" s="45">
        <f t="shared" si="39"/>
        <v>87214.8</v>
      </c>
    </row>
    <row r="201" spans="1:8" s="16" customFormat="1" ht="12" customHeight="1" x14ac:dyDescent="0.2">
      <c r="A201" s="31"/>
      <c r="B201" s="25">
        <v>85510</v>
      </c>
      <c r="C201" s="41"/>
      <c r="D201" s="63" t="s">
        <v>126</v>
      </c>
      <c r="E201" s="38">
        <v>10178576</v>
      </c>
      <c r="F201" s="40">
        <f>SUM(F202)</f>
        <v>7000</v>
      </c>
      <c r="G201" s="40">
        <f>SUM(G202)</f>
        <v>7000</v>
      </c>
      <c r="H201" s="40">
        <f t="shared" si="39"/>
        <v>10178576</v>
      </c>
    </row>
    <row r="202" spans="1:8" s="16" customFormat="1" ht="12" customHeight="1" x14ac:dyDescent="0.2">
      <c r="A202" s="31"/>
      <c r="B202" s="55"/>
      <c r="C202" s="26"/>
      <c r="D202" s="154" t="s">
        <v>127</v>
      </c>
      <c r="E202" s="83">
        <v>3542140</v>
      </c>
      <c r="F202" s="155">
        <f>SUM(F203:F204)</f>
        <v>7000</v>
      </c>
      <c r="G202" s="155">
        <f>SUM(G203:G204)</f>
        <v>7000</v>
      </c>
      <c r="H202" s="83">
        <f t="shared" si="39"/>
        <v>3542140</v>
      </c>
    </row>
    <row r="203" spans="1:8" s="16" customFormat="1" ht="12" customHeight="1" x14ac:dyDescent="0.2">
      <c r="A203" s="31"/>
      <c r="B203" s="55"/>
      <c r="C203" s="26" t="s">
        <v>116</v>
      </c>
      <c r="D203" s="56" t="s">
        <v>117</v>
      </c>
      <c r="E203" s="44">
        <v>15000</v>
      </c>
      <c r="F203" s="61">
        <v>7000</v>
      </c>
      <c r="G203" s="61"/>
      <c r="H203" s="61">
        <f t="shared" si="39"/>
        <v>22000</v>
      </c>
    </row>
    <row r="204" spans="1:8" s="16" customFormat="1" ht="12" customHeight="1" x14ac:dyDescent="0.2">
      <c r="A204" s="96"/>
      <c r="B204" s="87"/>
      <c r="C204" s="88">
        <v>4710</v>
      </c>
      <c r="D204" s="97" t="s">
        <v>23</v>
      </c>
      <c r="E204" s="38">
        <v>35472</v>
      </c>
      <c r="F204" s="39"/>
      <c r="G204" s="39">
        <v>7000</v>
      </c>
      <c r="H204" s="39">
        <f t="shared" si="39"/>
        <v>28472</v>
      </c>
    </row>
    <row r="205" spans="1:8" s="16" customFormat="1" ht="12" customHeight="1" thickBot="1" x14ac:dyDescent="0.25">
      <c r="A205" s="55">
        <v>900</v>
      </c>
      <c r="B205" s="55"/>
      <c r="C205" s="31"/>
      <c r="D205" s="33" t="s">
        <v>128</v>
      </c>
      <c r="E205" s="30">
        <v>74377365.549999997</v>
      </c>
      <c r="F205" s="34">
        <f>SUM(F206)</f>
        <v>10000</v>
      </c>
      <c r="G205" s="34">
        <f>SUM(G206)</f>
        <v>10000</v>
      </c>
      <c r="H205" s="30">
        <f t="shared" si="39"/>
        <v>74377365.549999997</v>
      </c>
    </row>
    <row r="206" spans="1:8" s="16" customFormat="1" ht="12" customHeight="1" thickTop="1" x14ac:dyDescent="0.2">
      <c r="A206" s="98"/>
      <c r="B206" s="25">
        <v>90004</v>
      </c>
      <c r="C206" s="31"/>
      <c r="D206" s="63" t="s">
        <v>129</v>
      </c>
      <c r="E206" s="40">
        <v>604000</v>
      </c>
      <c r="F206" s="40">
        <f>SUM(F207)</f>
        <v>10000</v>
      </c>
      <c r="G206" s="40">
        <f>SUM(G207)</f>
        <v>10000</v>
      </c>
      <c r="H206" s="40">
        <f t="shared" si="39"/>
        <v>604000</v>
      </c>
    </row>
    <row r="207" spans="1:8" s="16" customFormat="1" ht="12" customHeight="1" x14ac:dyDescent="0.2">
      <c r="A207" s="98"/>
      <c r="B207" s="25"/>
      <c r="C207" s="41"/>
      <c r="D207" s="162" t="s">
        <v>130</v>
      </c>
      <c r="E207" s="95">
        <v>384000</v>
      </c>
      <c r="F207" s="95">
        <f>SUM(F208:F209)</f>
        <v>10000</v>
      </c>
      <c r="G207" s="95">
        <f>SUM(G208:G209)</f>
        <v>10000</v>
      </c>
      <c r="H207" s="95">
        <f t="shared" si="39"/>
        <v>384000</v>
      </c>
    </row>
    <row r="208" spans="1:8" s="16" customFormat="1" ht="12" customHeight="1" x14ac:dyDescent="0.2">
      <c r="A208" s="98"/>
      <c r="B208" s="25"/>
      <c r="C208" s="46" t="s">
        <v>18</v>
      </c>
      <c r="D208" s="47" t="s">
        <v>19</v>
      </c>
      <c r="E208" s="62">
        <v>300000</v>
      </c>
      <c r="F208" s="62"/>
      <c r="G208" s="62">
        <v>10000</v>
      </c>
      <c r="H208" s="62">
        <f t="shared" si="39"/>
        <v>290000</v>
      </c>
    </row>
    <row r="209" spans="1:8" s="16" customFormat="1" ht="12" customHeight="1" x14ac:dyDescent="0.2">
      <c r="A209" s="31"/>
      <c r="B209" s="25"/>
      <c r="C209" s="41">
        <v>4270</v>
      </c>
      <c r="D209" s="43" t="s">
        <v>62</v>
      </c>
      <c r="E209" s="44">
        <v>8000</v>
      </c>
      <c r="F209" s="62">
        <v>10000</v>
      </c>
      <c r="G209" s="62"/>
      <c r="H209" s="62">
        <f t="shared" si="39"/>
        <v>18000</v>
      </c>
    </row>
    <row r="210" spans="1:8" s="16" customFormat="1" ht="12" customHeight="1" thickBot="1" x14ac:dyDescent="0.25">
      <c r="A210" s="32">
        <v>926</v>
      </c>
      <c r="B210" s="55"/>
      <c r="C210" s="31"/>
      <c r="D210" s="33" t="s">
        <v>131</v>
      </c>
      <c r="E210" s="30">
        <v>24116198.910000004</v>
      </c>
      <c r="F210" s="30">
        <f>SUM(F211,F216,F222)</f>
        <v>128359.70999999999</v>
      </c>
      <c r="G210" s="30">
        <f>SUM(G211,G216,G222)</f>
        <v>59422.71</v>
      </c>
      <c r="H210" s="30">
        <f t="shared" si="39"/>
        <v>24185135.910000004</v>
      </c>
    </row>
    <row r="211" spans="1:8" s="16" customFormat="1" ht="12" customHeight="1" thickTop="1" x14ac:dyDescent="0.2">
      <c r="A211" s="32"/>
      <c r="B211" s="41">
        <v>92601</v>
      </c>
      <c r="C211" s="99"/>
      <c r="D211" s="63" t="s">
        <v>132</v>
      </c>
      <c r="E211" s="40">
        <v>6672389.4900000002</v>
      </c>
      <c r="F211" s="40">
        <f>SUM(F212)</f>
        <v>68937</v>
      </c>
      <c r="G211" s="40">
        <f>SUM(G212)</f>
        <v>0</v>
      </c>
      <c r="H211" s="40">
        <f t="shared" si="39"/>
        <v>6741326.4900000002</v>
      </c>
    </row>
    <row r="212" spans="1:8" s="16" customFormat="1" ht="12" customHeight="1" x14ac:dyDescent="0.2">
      <c r="A212" s="32"/>
      <c r="B212" s="55"/>
      <c r="C212" s="31"/>
      <c r="D212" s="152" t="s">
        <v>56</v>
      </c>
      <c r="E212" s="95">
        <v>4539000</v>
      </c>
      <c r="F212" s="95">
        <f>SUM(F213:F215)</f>
        <v>68937</v>
      </c>
      <c r="G212" s="95">
        <f>SUM(G213:G215)</f>
        <v>0</v>
      </c>
      <c r="H212" s="95">
        <f t="shared" si="39"/>
        <v>4607937</v>
      </c>
    </row>
    <row r="213" spans="1:8" s="16" customFormat="1" ht="12" customHeight="1" x14ac:dyDescent="0.2">
      <c r="A213" s="32"/>
      <c r="B213" s="55"/>
      <c r="C213" s="41">
        <v>4580</v>
      </c>
      <c r="D213" s="43" t="s">
        <v>72</v>
      </c>
      <c r="E213" s="61">
        <v>0</v>
      </c>
      <c r="F213" s="44">
        <v>8500</v>
      </c>
      <c r="G213" s="44"/>
      <c r="H213" s="45">
        <f t="shared" si="39"/>
        <v>8500</v>
      </c>
    </row>
    <row r="214" spans="1:8" s="16" customFormat="1" ht="23.25" customHeight="1" x14ac:dyDescent="0.2">
      <c r="A214" s="32"/>
      <c r="B214" s="55"/>
      <c r="C214" s="48">
        <v>4600</v>
      </c>
      <c r="D214" s="66" t="s">
        <v>73</v>
      </c>
      <c r="E214" s="61">
        <v>0</v>
      </c>
      <c r="F214" s="44">
        <v>52400</v>
      </c>
      <c r="G214" s="44"/>
      <c r="H214" s="45">
        <f t="shared" si="39"/>
        <v>52400</v>
      </c>
    </row>
    <row r="215" spans="1:8" s="16" customFormat="1" ht="12" customHeight="1" x14ac:dyDescent="0.2">
      <c r="A215" s="32"/>
      <c r="B215" s="55"/>
      <c r="C215" s="41">
        <v>4610</v>
      </c>
      <c r="D215" s="84" t="s">
        <v>65</v>
      </c>
      <c r="E215" s="44">
        <v>0</v>
      </c>
      <c r="F215" s="44">
        <v>8037</v>
      </c>
      <c r="G215" s="44"/>
      <c r="H215" s="45">
        <f t="shared" si="39"/>
        <v>8037</v>
      </c>
    </row>
    <row r="216" spans="1:8" s="16" customFormat="1" ht="12" customHeight="1" x14ac:dyDescent="0.2">
      <c r="A216" s="32"/>
      <c r="B216" s="41">
        <v>92604</v>
      </c>
      <c r="C216" s="99"/>
      <c r="D216" s="63" t="s">
        <v>133</v>
      </c>
      <c r="E216" s="40">
        <v>14818224</v>
      </c>
      <c r="F216" s="40">
        <f>SUM(F217)</f>
        <v>6000</v>
      </c>
      <c r="G216" s="40">
        <f>SUM(G217)</f>
        <v>6000</v>
      </c>
      <c r="H216" s="40">
        <f t="shared" si="39"/>
        <v>14818224</v>
      </c>
    </row>
    <row r="217" spans="1:8" s="16" customFormat="1" ht="12" customHeight="1" x14ac:dyDescent="0.2">
      <c r="A217" s="32"/>
      <c r="B217" s="32"/>
      <c r="C217" s="31"/>
      <c r="D217" s="153" t="s">
        <v>61</v>
      </c>
      <c r="E217" s="95">
        <v>13593224</v>
      </c>
      <c r="F217" s="95">
        <f>SUM(F218:F221)</f>
        <v>6000</v>
      </c>
      <c r="G217" s="95">
        <f>SUM(G218:G221)</f>
        <v>6000</v>
      </c>
      <c r="H217" s="95">
        <f t="shared" si="39"/>
        <v>13593224</v>
      </c>
    </row>
    <row r="218" spans="1:8" s="16" customFormat="1" ht="12" customHeight="1" x14ac:dyDescent="0.2">
      <c r="A218" s="32"/>
      <c r="B218" s="41"/>
      <c r="C218" s="41">
        <v>4280</v>
      </c>
      <c r="D218" s="43" t="s">
        <v>20</v>
      </c>
      <c r="E218" s="62">
        <v>8733</v>
      </c>
      <c r="F218" s="62">
        <v>2000</v>
      </c>
      <c r="G218" s="62"/>
      <c r="H218" s="62">
        <f t="shared" si="39"/>
        <v>10733</v>
      </c>
    </row>
    <row r="219" spans="1:8" s="16" customFormat="1" ht="22.5" customHeight="1" x14ac:dyDescent="0.2">
      <c r="A219" s="32"/>
      <c r="B219" s="55"/>
      <c r="C219" s="48">
        <v>4500</v>
      </c>
      <c r="D219" s="66" t="s">
        <v>134</v>
      </c>
      <c r="E219" s="44">
        <v>4500</v>
      </c>
      <c r="F219" s="44"/>
      <c r="G219" s="44">
        <v>2000</v>
      </c>
      <c r="H219" s="62">
        <f t="shared" si="39"/>
        <v>2500</v>
      </c>
    </row>
    <row r="220" spans="1:8" s="16" customFormat="1" ht="12" customHeight="1" x14ac:dyDescent="0.2">
      <c r="A220" s="32"/>
      <c r="B220" s="55"/>
      <c r="C220" s="41">
        <v>4610</v>
      </c>
      <c r="D220" s="84" t="s">
        <v>65</v>
      </c>
      <c r="E220" s="44">
        <v>13050</v>
      </c>
      <c r="F220" s="44"/>
      <c r="G220" s="44">
        <v>4000</v>
      </c>
      <c r="H220" s="62">
        <f t="shared" si="39"/>
        <v>9050</v>
      </c>
    </row>
    <row r="221" spans="1:8" s="16" customFormat="1" ht="22.5" customHeight="1" x14ac:dyDescent="0.2">
      <c r="A221" s="32"/>
      <c r="B221" s="55"/>
      <c r="C221" s="48">
        <v>4700</v>
      </c>
      <c r="D221" s="49" t="s">
        <v>22</v>
      </c>
      <c r="E221" s="44">
        <v>8167</v>
      </c>
      <c r="F221" s="44">
        <v>4000</v>
      </c>
      <c r="G221" s="44"/>
      <c r="H221" s="62">
        <f t="shared" si="39"/>
        <v>12167</v>
      </c>
    </row>
    <row r="222" spans="1:8" s="16" customFormat="1" ht="12" customHeight="1" x14ac:dyDescent="0.2">
      <c r="A222" s="98"/>
      <c r="B222" s="65">
        <v>92605</v>
      </c>
      <c r="C222" s="35"/>
      <c r="D222" s="97" t="s">
        <v>135</v>
      </c>
      <c r="E222" s="40">
        <v>1940220.42</v>
      </c>
      <c r="F222" s="40">
        <f>SUM(F223)</f>
        <v>53422.71</v>
      </c>
      <c r="G222" s="40">
        <f>SUM(G223)</f>
        <v>53422.71</v>
      </c>
      <c r="H222" s="40">
        <f t="shared" si="39"/>
        <v>1940220.42</v>
      </c>
    </row>
    <row r="223" spans="1:8" s="16" customFormat="1" ht="34.5" customHeight="1" x14ac:dyDescent="0.2">
      <c r="A223" s="98"/>
      <c r="B223" s="25"/>
      <c r="C223" s="26"/>
      <c r="D223" s="163" t="s">
        <v>136</v>
      </c>
      <c r="E223" s="83">
        <v>106845.42</v>
      </c>
      <c r="F223" s="151">
        <f>SUM(F224:F227)</f>
        <v>53422.71</v>
      </c>
      <c r="G223" s="151">
        <f>SUM(G224:G227)</f>
        <v>53422.71</v>
      </c>
      <c r="H223" s="83">
        <f>SUM(E223+F223-G223)</f>
        <v>106845.42000000001</v>
      </c>
    </row>
    <row r="224" spans="1:8" s="16" customFormat="1" ht="21.75" customHeight="1" x14ac:dyDescent="0.2">
      <c r="A224" s="98"/>
      <c r="B224" s="25"/>
      <c r="C224" s="48">
        <v>2816</v>
      </c>
      <c r="D224" s="66" t="s">
        <v>137</v>
      </c>
      <c r="E224" s="44">
        <v>0</v>
      </c>
      <c r="F224" s="61">
        <v>8013.4</v>
      </c>
      <c r="G224" s="61"/>
      <c r="H224" s="44">
        <f t="shared" ref="H224:H228" si="40">SUM(E224+F224-G224)</f>
        <v>8013.4</v>
      </c>
    </row>
    <row r="225" spans="1:8" s="16" customFormat="1" ht="21.75" customHeight="1" x14ac:dyDescent="0.2">
      <c r="A225" s="98"/>
      <c r="B225" s="25"/>
      <c r="C225" s="48">
        <v>2817</v>
      </c>
      <c r="D225" s="66" t="s">
        <v>137</v>
      </c>
      <c r="E225" s="44">
        <v>0</v>
      </c>
      <c r="F225" s="61">
        <v>45409.31</v>
      </c>
      <c r="G225" s="61"/>
      <c r="H225" s="44">
        <f t="shared" si="40"/>
        <v>45409.31</v>
      </c>
    </row>
    <row r="226" spans="1:8" s="16" customFormat="1" ht="32.25" customHeight="1" x14ac:dyDescent="0.2">
      <c r="A226" s="98"/>
      <c r="B226" s="55"/>
      <c r="C226" s="100" t="s">
        <v>138</v>
      </c>
      <c r="D226" s="49" t="s">
        <v>139</v>
      </c>
      <c r="E226" s="44">
        <v>16026.81</v>
      </c>
      <c r="F226" s="61"/>
      <c r="G226" s="61">
        <v>8013.4</v>
      </c>
      <c r="H226" s="44">
        <f t="shared" si="40"/>
        <v>8013.41</v>
      </c>
    </row>
    <row r="227" spans="1:8" s="16" customFormat="1" ht="30.75" customHeight="1" x14ac:dyDescent="0.2">
      <c r="A227" s="98"/>
      <c r="B227" s="55"/>
      <c r="C227" s="100" t="s">
        <v>140</v>
      </c>
      <c r="D227" s="49" t="s">
        <v>139</v>
      </c>
      <c r="E227" s="44">
        <v>90818.61</v>
      </c>
      <c r="F227" s="61"/>
      <c r="G227" s="61">
        <v>45409.31</v>
      </c>
      <c r="H227" s="44">
        <f t="shared" si="40"/>
        <v>45409.3</v>
      </c>
    </row>
    <row r="228" spans="1:8" s="16" customFormat="1" ht="18.600000000000001" customHeight="1" thickBot="1" x14ac:dyDescent="0.25">
      <c r="A228" s="98"/>
      <c r="B228" s="25"/>
      <c r="C228" s="41"/>
      <c r="D228" s="29" t="s">
        <v>141</v>
      </c>
      <c r="E228" s="30">
        <v>82221987.61999999</v>
      </c>
      <c r="F228" s="30">
        <f>SUM(F230,F239,F251)</f>
        <v>521277.28</v>
      </c>
      <c r="G228" s="30">
        <f>SUM(G230,G239,G251)</f>
        <v>28697.84</v>
      </c>
      <c r="H228" s="30">
        <f t="shared" si="40"/>
        <v>82714567.059999987</v>
      </c>
    </row>
    <row r="229" spans="1:8" s="16" customFormat="1" ht="18.75" customHeight="1" thickTop="1" x14ac:dyDescent="0.2">
      <c r="A229" s="55">
        <v>754</v>
      </c>
      <c r="B229" s="55"/>
      <c r="C229" s="31"/>
      <c r="D229" s="33" t="s">
        <v>50</v>
      </c>
      <c r="E229" s="61"/>
      <c r="F229" s="45"/>
      <c r="G229" s="45"/>
      <c r="H229" s="61"/>
    </row>
    <row r="230" spans="1:8" s="16" customFormat="1" ht="12" customHeight="1" thickBot="1" x14ac:dyDescent="0.25">
      <c r="A230" s="55"/>
      <c r="B230" s="55"/>
      <c r="C230" s="31"/>
      <c r="D230" s="33" t="s">
        <v>51</v>
      </c>
      <c r="E230" s="34">
        <v>1519248</v>
      </c>
      <c r="F230" s="34">
        <f>SUM(F231)</f>
        <v>28697.84</v>
      </c>
      <c r="G230" s="34">
        <f>SUM(G231)</f>
        <v>28697.84</v>
      </c>
      <c r="H230" s="34">
        <f>SUM(E230+F230-G230)</f>
        <v>1519248</v>
      </c>
    </row>
    <row r="231" spans="1:8" s="16" customFormat="1" ht="12" customHeight="1" thickTop="1" x14ac:dyDescent="0.2">
      <c r="A231" s="25"/>
      <c r="B231" s="25">
        <v>75495</v>
      </c>
      <c r="C231" s="26"/>
      <c r="D231" s="63" t="s">
        <v>41</v>
      </c>
      <c r="E231" s="40">
        <v>1519248</v>
      </c>
      <c r="F231" s="39">
        <f>SUM(F232,F234)</f>
        <v>28697.84</v>
      </c>
      <c r="G231" s="39">
        <f>SUM(G232,G234)</f>
        <v>28697.84</v>
      </c>
      <c r="H231" s="40">
        <f>SUM(E231+F231-G231)</f>
        <v>1519248</v>
      </c>
    </row>
    <row r="232" spans="1:8" s="16" customFormat="1" ht="34.5" customHeight="1" x14ac:dyDescent="0.2">
      <c r="A232" s="54"/>
      <c r="B232" s="55"/>
      <c r="C232" s="46"/>
      <c r="D232" s="159" t="s">
        <v>142</v>
      </c>
      <c r="E232" s="95">
        <v>460440</v>
      </c>
      <c r="F232" s="95">
        <f>SUM(F233:F233)</f>
        <v>0</v>
      </c>
      <c r="G232" s="95">
        <f>SUM(G233:G233)</f>
        <v>28697.84</v>
      </c>
      <c r="H232" s="83">
        <f>SUM(E232+F232-G232)</f>
        <v>431742.16</v>
      </c>
    </row>
    <row r="233" spans="1:8" s="16" customFormat="1" ht="12" customHeight="1" x14ac:dyDescent="0.2">
      <c r="A233" s="54"/>
      <c r="B233" s="55"/>
      <c r="C233" s="25">
        <v>4300</v>
      </c>
      <c r="D233" s="43" t="s">
        <v>21</v>
      </c>
      <c r="E233" s="44">
        <v>460440</v>
      </c>
      <c r="F233" s="44"/>
      <c r="G233" s="44">
        <v>28697.84</v>
      </c>
      <c r="H233" s="45">
        <f t="shared" ref="H233" si="41">SUM(E233+F233-G233)</f>
        <v>431742.16</v>
      </c>
    </row>
    <row r="234" spans="1:8" s="16" customFormat="1" ht="33.75" customHeight="1" x14ac:dyDescent="0.2">
      <c r="A234" s="54"/>
      <c r="B234" s="55"/>
      <c r="C234" s="26"/>
      <c r="D234" s="164" t="s">
        <v>143</v>
      </c>
      <c r="E234" s="95">
        <v>0</v>
      </c>
      <c r="F234" s="151">
        <f>SUM(F235:F238)</f>
        <v>28697.84</v>
      </c>
      <c r="G234" s="151">
        <f>SUM(G235:G238)</f>
        <v>0</v>
      </c>
      <c r="H234" s="83">
        <f>SUM(E234+F234-G234)</f>
        <v>28697.84</v>
      </c>
    </row>
    <row r="235" spans="1:8" s="16" customFormat="1" ht="12" customHeight="1" x14ac:dyDescent="0.2">
      <c r="A235" s="54"/>
      <c r="B235" s="55"/>
      <c r="C235" s="41">
        <v>4260</v>
      </c>
      <c r="D235" s="43" t="s">
        <v>25</v>
      </c>
      <c r="E235" s="44">
        <v>0</v>
      </c>
      <c r="F235" s="44">
        <v>14528.59</v>
      </c>
      <c r="G235" s="44"/>
      <c r="H235" s="45">
        <f t="shared" ref="H235:H251" si="42">SUM(E235+F235-G235)</f>
        <v>14528.59</v>
      </c>
    </row>
    <row r="236" spans="1:8" s="16" customFormat="1" ht="12" customHeight="1" x14ac:dyDescent="0.2">
      <c r="A236" s="54"/>
      <c r="B236" s="55"/>
      <c r="C236" s="41">
        <v>4270</v>
      </c>
      <c r="D236" s="43" t="s">
        <v>62</v>
      </c>
      <c r="E236" s="44">
        <v>0</v>
      </c>
      <c r="F236" s="44">
        <v>6422.5</v>
      </c>
      <c r="G236" s="44"/>
      <c r="H236" s="45">
        <f t="shared" si="42"/>
        <v>6422.5</v>
      </c>
    </row>
    <row r="237" spans="1:8" s="16" customFormat="1" ht="12" customHeight="1" x14ac:dyDescent="0.2">
      <c r="A237" s="54"/>
      <c r="B237" s="55"/>
      <c r="C237" s="41">
        <v>4300</v>
      </c>
      <c r="D237" s="43" t="s">
        <v>21</v>
      </c>
      <c r="E237" s="44">
        <v>0</v>
      </c>
      <c r="F237" s="44">
        <v>2056.23</v>
      </c>
      <c r="G237" s="44"/>
      <c r="H237" s="45">
        <f t="shared" si="42"/>
        <v>2056.23</v>
      </c>
    </row>
    <row r="238" spans="1:8" s="16" customFormat="1" ht="12" customHeight="1" x14ac:dyDescent="0.2">
      <c r="A238" s="54"/>
      <c r="B238" s="55"/>
      <c r="C238" s="41">
        <v>4430</v>
      </c>
      <c r="D238" s="43" t="s">
        <v>144</v>
      </c>
      <c r="E238" s="44">
        <v>0</v>
      </c>
      <c r="F238" s="44">
        <v>5690.52</v>
      </c>
      <c r="G238" s="44"/>
      <c r="H238" s="45">
        <f t="shared" si="42"/>
        <v>5690.52</v>
      </c>
    </row>
    <row r="239" spans="1:8" s="16" customFormat="1" ht="12" customHeight="1" thickBot="1" x14ac:dyDescent="0.25">
      <c r="A239" s="31" t="s">
        <v>111</v>
      </c>
      <c r="B239" s="55"/>
      <c r="C239" s="31"/>
      <c r="D239" s="33" t="s">
        <v>31</v>
      </c>
      <c r="E239" s="30">
        <v>7998136.1799999997</v>
      </c>
      <c r="F239" s="30">
        <f>SUM(F240,F244)</f>
        <v>464298.44</v>
      </c>
      <c r="G239" s="30">
        <f>SUM(G240,G244)</f>
        <v>0</v>
      </c>
      <c r="H239" s="30">
        <f t="shared" si="42"/>
        <v>8462434.6199999992</v>
      </c>
    </row>
    <row r="240" spans="1:8" s="16" customFormat="1" ht="12" customHeight="1" thickTop="1" x14ac:dyDescent="0.2">
      <c r="A240" s="31"/>
      <c r="B240" s="25">
        <v>85219</v>
      </c>
      <c r="C240" s="26"/>
      <c r="D240" s="58" t="s">
        <v>38</v>
      </c>
      <c r="E240" s="38">
        <v>17576</v>
      </c>
      <c r="F240" s="39">
        <f t="shared" ref="F240:G240" si="43">SUM(F241)</f>
        <v>5785</v>
      </c>
      <c r="G240" s="39">
        <f t="shared" si="43"/>
        <v>0</v>
      </c>
      <c r="H240" s="40">
        <f t="shared" si="42"/>
        <v>23361</v>
      </c>
    </row>
    <row r="241" spans="1:8" s="16" customFormat="1" ht="12" customHeight="1" x14ac:dyDescent="0.2">
      <c r="A241" s="31"/>
      <c r="B241" s="55"/>
      <c r="C241" s="26"/>
      <c r="D241" s="154" t="s">
        <v>125</v>
      </c>
      <c r="E241" s="161">
        <v>17576</v>
      </c>
      <c r="F241" s="155">
        <f>SUM(F242:F243)</f>
        <v>5785</v>
      </c>
      <c r="G241" s="155">
        <f>SUM(G242:G243)</f>
        <v>0</v>
      </c>
      <c r="H241" s="95">
        <f t="shared" si="42"/>
        <v>23361</v>
      </c>
    </row>
    <row r="242" spans="1:8" s="16" customFormat="1" ht="12" customHeight="1" x14ac:dyDescent="0.2">
      <c r="A242" s="31"/>
      <c r="B242" s="55"/>
      <c r="C242" s="41">
        <v>3110</v>
      </c>
      <c r="D242" s="43" t="s">
        <v>119</v>
      </c>
      <c r="E242" s="61">
        <v>17317</v>
      </c>
      <c r="F242" s="61">
        <v>5698</v>
      </c>
      <c r="G242" s="93"/>
      <c r="H242" s="62">
        <f t="shared" si="42"/>
        <v>23015</v>
      </c>
    </row>
    <row r="243" spans="1:8" s="16" customFormat="1" ht="12" customHeight="1" x14ac:dyDescent="0.2">
      <c r="A243" s="31"/>
      <c r="B243" s="55"/>
      <c r="C243" s="35">
        <v>4210</v>
      </c>
      <c r="D243" s="47" t="s">
        <v>19</v>
      </c>
      <c r="E243" s="61">
        <v>259</v>
      </c>
      <c r="F243" s="61">
        <v>87</v>
      </c>
      <c r="G243" s="93"/>
      <c r="H243" s="62">
        <f t="shared" si="42"/>
        <v>346</v>
      </c>
    </row>
    <row r="244" spans="1:8" s="16" customFormat="1" ht="12" customHeight="1" x14ac:dyDescent="0.2">
      <c r="A244" s="101"/>
      <c r="B244" s="25">
        <v>85295</v>
      </c>
      <c r="C244" s="26"/>
      <c r="D244" s="63" t="s">
        <v>41</v>
      </c>
      <c r="E244" s="38">
        <v>4080000</v>
      </c>
      <c r="F244" s="39">
        <f t="shared" ref="F244:G244" si="44">SUM(F245)</f>
        <v>458513.44</v>
      </c>
      <c r="G244" s="39">
        <f t="shared" si="44"/>
        <v>0</v>
      </c>
      <c r="H244" s="40">
        <f t="shared" si="42"/>
        <v>4538513.4400000004</v>
      </c>
    </row>
    <row r="245" spans="1:8" s="16" customFormat="1" ht="12" customHeight="1" x14ac:dyDescent="0.2">
      <c r="A245" s="101"/>
      <c r="B245" s="55"/>
      <c r="C245" s="26"/>
      <c r="D245" s="154" t="s">
        <v>118</v>
      </c>
      <c r="E245" s="161">
        <v>4080000</v>
      </c>
      <c r="F245" s="155">
        <f>SUM(F246:F250)</f>
        <v>458513.44</v>
      </c>
      <c r="G245" s="155">
        <f>SUM(G246:G250)</f>
        <v>0</v>
      </c>
      <c r="H245" s="95">
        <f t="shared" si="42"/>
        <v>4538513.4400000004</v>
      </c>
    </row>
    <row r="246" spans="1:8" s="16" customFormat="1" ht="12" customHeight="1" x14ac:dyDescent="0.2">
      <c r="A246" s="101"/>
      <c r="B246" s="55"/>
      <c r="C246" s="41">
        <v>3110</v>
      </c>
      <c r="D246" s="43" t="s">
        <v>119</v>
      </c>
      <c r="E246" s="61">
        <v>4000000</v>
      </c>
      <c r="F246" s="61">
        <v>449527.44</v>
      </c>
      <c r="G246" s="61"/>
      <c r="H246" s="62">
        <f t="shared" si="42"/>
        <v>4449527.4400000004</v>
      </c>
    </row>
    <row r="247" spans="1:8" s="16" customFormat="1" ht="12" customHeight="1" x14ac:dyDescent="0.2">
      <c r="A247" s="101"/>
      <c r="B247" s="55"/>
      <c r="C247" s="41">
        <v>4010</v>
      </c>
      <c r="D247" s="43" t="s">
        <v>14</v>
      </c>
      <c r="E247" s="61">
        <v>9708</v>
      </c>
      <c r="F247" s="61">
        <v>6660</v>
      </c>
      <c r="G247" s="61"/>
      <c r="H247" s="62">
        <f t="shared" si="42"/>
        <v>16368</v>
      </c>
    </row>
    <row r="248" spans="1:8" s="16" customFormat="1" ht="12" customHeight="1" x14ac:dyDescent="0.2">
      <c r="A248" s="101"/>
      <c r="B248" s="55"/>
      <c r="C248" s="41">
        <v>4110</v>
      </c>
      <c r="D248" s="43" t="s">
        <v>15</v>
      </c>
      <c r="E248" s="44">
        <v>10267</v>
      </c>
      <c r="F248" s="44">
        <v>1163</v>
      </c>
      <c r="G248" s="61"/>
      <c r="H248" s="62">
        <f t="shared" si="42"/>
        <v>11430</v>
      </c>
    </row>
    <row r="249" spans="1:8" s="16" customFormat="1" ht="12" customHeight="1" x14ac:dyDescent="0.2">
      <c r="A249" s="101"/>
      <c r="B249" s="55"/>
      <c r="C249" s="41">
        <v>4120</v>
      </c>
      <c r="D249" s="43" t="s">
        <v>106</v>
      </c>
      <c r="E249" s="44">
        <v>670</v>
      </c>
      <c r="F249" s="44">
        <v>163</v>
      </c>
      <c r="G249" s="61"/>
      <c r="H249" s="62">
        <f t="shared" si="42"/>
        <v>833</v>
      </c>
    </row>
    <row r="250" spans="1:8" s="16" customFormat="1" ht="12" customHeight="1" x14ac:dyDescent="0.2">
      <c r="A250" s="102"/>
      <c r="B250" s="71"/>
      <c r="C250" s="92">
        <v>4210</v>
      </c>
      <c r="D250" s="97" t="s">
        <v>19</v>
      </c>
      <c r="E250" s="38">
        <v>11995</v>
      </c>
      <c r="F250" s="38">
        <v>1000</v>
      </c>
      <c r="G250" s="75"/>
      <c r="H250" s="39">
        <f t="shared" si="42"/>
        <v>12995</v>
      </c>
    </row>
    <row r="251" spans="1:8" s="16" customFormat="1" ht="12" customHeight="1" thickBot="1" x14ac:dyDescent="0.25">
      <c r="A251" s="55">
        <v>855</v>
      </c>
      <c r="B251" s="55"/>
      <c r="C251" s="31"/>
      <c r="D251" s="33" t="s">
        <v>42</v>
      </c>
      <c r="E251" s="34">
        <v>70357146</v>
      </c>
      <c r="F251" s="30">
        <f>SUM(F254)</f>
        <v>28281</v>
      </c>
      <c r="G251" s="30">
        <f>SUM(G254)</f>
        <v>0</v>
      </c>
      <c r="H251" s="30">
        <f t="shared" si="42"/>
        <v>70385427</v>
      </c>
    </row>
    <row r="252" spans="1:8" s="16" customFormat="1" ht="12" customHeight="1" thickTop="1" x14ac:dyDescent="0.2">
      <c r="A252" s="54"/>
      <c r="B252" s="25">
        <v>85513</v>
      </c>
      <c r="C252" s="26"/>
      <c r="D252" s="65" t="s">
        <v>43</v>
      </c>
      <c r="E252" s="62"/>
      <c r="F252" s="62"/>
      <c r="G252" s="62"/>
      <c r="H252" s="62"/>
    </row>
    <row r="253" spans="1:8" s="16" customFormat="1" ht="12" customHeight="1" x14ac:dyDescent="0.2">
      <c r="A253" s="54"/>
      <c r="B253" s="54"/>
      <c r="C253" s="26"/>
      <c r="D253" s="56" t="s">
        <v>44</v>
      </c>
      <c r="E253" s="62"/>
      <c r="F253" s="62"/>
      <c r="G253" s="62"/>
      <c r="H253" s="62"/>
    </row>
    <row r="254" spans="1:8" s="16" customFormat="1" ht="12" customHeight="1" x14ac:dyDescent="0.2">
      <c r="A254" s="54"/>
      <c r="B254" s="25"/>
      <c r="C254" s="26"/>
      <c r="D254" s="63" t="s">
        <v>45</v>
      </c>
      <c r="E254" s="40">
        <v>243000</v>
      </c>
      <c r="F254" s="39">
        <f t="shared" ref="F254:G254" si="45">SUM(F255)</f>
        <v>28281</v>
      </c>
      <c r="G254" s="39">
        <f t="shared" si="45"/>
        <v>0</v>
      </c>
      <c r="H254" s="40">
        <f>SUM(E254+F254-G254)</f>
        <v>271281</v>
      </c>
    </row>
    <row r="255" spans="1:8" s="16" customFormat="1" ht="12" customHeight="1" x14ac:dyDescent="0.2">
      <c r="A255" s="54"/>
      <c r="B255" s="25"/>
      <c r="C255" s="26"/>
      <c r="D255" s="154" t="s">
        <v>125</v>
      </c>
      <c r="E255" s="83">
        <v>243000</v>
      </c>
      <c r="F255" s="151">
        <f>SUM(F256)</f>
        <v>28281</v>
      </c>
      <c r="G255" s="151">
        <f>SUM(G256)</f>
        <v>0</v>
      </c>
      <c r="H255" s="83">
        <f>SUM(E255+F255-G255)</f>
        <v>271281</v>
      </c>
    </row>
    <row r="256" spans="1:8" s="16" customFormat="1" ht="12" customHeight="1" x14ac:dyDescent="0.2">
      <c r="A256" s="54"/>
      <c r="B256" s="55"/>
      <c r="C256" s="41">
        <v>4130</v>
      </c>
      <c r="D256" s="43" t="s">
        <v>145</v>
      </c>
      <c r="E256" s="61">
        <v>243000</v>
      </c>
      <c r="F256" s="62">
        <v>28281</v>
      </c>
      <c r="G256" s="62"/>
      <c r="H256" s="61">
        <f>SUM(E256+F256-G256)</f>
        <v>271281</v>
      </c>
    </row>
    <row r="257" spans="1:8" s="16" customFormat="1" ht="18" customHeight="1" thickBot="1" x14ac:dyDescent="0.25">
      <c r="A257" s="101"/>
      <c r="B257" s="25"/>
      <c r="C257" s="41"/>
      <c r="D257" s="29" t="s">
        <v>146</v>
      </c>
      <c r="E257" s="30">
        <v>18660505.710000001</v>
      </c>
      <c r="F257" s="30">
        <f>SUM(F258,F263,F274)</f>
        <v>452071</v>
      </c>
      <c r="G257" s="30">
        <f>SUM(G258,G263,G274)</f>
        <v>0</v>
      </c>
      <c r="H257" s="30">
        <f>SUM(E257+F257-G257)</f>
        <v>19112576.710000001</v>
      </c>
    </row>
    <row r="258" spans="1:8" s="16" customFormat="1" ht="18.75" customHeight="1" thickTop="1" thickBot="1" x14ac:dyDescent="0.25">
      <c r="A258" s="55">
        <v>700</v>
      </c>
      <c r="B258" s="55"/>
      <c r="C258" s="31"/>
      <c r="D258" s="33" t="s">
        <v>47</v>
      </c>
      <c r="E258" s="30">
        <v>416855.8</v>
      </c>
      <c r="F258" s="34">
        <f t="shared" ref="F258:G259" si="46">SUM(F259)</f>
        <v>3000</v>
      </c>
      <c r="G258" s="34">
        <f t="shared" si="46"/>
        <v>0</v>
      </c>
      <c r="H258" s="30">
        <f t="shared" ref="H258:H259" si="47">SUM(E258+F258-G258)</f>
        <v>419855.8</v>
      </c>
    </row>
    <row r="259" spans="1:8" s="16" customFormat="1" ht="12" customHeight="1" thickTop="1" x14ac:dyDescent="0.2">
      <c r="A259" s="55"/>
      <c r="B259" s="25">
        <v>70005</v>
      </c>
      <c r="C259" s="26"/>
      <c r="D259" s="63" t="s">
        <v>48</v>
      </c>
      <c r="E259" s="40">
        <v>416855.8</v>
      </c>
      <c r="F259" s="39">
        <f t="shared" si="46"/>
        <v>3000</v>
      </c>
      <c r="G259" s="39">
        <f t="shared" si="46"/>
        <v>0</v>
      </c>
      <c r="H259" s="40">
        <f t="shared" si="47"/>
        <v>419855.8</v>
      </c>
    </row>
    <row r="260" spans="1:8" s="16" customFormat="1" ht="12.75" customHeight="1" x14ac:dyDescent="0.2">
      <c r="A260" s="55"/>
      <c r="B260" s="25"/>
      <c r="C260" s="26"/>
      <c r="D260" s="165" t="s">
        <v>64</v>
      </c>
      <c r="E260" s="95">
        <v>262855.8</v>
      </c>
      <c r="F260" s="151">
        <f>SUM(F261:F261)</f>
        <v>3000</v>
      </c>
      <c r="G260" s="151">
        <f>SUM(G261:G261)</f>
        <v>0</v>
      </c>
      <c r="H260" s="83">
        <f>SUM(E260+F260-G260)</f>
        <v>265855.8</v>
      </c>
    </row>
    <row r="261" spans="1:8" s="16" customFormat="1" ht="12.75" customHeight="1" x14ac:dyDescent="0.2">
      <c r="A261" s="55"/>
      <c r="B261" s="25"/>
      <c r="C261" s="35">
        <v>4300</v>
      </c>
      <c r="D261" s="65" t="s">
        <v>147</v>
      </c>
      <c r="E261" s="44">
        <v>17623</v>
      </c>
      <c r="F261" s="61">
        <v>3000</v>
      </c>
      <c r="G261" s="61"/>
      <c r="H261" s="62">
        <f t="shared" ref="H261" si="48">SUM(E261+F261-G261)</f>
        <v>20623</v>
      </c>
    </row>
    <row r="262" spans="1:8" s="16" customFormat="1" ht="12.75" customHeight="1" x14ac:dyDescent="0.2">
      <c r="A262" s="55">
        <v>754</v>
      </c>
      <c r="B262" s="55"/>
      <c r="C262" s="31"/>
      <c r="D262" s="55" t="s">
        <v>148</v>
      </c>
      <c r="E262" s="61"/>
      <c r="F262" s="44"/>
      <c r="G262" s="44"/>
      <c r="H262" s="44"/>
    </row>
    <row r="263" spans="1:8" s="16" customFormat="1" ht="11.25" customHeight="1" thickBot="1" x14ac:dyDescent="0.25">
      <c r="A263" s="55"/>
      <c r="B263" s="55"/>
      <c r="C263" s="31"/>
      <c r="D263" s="55" t="s">
        <v>51</v>
      </c>
      <c r="E263" s="34">
        <v>15310486</v>
      </c>
      <c r="F263" s="30">
        <f>SUM(F264)</f>
        <v>424671</v>
      </c>
      <c r="G263" s="30">
        <f>SUM(G264)</f>
        <v>0</v>
      </c>
      <c r="H263" s="30">
        <f>SUM(E263+F263-G263)</f>
        <v>15735157</v>
      </c>
    </row>
    <row r="264" spans="1:8" s="16" customFormat="1" ht="12" customHeight="1" thickTop="1" x14ac:dyDescent="0.2">
      <c r="A264" s="55"/>
      <c r="B264" s="25">
        <v>75411</v>
      </c>
      <c r="C264" s="41"/>
      <c r="D264" s="87" t="s">
        <v>149</v>
      </c>
      <c r="E264" s="39">
        <v>15310486</v>
      </c>
      <c r="F264" s="39">
        <f>SUM(F265)</f>
        <v>424671</v>
      </c>
      <c r="G264" s="39">
        <f>SUM(G265)</f>
        <v>0</v>
      </c>
      <c r="H264" s="40">
        <f>SUM(E264+F264-G264)</f>
        <v>15735157</v>
      </c>
    </row>
    <row r="265" spans="1:8" s="16" customFormat="1" ht="12" customHeight="1" x14ac:dyDescent="0.2">
      <c r="A265" s="55"/>
      <c r="B265" s="25"/>
      <c r="C265" s="41"/>
      <c r="D265" s="153" t="s">
        <v>150</v>
      </c>
      <c r="E265" s="155">
        <v>15310486</v>
      </c>
      <c r="F265" s="155">
        <f>SUM(F266:F273)</f>
        <v>424671</v>
      </c>
      <c r="G265" s="155">
        <f>SUM(G266:G273)</f>
        <v>0</v>
      </c>
      <c r="H265" s="95">
        <f>SUM(E265+F265-G265)</f>
        <v>15735157</v>
      </c>
    </row>
    <row r="266" spans="1:8" s="16" customFormat="1" ht="12" customHeight="1" x14ac:dyDescent="0.2">
      <c r="A266" s="55"/>
      <c r="B266" s="25"/>
      <c r="C266" s="41">
        <v>4010</v>
      </c>
      <c r="D266" s="43" t="s">
        <v>14</v>
      </c>
      <c r="E266" s="61">
        <v>98189</v>
      </c>
      <c r="F266" s="61">
        <v>1000</v>
      </c>
      <c r="G266" s="61"/>
      <c r="H266" s="62">
        <f t="shared" ref="H266:H283" si="49">SUM(E266+F266-G266)</f>
        <v>99189</v>
      </c>
    </row>
    <row r="267" spans="1:8" s="16" customFormat="1" ht="12" customHeight="1" x14ac:dyDescent="0.2">
      <c r="A267" s="55"/>
      <c r="B267" s="25"/>
      <c r="C267" s="41">
        <v>4020</v>
      </c>
      <c r="D267" s="43" t="s">
        <v>151</v>
      </c>
      <c r="E267" s="61">
        <v>99300</v>
      </c>
      <c r="F267" s="61">
        <v>600</v>
      </c>
      <c r="G267" s="61"/>
      <c r="H267" s="62">
        <f t="shared" si="49"/>
        <v>99900</v>
      </c>
    </row>
    <row r="268" spans="1:8" s="16" customFormat="1" ht="12" customHeight="1" x14ac:dyDescent="0.2">
      <c r="A268" s="55"/>
      <c r="B268" s="25"/>
      <c r="C268" s="41">
        <v>4050</v>
      </c>
      <c r="D268" s="103" t="s">
        <v>152</v>
      </c>
      <c r="E268" s="61">
        <v>10524070</v>
      </c>
      <c r="F268" s="61">
        <f>278288+55100</f>
        <v>333388</v>
      </c>
      <c r="G268" s="61"/>
      <c r="H268" s="62">
        <f t="shared" si="49"/>
        <v>10857458</v>
      </c>
    </row>
    <row r="269" spans="1:8" s="16" customFormat="1" ht="21" customHeight="1" x14ac:dyDescent="0.2">
      <c r="A269" s="55"/>
      <c r="B269" s="25"/>
      <c r="C269" s="48">
        <v>4060</v>
      </c>
      <c r="D269" s="104" t="s">
        <v>153</v>
      </c>
      <c r="E269" s="61">
        <v>256616</v>
      </c>
      <c r="F269" s="61">
        <v>26663</v>
      </c>
      <c r="G269" s="61"/>
      <c r="H269" s="62">
        <f t="shared" si="49"/>
        <v>283279</v>
      </c>
    </row>
    <row r="270" spans="1:8" s="16" customFormat="1" ht="12" customHeight="1" x14ac:dyDescent="0.2">
      <c r="A270" s="98"/>
      <c r="B270" s="65"/>
      <c r="C270" s="46" t="s">
        <v>18</v>
      </c>
      <c r="D270" s="47" t="s">
        <v>19</v>
      </c>
      <c r="E270" s="61">
        <v>233323</v>
      </c>
      <c r="F270" s="61">
        <v>20000</v>
      </c>
      <c r="G270" s="61"/>
      <c r="H270" s="62">
        <f t="shared" si="49"/>
        <v>253323</v>
      </c>
    </row>
    <row r="271" spans="1:8" s="16" customFormat="1" ht="12" customHeight="1" x14ac:dyDescent="0.2">
      <c r="A271" s="98"/>
      <c r="B271" s="65"/>
      <c r="C271" s="41">
        <v>4260</v>
      </c>
      <c r="D271" s="43" t="s">
        <v>25</v>
      </c>
      <c r="E271" s="61">
        <v>195500</v>
      </c>
      <c r="F271" s="61">
        <v>20000</v>
      </c>
      <c r="G271" s="61"/>
      <c r="H271" s="62">
        <f t="shared" si="49"/>
        <v>215500</v>
      </c>
    </row>
    <row r="272" spans="1:8" s="16" customFormat="1" ht="12" customHeight="1" x14ac:dyDescent="0.2">
      <c r="A272" s="98"/>
      <c r="B272" s="65"/>
      <c r="C272" s="41">
        <v>4270</v>
      </c>
      <c r="D272" s="43" t="s">
        <v>62</v>
      </c>
      <c r="E272" s="61">
        <v>35000</v>
      </c>
      <c r="F272" s="61">
        <v>10000</v>
      </c>
      <c r="G272" s="61"/>
      <c r="H272" s="62">
        <f t="shared" si="49"/>
        <v>45000</v>
      </c>
    </row>
    <row r="273" spans="1:8" s="16" customFormat="1" ht="12" customHeight="1" x14ac:dyDescent="0.2">
      <c r="A273" s="98"/>
      <c r="B273" s="65"/>
      <c r="C273" s="41">
        <v>4300</v>
      </c>
      <c r="D273" s="43" t="s">
        <v>21</v>
      </c>
      <c r="E273" s="61">
        <v>101370</v>
      </c>
      <c r="F273" s="61">
        <v>13020</v>
      </c>
      <c r="G273" s="61"/>
      <c r="H273" s="62">
        <f t="shared" si="49"/>
        <v>114390</v>
      </c>
    </row>
    <row r="274" spans="1:8" s="16" customFormat="1" ht="12" customHeight="1" thickBot="1" x14ac:dyDescent="0.25">
      <c r="A274" s="31" t="s">
        <v>111</v>
      </c>
      <c r="B274" s="55"/>
      <c r="C274" s="31"/>
      <c r="D274" s="33" t="s">
        <v>31</v>
      </c>
      <c r="E274" s="30">
        <v>452000</v>
      </c>
      <c r="F274" s="30">
        <f>SUM(F276)</f>
        <v>24400</v>
      </c>
      <c r="G274" s="30">
        <f>SUM(G276)</f>
        <v>0</v>
      </c>
      <c r="H274" s="30">
        <f t="shared" si="49"/>
        <v>476400</v>
      </c>
    </row>
    <row r="275" spans="1:8" s="16" customFormat="1" ht="12" customHeight="1" thickTop="1" x14ac:dyDescent="0.2">
      <c r="A275" s="101"/>
      <c r="B275" s="25">
        <v>85205</v>
      </c>
      <c r="C275" s="46"/>
      <c r="D275" s="47" t="s">
        <v>154</v>
      </c>
      <c r="E275" s="69"/>
      <c r="F275" s="69"/>
      <c r="G275" s="69"/>
      <c r="H275" s="69"/>
    </row>
    <row r="276" spans="1:8" s="16" customFormat="1" ht="12" customHeight="1" x14ac:dyDescent="0.2">
      <c r="A276" s="101"/>
      <c r="B276" s="35"/>
      <c r="C276" s="46"/>
      <c r="D276" s="97" t="s">
        <v>155</v>
      </c>
      <c r="E276" s="38">
        <v>452000</v>
      </c>
      <c r="F276" s="39">
        <f>SUM(F277)</f>
        <v>24400</v>
      </c>
      <c r="G276" s="39">
        <f>SUM(G277)</f>
        <v>0</v>
      </c>
      <c r="H276" s="40">
        <f t="shared" si="49"/>
        <v>476400</v>
      </c>
    </row>
    <row r="277" spans="1:8" s="16" customFormat="1" ht="23.25" customHeight="1" x14ac:dyDescent="0.2">
      <c r="A277" s="101"/>
      <c r="B277" s="25"/>
      <c r="C277" s="26"/>
      <c r="D277" s="156" t="s">
        <v>156</v>
      </c>
      <c r="E277" s="161">
        <v>430400</v>
      </c>
      <c r="F277" s="155">
        <f>SUM(F278:F283)</f>
        <v>24400</v>
      </c>
      <c r="G277" s="155">
        <f>SUM(G278:G283)</f>
        <v>0</v>
      </c>
      <c r="H277" s="95">
        <f t="shared" si="49"/>
        <v>454800</v>
      </c>
    </row>
    <row r="278" spans="1:8" s="16" customFormat="1" ht="12" customHeight="1" x14ac:dyDescent="0.2">
      <c r="A278" s="101"/>
      <c r="B278" s="25"/>
      <c r="C278" s="41">
        <v>4010</v>
      </c>
      <c r="D278" s="43" t="s">
        <v>14</v>
      </c>
      <c r="E278" s="44">
        <v>149786</v>
      </c>
      <c r="F278" s="61">
        <v>2000</v>
      </c>
      <c r="G278" s="61"/>
      <c r="H278" s="62">
        <f t="shared" si="49"/>
        <v>151786</v>
      </c>
    </row>
    <row r="279" spans="1:8" s="16" customFormat="1" ht="12" customHeight="1" x14ac:dyDescent="0.2">
      <c r="A279" s="101"/>
      <c r="B279" s="25"/>
      <c r="C279" s="41">
        <v>4110</v>
      </c>
      <c r="D279" s="43" t="s">
        <v>15</v>
      </c>
      <c r="E279" s="44">
        <v>29279</v>
      </c>
      <c r="F279" s="61">
        <v>350</v>
      </c>
      <c r="G279" s="61"/>
      <c r="H279" s="62">
        <f t="shared" si="49"/>
        <v>29629</v>
      </c>
    </row>
    <row r="280" spans="1:8" s="16" customFormat="1" ht="12" customHeight="1" x14ac:dyDescent="0.2">
      <c r="A280" s="101"/>
      <c r="B280" s="25"/>
      <c r="C280" s="41">
        <v>4120</v>
      </c>
      <c r="D280" s="43" t="s">
        <v>106</v>
      </c>
      <c r="E280" s="44">
        <v>4137</v>
      </c>
      <c r="F280" s="61">
        <v>50</v>
      </c>
      <c r="G280" s="61"/>
      <c r="H280" s="62">
        <f t="shared" si="49"/>
        <v>4187</v>
      </c>
    </row>
    <row r="281" spans="1:8" s="16" customFormat="1" ht="12" customHeight="1" x14ac:dyDescent="0.2">
      <c r="A281" s="101"/>
      <c r="B281" s="25"/>
      <c r="C281" s="35">
        <v>4210</v>
      </c>
      <c r="D281" s="47" t="s">
        <v>19</v>
      </c>
      <c r="E281" s="44">
        <v>3650</v>
      </c>
      <c r="F281" s="61">
        <v>5000</v>
      </c>
      <c r="G281" s="61"/>
      <c r="H281" s="62">
        <f t="shared" si="49"/>
        <v>8650</v>
      </c>
    </row>
    <row r="282" spans="1:8" s="16" customFormat="1" ht="12" customHeight="1" x14ac:dyDescent="0.2">
      <c r="A282" s="101"/>
      <c r="B282" s="25"/>
      <c r="C282" s="41">
        <v>4260</v>
      </c>
      <c r="D282" s="43" t="s">
        <v>25</v>
      </c>
      <c r="E282" s="44">
        <v>14600</v>
      </c>
      <c r="F282" s="61">
        <v>5000</v>
      </c>
      <c r="G282" s="61"/>
      <c r="H282" s="62">
        <f t="shared" si="49"/>
        <v>19600</v>
      </c>
    </row>
    <row r="283" spans="1:8" s="16" customFormat="1" ht="22.5" customHeight="1" x14ac:dyDescent="0.2">
      <c r="A283" s="101"/>
      <c r="B283" s="55"/>
      <c r="C283" s="48">
        <v>4700</v>
      </c>
      <c r="D283" s="49" t="s">
        <v>22</v>
      </c>
      <c r="E283" s="61">
        <v>865</v>
      </c>
      <c r="F283" s="61">
        <v>12000</v>
      </c>
      <c r="G283" s="61"/>
      <c r="H283" s="62">
        <f t="shared" si="49"/>
        <v>12865</v>
      </c>
    </row>
    <row r="284" spans="1:8" s="16" customFormat="1" ht="3.75" customHeight="1" x14ac:dyDescent="0.2">
      <c r="A284" s="50"/>
      <c r="B284" s="50"/>
      <c r="C284" s="51"/>
      <c r="D284" s="52"/>
      <c r="E284" s="40"/>
      <c r="F284" s="40"/>
      <c r="G284" s="40"/>
      <c r="H284" s="40"/>
    </row>
    <row r="285" spans="1:8" s="16" customFormat="1" ht="12.6" customHeight="1" x14ac:dyDescent="0.2"/>
    <row r="286" spans="1:8" s="16" customFormat="1" ht="12.6" customHeight="1" x14ac:dyDescent="0.2"/>
    <row r="287" spans="1:8" s="16" customFormat="1" ht="12.6" customHeight="1" x14ac:dyDescent="0.2"/>
    <row r="288" spans="1:8" s="16" customFormat="1" ht="12.6" customHeight="1" x14ac:dyDescent="0.2"/>
    <row r="289" s="16" customFormat="1" ht="12.6" customHeight="1" x14ac:dyDescent="0.2"/>
    <row r="290" s="16" customFormat="1" ht="12.6" customHeight="1" x14ac:dyDescent="0.2"/>
    <row r="291" s="16" customFormat="1" ht="12.6" customHeight="1" x14ac:dyDescent="0.2"/>
    <row r="292" s="16" customFormat="1" ht="12.6" customHeight="1" x14ac:dyDescent="0.2"/>
    <row r="293" s="16" customFormat="1" ht="12.6" customHeight="1" x14ac:dyDescent="0.2"/>
    <row r="294" s="16" customFormat="1" ht="12.6" customHeight="1" x14ac:dyDescent="0.2"/>
    <row r="295" s="16" customFormat="1" ht="12.6" customHeight="1" x14ac:dyDescent="0.2"/>
    <row r="296" s="16" customFormat="1" ht="12.6" customHeight="1" x14ac:dyDescent="0.2"/>
    <row r="297" s="16" customFormat="1" ht="12.6" customHeight="1" x14ac:dyDescent="0.2"/>
    <row r="298" s="16" customFormat="1" ht="12.6" customHeight="1" x14ac:dyDescent="0.2"/>
    <row r="299" s="16" customFormat="1" ht="12.6" customHeight="1" x14ac:dyDescent="0.2"/>
    <row r="300" s="16" customFormat="1" ht="12.6" customHeight="1" x14ac:dyDescent="0.2"/>
    <row r="301" s="16" customFormat="1" ht="12.6" customHeight="1" x14ac:dyDescent="0.2"/>
    <row r="302" s="16" customFormat="1" ht="12.6" customHeight="1" x14ac:dyDescent="0.2"/>
    <row r="303" s="16" customFormat="1" ht="12.6" customHeight="1" x14ac:dyDescent="0.2"/>
    <row r="304" s="16" customFormat="1" ht="12.6" customHeight="1" x14ac:dyDescent="0.2"/>
    <row r="305" s="16" customFormat="1" ht="12.6" customHeight="1" x14ac:dyDescent="0.2"/>
    <row r="306" s="16" customFormat="1" ht="12.6" customHeight="1" x14ac:dyDescent="0.2"/>
    <row r="307" s="16" customFormat="1" ht="12.6" customHeight="1" x14ac:dyDescent="0.2"/>
    <row r="308" s="16" customFormat="1" ht="12.6" customHeight="1" x14ac:dyDescent="0.2"/>
    <row r="309" s="16" customFormat="1" ht="12.6" customHeight="1" x14ac:dyDescent="0.2"/>
    <row r="310" s="16" customFormat="1" ht="12.6" customHeight="1" x14ac:dyDescent="0.2"/>
    <row r="311" s="16" customFormat="1" ht="12.6" customHeight="1" x14ac:dyDescent="0.2"/>
    <row r="312" s="16" customFormat="1" ht="12.6" customHeight="1" x14ac:dyDescent="0.2"/>
    <row r="313" s="16" customFormat="1" ht="12.6" customHeight="1" x14ac:dyDescent="0.2"/>
    <row r="314" s="16" customFormat="1" ht="12.6" customHeight="1" x14ac:dyDescent="0.2"/>
    <row r="315" s="16" customFormat="1" ht="12.6" customHeight="1" x14ac:dyDescent="0.2"/>
    <row r="316" s="16" customFormat="1" ht="12.6" customHeight="1" x14ac:dyDescent="0.2"/>
    <row r="317" s="16" customFormat="1" ht="12.6" customHeight="1" x14ac:dyDescent="0.2"/>
    <row r="318" s="16" customFormat="1" ht="12.6" customHeight="1" x14ac:dyDescent="0.2"/>
    <row r="319" s="16" customFormat="1" ht="12.6" customHeight="1" x14ac:dyDescent="0.2"/>
    <row r="320" s="16" customFormat="1" ht="12.6" customHeight="1" x14ac:dyDescent="0.2"/>
    <row r="321" s="16" customFormat="1" ht="12.6" customHeight="1" x14ac:dyDescent="0.2"/>
    <row r="322" s="16" customFormat="1" ht="12.6" customHeight="1" x14ac:dyDescent="0.2"/>
    <row r="323" s="16" customFormat="1" ht="12.2" customHeight="1" x14ac:dyDescent="0.2"/>
    <row r="324" s="16" customFormat="1" ht="12.2" customHeight="1" x14ac:dyDescent="0.2"/>
    <row r="325" s="16" customFormat="1" ht="12.2" customHeight="1" x14ac:dyDescent="0.2"/>
    <row r="326" s="16" customFormat="1" ht="12.95" customHeight="1" x14ac:dyDescent="0.2"/>
    <row r="327" s="16" customFormat="1" ht="12.95" customHeight="1" x14ac:dyDescent="0.2"/>
    <row r="328" s="16" customFormat="1" ht="12.95" customHeight="1" x14ac:dyDescent="0.2"/>
    <row r="329" s="16" customFormat="1" ht="12.95" customHeight="1" x14ac:dyDescent="0.2"/>
    <row r="330" s="16" customFormat="1" ht="12.95" customHeight="1" x14ac:dyDescent="0.2"/>
    <row r="331" s="16" customFormat="1" ht="12.95" customHeight="1" x14ac:dyDescent="0.2"/>
    <row r="332" s="16" customFormat="1" ht="12.95" customHeight="1" x14ac:dyDescent="0.2"/>
    <row r="333" s="16" customFormat="1" ht="12.95" customHeight="1" x14ac:dyDescent="0.2"/>
    <row r="334" s="16" customFormat="1" ht="12.95" customHeight="1" x14ac:dyDescent="0.2"/>
    <row r="335" s="16" customFormat="1" ht="12.95" customHeight="1" x14ac:dyDescent="0.2"/>
    <row r="336" s="16" customFormat="1" ht="12.95" customHeight="1" x14ac:dyDescent="0.2"/>
    <row r="337" s="16" customFormat="1" ht="12.95" customHeight="1" x14ac:dyDescent="0.2"/>
    <row r="338" s="16" customFormat="1" ht="12.95" customHeight="1" x14ac:dyDescent="0.2"/>
    <row r="339" s="16" customFormat="1" ht="12.95" customHeight="1" x14ac:dyDescent="0.2"/>
    <row r="340" s="16" customFormat="1" ht="12.95" customHeight="1" x14ac:dyDescent="0.2"/>
    <row r="341" s="16" customFormat="1" ht="12.95" customHeight="1" x14ac:dyDescent="0.2"/>
    <row r="342" s="16" customFormat="1" ht="12.95" customHeight="1" x14ac:dyDescent="0.2"/>
    <row r="343" s="16" customFormat="1" ht="12.95" customHeight="1" x14ac:dyDescent="0.2"/>
    <row r="344" s="16" customFormat="1" ht="12.95" customHeight="1" x14ac:dyDescent="0.2"/>
    <row r="345" s="16" customFormat="1" ht="12.95" customHeight="1" x14ac:dyDescent="0.2"/>
    <row r="346" s="16" customFormat="1" ht="12.95" customHeight="1" x14ac:dyDescent="0.2"/>
    <row r="347" s="16" customFormat="1" ht="12.95" customHeight="1" x14ac:dyDescent="0.2"/>
    <row r="348" s="16" customFormat="1" ht="12.95" customHeight="1" x14ac:dyDescent="0.2"/>
    <row r="349" s="16" customFormat="1" ht="12.95" customHeight="1" x14ac:dyDescent="0.2"/>
    <row r="350" s="16" customFormat="1" ht="12.95" customHeight="1" x14ac:dyDescent="0.2"/>
    <row r="351" s="16" customFormat="1" ht="12.95" customHeight="1" x14ac:dyDescent="0.2"/>
    <row r="352" s="16" customFormat="1" ht="12.95" customHeight="1" x14ac:dyDescent="0.2"/>
    <row r="353" s="16" customFormat="1" ht="12.95" customHeight="1" x14ac:dyDescent="0.2"/>
    <row r="354" s="16" customFormat="1" ht="12.95" customHeight="1" x14ac:dyDescent="0.2"/>
    <row r="355" s="16" customFormat="1" ht="12.95" customHeight="1" x14ac:dyDescent="0.2"/>
    <row r="356" s="16" customFormat="1" ht="12.95" customHeight="1" x14ac:dyDescent="0.2"/>
    <row r="357" s="16" customFormat="1" ht="12.95" customHeight="1" x14ac:dyDescent="0.2"/>
    <row r="358" s="16" customFormat="1" ht="12.95" customHeight="1" x14ac:dyDescent="0.2"/>
    <row r="359" s="16" customFormat="1" ht="12.95" customHeight="1" x14ac:dyDescent="0.2"/>
    <row r="360" s="16" customFormat="1" ht="12.95" customHeight="1" x14ac:dyDescent="0.2"/>
    <row r="361" s="16" customFormat="1" ht="12.95" customHeight="1" x14ac:dyDescent="0.2"/>
    <row r="362" s="16" customFormat="1" ht="12.95" customHeight="1" x14ac:dyDescent="0.2"/>
    <row r="363" s="16" customFormat="1" ht="12.95" customHeight="1" x14ac:dyDescent="0.2"/>
    <row r="364" s="16" customFormat="1" ht="12.95" customHeight="1" x14ac:dyDescent="0.2"/>
    <row r="365" s="16" customFormat="1" ht="12.95" customHeight="1" x14ac:dyDescent="0.2"/>
    <row r="366" s="16" customFormat="1" ht="12.95" customHeight="1" x14ac:dyDescent="0.2"/>
    <row r="367" s="16" customFormat="1" ht="12.95" customHeight="1" x14ac:dyDescent="0.2"/>
    <row r="368" s="16" customFormat="1" ht="12.95" customHeight="1" x14ac:dyDescent="0.2"/>
    <row r="369" s="16" customFormat="1" ht="12.95" customHeight="1" x14ac:dyDescent="0.2"/>
    <row r="370" s="16" customFormat="1" ht="12.95" customHeight="1" x14ac:dyDescent="0.2"/>
    <row r="371" s="16" customFormat="1" ht="12.95" customHeight="1" x14ac:dyDescent="0.2"/>
    <row r="372" s="16" customFormat="1" ht="12.95" customHeight="1" x14ac:dyDescent="0.2"/>
    <row r="373" s="16" customFormat="1" ht="12.95" customHeight="1" x14ac:dyDescent="0.2"/>
    <row r="374" s="16" customFormat="1" ht="12.95" customHeight="1" x14ac:dyDescent="0.2"/>
    <row r="375" s="16" customFormat="1" ht="12.95" customHeight="1" x14ac:dyDescent="0.2"/>
    <row r="376" s="16" customFormat="1" ht="12.95" customHeight="1" x14ac:dyDescent="0.2"/>
    <row r="377" s="16" customFormat="1" ht="12.95" customHeight="1" x14ac:dyDescent="0.2"/>
    <row r="378" s="16" customFormat="1" ht="12.95" customHeight="1" x14ac:dyDescent="0.2"/>
    <row r="379" s="16" customFormat="1" ht="12.95" customHeight="1" x14ac:dyDescent="0.2"/>
    <row r="380" s="16" customFormat="1" ht="12.95" customHeight="1" x14ac:dyDescent="0.2"/>
    <row r="381" s="16" customFormat="1" ht="12.95" customHeight="1" x14ac:dyDescent="0.2"/>
    <row r="382" s="16" customFormat="1" ht="12.95" customHeight="1" x14ac:dyDescent="0.2"/>
    <row r="383" s="16" customFormat="1" ht="12.95" customHeight="1" x14ac:dyDescent="0.2"/>
    <row r="384" s="16" customFormat="1" ht="12.95" customHeight="1" x14ac:dyDescent="0.2"/>
    <row r="385" s="16" customFormat="1" ht="12.95" customHeight="1" x14ac:dyDescent="0.2"/>
    <row r="386" s="16" customFormat="1" ht="12.95" customHeight="1" x14ac:dyDescent="0.2"/>
    <row r="387" s="16" customFormat="1" ht="12.95" customHeight="1" x14ac:dyDescent="0.2"/>
    <row r="388" s="16" customFormat="1" ht="12.95" customHeight="1" x14ac:dyDescent="0.2"/>
    <row r="389" s="16" customFormat="1" ht="12.95" customHeight="1" x14ac:dyDescent="0.2"/>
    <row r="390" s="16" customFormat="1" ht="12.95" customHeight="1" x14ac:dyDescent="0.2"/>
    <row r="391" s="16" customFormat="1" ht="12.95" customHeight="1" x14ac:dyDescent="0.2"/>
    <row r="392" s="16" customFormat="1" ht="12.95" customHeight="1" x14ac:dyDescent="0.2"/>
    <row r="393" ht="12.95" customHeight="1" x14ac:dyDescent="0.25"/>
    <row r="394" ht="12.95" customHeight="1" x14ac:dyDescent="0.25"/>
    <row r="395" ht="12.95" customHeight="1" x14ac:dyDescent="0.25"/>
    <row r="396" ht="12.95" customHeight="1" x14ac:dyDescent="0.25"/>
    <row r="397" ht="12.95" customHeight="1" x14ac:dyDescent="0.25"/>
    <row r="398" ht="12.95" customHeight="1" x14ac:dyDescent="0.25"/>
    <row r="399" ht="12.95" customHeight="1" x14ac:dyDescent="0.25"/>
    <row r="400" ht="12.95" customHeight="1" x14ac:dyDescent="0.25"/>
    <row r="401" ht="12.95" customHeight="1" x14ac:dyDescent="0.25"/>
    <row r="402" ht="12.95" customHeight="1" x14ac:dyDescent="0.25"/>
    <row r="403" ht="12.95" customHeight="1" x14ac:dyDescent="0.25"/>
    <row r="404" ht="12.9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2" manualBreakCount="2">
    <brk id="89" max="16383" man="1"/>
    <brk id="2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E3DD-5634-4C28-987F-014FCDDCC101}">
  <dimension ref="A1:BX56"/>
  <sheetViews>
    <sheetView zoomScale="130" zoomScaleNormal="130" workbookViewId="0">
      <selection activeCell="B2" sqref="B2"/>
    </sheetView>
  </sheetViews>
  <sheetFormatPr defaultRowHeight="15" x14ac:dyDescent="0.25"/>
  <cols>
    <col min="1" max="1" width="4.85546875" style="166" customWidth="1"/>
    <col min="2" max="2" width="33.42578125" style="166" customWidth="1"/>
    <col min="3" max="3" width="8.5703125" style="166" customWidth="1"/>
    <col min="4" max="4" width="9.42578125" style="166" customWidth="1"/>
    <col min="5" max="5" width="8.140625" style="166" customWidth="1"/>
    <col min="6" max="6" width="13" style="148" customWidth="1"/>
    <col min="7" max="7" width="12.85546875" style="148" customWidth="1"/>
    <col min="8" max="76" width="9.140625" style="148"/>
    <col min="77" max="253" width="9.140625" style="166"/>
    <col min="254" max="254" width="5.28515625" style="166" customWidth="1"/>
    <col min="255" max="255" width="8" style="166" customWidth="1"/>
    <col min="256" max="256" width="5.85546875" style="166" customWidth="1"/>
    <col min="257" max="257" width="9.42578125" style="166" customWidth="1"/>
    <col min="258" max="258" width="11.28515625" style="166" customWidth="1"/>
    <col min="259" max="259" width="11" style="166" customWidth="1"/>
    <col min="260" max="260" width="13.140625" style="166" customWidth="1"/>
    <col min="261" max="261" width="11.7109375" style="166" customWidth="1"/>
    <col min="262" max="262" width="11.140625" style="166" customWidth="1"/>
    <col min="263" max="263" width="11.7109375" style="166" customWidth="1"/>
    <col min="264" max="509" width="9.140625" style="166"/>
    <col min="510" max="510" width="5.28515625" style="166" customWidth="1"/>
    <col min="511" max="511" width="8" style="166" customWidth="1"/>
    <col min="512" max="512" width="5.85546875" style="166" customWidth="1"/>
    <col min="513" max="513" width="9.42578125" style="166" customWidth="1"/>
    <col min="514" max="514" width="11.28515625" style="166" customWidth="1"/>
    <col min="515" max="515" width="11" style="166" customWidth="1"/>
    <col min="516" max="516" width="13.140625" style="166" customWidth="1"/>
    <col min="517" max="517" width="11.7109375" style="166" customWidth="1"/>
    <col min="518" max="518" width="11.140625" style="166" customWidth="1"/>
    <col min="519" max="519" width="11.7109375" style="166" customWidth="1"/>
    <col min="520" max="765" width="9.140625" style="166"/>
    <col min="766" max="766" width="5.28515625" style="166" customWidth="1"/>
    <col min="767" max="767" width="8" style="166" customWidth="1"/>
    <col min="768" max="768" width="5.85546875" style="166" customWidth="1"/>
    <col min="769" max="769" width="9.42578125" style="166" customWidth="1"/>
    <col min="770" max="770" width="11.28515625" style="166" customWidth="1"/>
    <col min="771" max="771" width="11" style="166" customWidth="1"/>
    <col min="772" max="772" width="13.140625" style="166" customWidth="1"/>
    <col min="773" max="773" width="11.7109375" style="166" customWidth="1"/>
    <col min="774" max="774" width="11.140625" style="166" customWidth="1"/>
    <col min="775" max="775" width="11.7109375" style="166" customWidth="1"/>
    <col min="776" max="1021" width="9.140625" style="166"/>
    <col min="1022" max="1022" width="5.28515625" style="166" customWidth="1"/>
    <col min="1023" max="1023" width="8" style="166" customWidth="1"/>
    <col min="1024" max="1024" width="5.85546875" style="166" customWidth="1"/>
    <col min="1025" max="1025" width="9.42578125" style="166" customWidth="1"/>
    <col min="1026" max="1026" width="11.28515625" style="166" customWidth="1"/>
    <col min="1027" max="1027" width="11" style="166" customWidth="1"/>
    <col min="1028" max="1028" width="13.140625" style="166" customWidth="1"/>
    <col min="1029" max="1029" width="11.7109375" style="166" customWidth="1"/>
    <col min="1030" max="1030" width="11.140625" style="166" customWidth="1"/>
    <col min="1031" max="1031" width="11.7109375" style="166" customWidth="1"/>
    <col min="1032" max="1277" width="9.140625" style="166"/>
    <col min="1278" max="1278" width="5.28515625" style="166" customWidth="1"/>
    <col min="1279" max="1279" width="8" style="166" customWidth="1"/>
    <col min="1280" max="1280" width="5.85546875" style="166" customWidth="1"/>
    <col min="1281" max="1281" width="9.42578125" style="166" customWidth="1"/>
    <col min="1282" max="1282" width="11.28515625" style="166" customWidth="1"/>
    <col min="1283" max="1283" width="11" style="166" customWidth="1"/>
    <col min="1284" max="1284" width="13.140625" style="166" customWidth="1"/>
    <col min="1285" max="1285" width="11.7109375" style="166" customWidth="1"/>
    <col min="1286" max="1286" width="11.140625" style="166" customWidth="1"/>
    <col min="1287" max="1287" width="11.7109375" style="166" customWidth="1"/>
    <col min="1288" max="1533" width="9.140625" style="166"/>
    <col min="1534" max="1534" width="5.28515625" style="166" customWidth="1"/>
    <col min="1535" max="1535" width="8" style="166" customWidth="1"/>
    <col min="1536" max="1536" width="5.85546875" style="166" customWidth="1"/>
    <col min="1537" max="1537" width="9.42578125" style="166" customWidth="1"/>
    <col min="1538" max="1538" width="11.28515625" style="166" customWidth="1"/>
    <col min="1539" max="1539" width="11" style="166" customWidth="1"/>
    <col min="1540" max="1540" width="13.140625" style="166" customWidth="1"/>
    <col min="1541" max="1541" width="11.7109375" style="166" customWidth="1"/>
    <col min="1542" max="1542" width="11.140625" style="166" customWidth="1"/>
    <col min="1543" max="1543" width="11.7109375" style="166" customWidth="1"/>
    <col min="1544" max="1789" width="9.140625" style="166"/>
    <col min="1790" max="1790" width="5.28515625" style="166" customWidth="1"/>
    <col min="1791" max="1791" width="8" style="166" customWidth="1"/>
    <col min="1792" max="1792" width="5.85546875" style="166" customWidth="1"/>
    <col min="1793" max="1793" width="9.42578125" style="166" customWidth="1"/>
    <col min="1794" max="1794" width="11.28515625" style="166" customWidth="1"/>
    <col min="1795" max="1795" width="11" style="166" customWidth="1"/>
    <col min="1796" max="1796" width="13.140625" style="166" customWidth="1"/>
    <col min="1797" max="1797" width="11.7109375" style="166" customWidth="1"/>
    <col min="1798" max="1798" width="11.140625" style="166" customWidth="1"/>
    <col min="1799" max="1799" width="11.7109375" style="166" customWidth="1"/>
    <col min="1800" max="2045" width="9.140625" style="166"/>
    <col min="2046" max="2046" width="5.28515625" style="166" customWidth="1"/>
    <col min="2047" max="2047" width="8" style="166" customWidth="1"/>
    <col min="2048" max="2048" width="5.85546875" style="166" customWidth="1"/>
    <col min="2049" max="2049" width="9.42578125" style="166" customWidth="1"/>
    <col min="2050" max="2050" width="11.28515625" style="166" customWidth="1"/>
    <col min="2051" max="2051" width="11" style="166" customWidth="1"/>
    <col min="2052" max="2052" width="13.140625" style="166" customWidth="1"/>
    <col min="2053" max="2053" width="11.7109375" style="166" customWidth="1"/>
    <col min="2054" max="2054" width="11.140625" style="166" customWidth="1"/>
    <col min="2055" max="2055" width="11.7109375" style="166" customWidth="1"/>
    <col min="2056" max="2301" width="9.140625" style="166"/>
    <col min="2302" max="2302" width="5.28515625" style="166" customWidth="1"/>
    <col min="2303" max="2303" width="8" style="166" customWidth="1"/>
    <col min="2304" max="2304" width="5.85546875" style="166" customWidth="1"/>
    <col min="2305" max="2305" width="9.42578125" style="166" customWidth="1"/>
    <col min="2306" max="2306" width="11.28515625" style="166" customWidth="1"/>
    <col min="2307" max="2307" width="11" style="166" customWidth="1"/>
    <col min="2308" max="2308" width="13.140625" style="166" customWidth="1"/>
    <col min="2309" max="2309" width="11.7109375" style="166" customWidth="1"/>
    <col min="2310" max="2310" width="11.140625" style="166" customWidth="1"/>
    <col min="2311" max="2311" width="11.7109375" style="166" customWidth="1"/>
    <col min="2312" max="2557" width="9.140625" style="166"/>
    <col min="2558" max="2558" width="5.28515625" style="166" customWidth="1"/>
    <col min="2559" max="2559" width="8" style="166" customWidth="1"/>
    <col min="2560" max="2560" width="5.85546875" style="166" customWidth="1"/>
    <col min="2561" max="2561" width="9.42578125" style="166" customWidth="1"/>
    <col min="2562" max="2562" width="11.28515625" style="166" customWidth="1"/>
    <col min="2563" max="2563" width="11" style="166" customWidth="1"/>
    <col min="2564" max="2564" width="13.140625" style="166" customWidth="1"/>
    <col min="2565" max="2565" width="11.7109375" style="166" customWidth="1"/>
    <col min="2566" max="2566" width="11.140625" style="166" customWidth="1"/>
    <col min="2567" max="2567" width="11.7109375" style="166" customWidth="1"/>
    <col min="2568" max="2813" width="9.140625" style="166"/>
    <col min="2814" max="2814" width="5.28515625" style="166" customWidth="1"/>
    <col min="2815" max="2815" width="8" style="166" customWidth="1"/>
    <col min="2816" max="2816" width="5.85546875" style="166" customWidth="1"/>
    <col min="2817" max="2817" width="9.42578125" style="166" customWidth="1"/>
    <col min="2818" max="2818" width="11.28515625" style="166" customWidth="1"/>
    <col min="2819" max="2819" width="11" style="166" customWidth="1"/>
    <col min="2820" max="2820" width="13.140625" style="166" customWidth="1"/>
    <col min="2821" max="2821" width="11.7109375" style="166" customWidth="1"/>
    <col min="2822" max="2822" width="11.140625" style="166" customWidth="1"/>
    <col min="2823" max="2823" width="11.7109375" style="166" customWidth="1"/>
    <col min="2824" max="3069" width="9.140625" style="166"/>
    <col min="3070" max="3070" width="5.28515625" style="166" customWidth="1"/>
    <col min="3071" max="3071" width="8" style="166" customWidth="1"/>
    <col min="3072" max="3072" width="5.85546875" style="166" customWidth="1"/>
    <col min="3073" max="3073" width="9.42578125" style="166" customWidth="1"/>
    <col min="3074" max="3074" width="11.28515625" style="166" customWidth="1"/>
    <col min="3075" max="3075" width="11" style="166" customWidth="1"/>
    <col min="3076" max="3076" width="13.140625" style="166" customWidth="1"/>
    <col min="3077" max="3077" width="11.7109375" style="166" customWidth="1"/>
    <col min="3078" max="3078" width="11.140625" style="166" customWidth="1"/>
    <col min="3079" max="3079" width="11.7109375" style="166" customWidth="1"/>
    <col min="3080" max="3325" width="9.140625" style="166"/>
    <col min="3326" max="3326" width="5.28515625" style="166" customWidth="1"/>
    <col min="3327" max="3327" width="8" style="166" customWidth="1"/>
    <col min="3328" max="3328" width="5.85546875" style="166" customWidth="1"/>
    <col min="3329" max="3329" width="9.42578125" style="166" customWidth="1"/>
    <col min="3330" max="3330" width="11.28515625" style="166" customWidth="1"/>
    <col min="3331" max="3331" width="11" style="166" customWidth="1"/>
    <col min="3332" max="3332" width="13.140625" style="166" customWidth="1"/>
    <col min="3333" max="3333" width="11.7109375" style="166" customWidth="1"/>
    <col min="3334" max="3334" width="11.140625" style="166" customWidth="1"/>
    <col min="3335" max="3335" width="11.7109375" style="166" customWidth="1"/>
    <col min="3336" max="3581" width="9.140625" style="166"/>
    <col min="3582" max="3582" width="5.28515625" style="166" customWidth="1"/>
    <col min="3583" max="3583" width="8" style="166" customWidth="1"/>
    <col min="3584" max="3584" width="5.85546875" style="166" customWidth="1"/>
    <col min="3585" max="3585" width="9.42578125" style="166" customWidth="1"/>
    <col min="3586" max="3586" width="11.28515625" style="166" customWidth="1"/>
    <col min="3587" max="3587" width="11" style="166" customWidth="1"/>
    <col min="3588" max="3588" width="13.140625" style="166" customWidth="1"/>
    <col min="3589" max="3589" width="11.7109375" style="166" customWidth="1"/>
    <col min="3590" max="3590" width="11.140625" style="166" customWidth="1"/>
    <col min="3591" max="3591" width="11.7109375" style="166" customWidth="1"/>
    <col min="3592" max="3837" width="9.140625" style="166"/>
    <col min="3838" max="3838" width="5.28515625" style="166" customWidth="1"/>
    <col min="3839" max="3839" width="8" style="166" customWidth="1"/>
    <col min="3840" max="3840" width="5.85546875" style="166" customWidth="1"/>
    <col min="3841" max="3841" width="9.42578125" style="166" customWidth="1"/>
    <col min="3842" max="3842" width="11.28515625" style="166" customWidth="1"/>
    <col min="3843" max="3843" width="11" style="166" customWidth="1"/>
    <col min="3844" max="3844" width="13.140625" style="166" customWidth="1"/>
    <col min="3845" max="3845" width="11.7109375" style="166" customWidth="1"/>
    <col min="3846" max="3846" width="11.140625" style="166" customWidth="1"/>
    <col min="3847" max="3847" width="11.7109375" style="166" customWidth="1"/>
    <col min="3848" max="4093" width="9.140625" style="166"/>
    <col min="4094" max="4094" width="5.28515625" style="166" customWidth="1"/>
    <col min="4095" max="4095" width="8" style="166" customWidth="1"/>
    <col min="4096" max="4096" width="5.85546875" style="166" customWidth="1"/>
    <col min="4097" max="4097" width="9.42578125" style="166" customWidth="1"/>
    <col min="4098" max="4098" width="11.28515625" style="166" customWidth="1"/>
    <col min="4099" max="4099" width="11" style="166" customWidth="1"/>
    <col min="4100" max="4100" width="13.140625" style="166" customWidth="1"/>
    <col min="4101" max="4101" width="11.7109375" style="166" customWidth="1"/>
    <col min="4102" max="4102" width="11.140625" style="166" customWidth="1"/>
    <col min="4103" max="4103" width="11.7109375" style="166" customWidth="1"/>
    <col min="4104" max="4349" width="9.140625" style="166"/>
    <col min="4350" max="4350" width="5.28515625" style="166" customWidth="1"/>
    <col min="4351" max="4351" width="8" style="166" customWidth="1"/>
    <col min="4352" max="4352" width="5.85546875" style="166" customWidth="1"/>
    <col min="4353" max="4353" width="9.42578125" style="166" customWidth="1"/>
    <col min="4354" max="4354" width="11.28515625" style="166" customWidth="1"/>
    <col min="4355" max="4355" width="11" style="166" customWidth="1"/>
    <col min="4356" max="4356" width="13.140625" style="166" customWidth="1"/>
    <col min="4357" max="4357" width="11.7109375" style="166" customWidth="1"/>
    <col min="4358" max="4358" width="11.140625" style="166" customWidth="1"/>
    <col min="4359" max="4359" width="11.7109375" style="166" customWidth="1"/>
    <col min="4360" max="4605" width="9.140625" style="166"/>
    <col min="4606" max="4606" width="5.28515625" style="166" customWidth="1"/>
    <col min="4607" max="4607" width="8" style="166" customWidth="1"/>
    <col min="4608" max="4608" width="5.85546875" style="166" customWidth="1"/>
    <col min="4609" max="4609" width="9.42578125" style="166" customWidth="1"/>
    <col min="4610" max="4610" width="11.28515625" style="166" customWidth="1"/>
    <col min="4611" max="4611" width="11" style="166" customWidth="1"/>
    <col min="4612" max="4612" width="13.140625" style="166" customWidth="1"/>
    <col min="4613" max="4613" width="11.7109375" style="166" customWidth="1"/>
    <col min="4614" max="4614" width="11.140625" style="166" customWidth="1"/>
    <col min="4615" max="4615" width="11.7109375" style="166" customWidth="1"/>
    <col min="4616" max="4861" width="9.140625" style="166"/>
    <col min="4862" max="4862" width="5.28515625" style="166" customWidth="1"/>
    <col min="4863" max="4863" width="8" style="166" customWidth="1"/>
    <col min="4864" max="4864" width="5.85546875" style="166" customWidth="1"/>
    <col min="4865" max="4865" width="9.42578125" style="166" customWidth="1"/>
    <col min="4866" max="4866" width="11.28515625" style="166" customWidth="1"/>
    <col min="4867" max="4867" width="11" style="166" customWidth="1"/>
    <col min="4868" max="4868" width="13.140625" style="166" customWidth="1"/>
    <col min="4869" max="4869" width="11.7109375" style="166" customWidth="1"/>
    <col min="4870" max="4870" width="11.140625" style="166" customWidth="1"/>
    <col min="4871" max="4871" width="11.7109375" style="166" customWidth="1"/>
    <col min="4872" max="5117" width="9.140625" style="166"/>
    <col min="5118" max="5118" width="5.28515625" style="166" customWidth="1"/>
    <col min="5119" max="5119" width="8" style="166" customWidth="1"/>
    <col min="5120" max="5120" width="5.85546875" style="166" customWidth="1"/>
    <col min="5121" max="5121" width="9.42578125" style="166" customWidth="1"/>
    <col min="5122" max="5122" width="11.28515625" style="166" customWidth="1"/>
    <col min="5123" max="5123" width="11" style="166" customWidth="1"/>
    <col min="5124" max="5124" width="13.140625" style="166" customWidth="1"/>
    <col min="5125" max="5125" width="11.7109375" style="166" customWidth="1"/>
    <col min="5126" max="5126" width="11.140625" style="166" customWidth="1"/>
    <col min="5127" max="5127" width="11.7109375" style="166" customWidth="1"/>
    <col min="5128" max="5373" width="9.140625" style="166"/>
    <col min="5374" max="5374" width="5.28515625" style="166" customWidth="1"/>
    <col min="5375" max="5375" width="8" style="166" customWidth="1"/>
    <col min="5376" max="5376" width="5.85546875" style="166" customWidth="1"/>
    <col min="5377" max="5377" width="9.42578125" style="166" customWidth="1"/>
    <col min="5378" max="5378" width="11.28515625" style="166" customWidth="1"/>
    <col min="5379" max="5379" width="11" style="166" customWidth="1"/>
    <col min="5380" max="5380" width="13.140625" style="166" customWidth="1"/>
    <col min="5381" max="5381" width="11.7109375" style="166" customWidth="1"/>
    <col min="5382" max="5382" width="11.140625" style="166" customWidth="1"/>
    <col min="5383" max="5383" width="11.7109375" style="166" customWidth="1"/>
    <col min="5384" max="5629" width="9.140625" style="166"/>
    <col min="5630" max="5630" width="5.28515625" style="166" customWidth="1"/>
    <col min="5631" max="5631" width="8" style="166" customWidth="1"/>
    <col min="5632" max="5632" width="5.85546875" style="166" customWidth="1"/>
    <col min="5633" max="5633" width="9.42578125" style="166" customWidth="1"/>
    <col min="5634" max="5634" width="11.28515625" style="166" customWidth="1"/>
    <col min="5635" max="5635" width="11" style="166" customWidth="1"/>
    <col min="5636" max="5636" width="13.140625" style="166" customWidth="1"/>
    <col min="5637" max="5637" width="11.7109375" style="166" customWidth="1"/>
    <col min="5638" max="5638" width="11.140625" style="166" customWidth="1"/>
    <col min="5639" max="5639" width="11.7109375" style="166" customWidth="1"/>
    <col min="5640" max="5885" width="9.140625" style="166"/>
    <col min="5886" max="5886" width="5.28515625" style="166" customWidth="1"/>
    <col min="5887" max="5887" width="8" style="166" customWidth="1"/>
    <col min="5888" max="5888" width="5.85546875" style="166" customWidth="1"/>
    <col min="5889" max="5889" width="9.42578125" style="166" customWidth="1"/>
    <col min="5890" max="5890" width="11.28515625" style="166" customWidth="1"/>
    <col min="5891" max="5891" width="11" style="166" customWidth="1"/>
    <col min="5892" max="5892" width="13.140625" style="166" customWidth="1"/>
    <col min="5893" max="5893" width="11.7109375" style="166" customWidth="1"/>
    <col min="5894" max="5894" width="11.140625" style="166" customWidth="1"/>
    <col min="5895" max="5895" width="11.7109375" style="166" customWidth="1"/>
    <col min="5896" max="6141" width="9.140625" style="166"/>
    <col min="6142" max="6142" width="5.28515625" style="166" customWidth="1"/>
    <col min="6143" max="6143" width="8" style="166" customWidth="1"/>
    <col min="6144" max="6144" width="5.85546875" style="166" customWidth="1"/>
    <col min="6145" max="6145" width="9.42578125" style="166" customWidth="1"/>
    <col min="6146" max="6146" width="11.28515625" style="166" customWidth="1"/>
    <col min="6147" max="6147" width="11" style="166" customWidth="1"/>
    <col min="6148" max="6148" width="13.140625" style="166" customWidth="1"/>
    <col min="6149" max="6149" width="11.7109375" style="166" customWidth="1"/>
    <col min="6150" max="6150" width="11.140625" style="166" customWidth="1"/>
    <col min="6151" max="6151" width="11.7109375" style="166" customWidth="1"/>
    <col min="6152" max="6397" width="9.140625" style="166"/>
    <col min="6398" max="6398" width="5.28515625" style="166" customWidth="1"/>
    <col min="6399" max="6399" width="8" style="166" customWidth="1"/>
    <col min="6400" max="6400" width="5.85546875" style="166" customWidth="1"/>
    <col min="6401" max="6401" width="9.42578125" style="166" customWidth="1"/>
    <col min="6402" max="6402" width="11.28515625" style="166" customWidth="1"/>
    <col min="6403" max="6403" width="11" style="166" customWidth="1"/>
    <col min="6404" max="6404" width="13.140625" style="166" customWidth="1"/>
    <col min="6405" max="6405" width="11.7109375" style="166" customWidth="1"/>
    <col min="6406" max="6406" width="11.140625" style="166" customWidth="1"/>
    <col min="6407" max="6407" width="11.7109375" style="166" customWidth="1"/>
    <col min="6408" max="6653" width="9.140625" style="166"/>
    <col min="6654" max="6654" width="5.28515625" style="166" customWidth="1"/>
    <col min="6655" max="6655" width="8" style="166" customWidth="1"/>
    <col min="6656" max="6656" width="5.85546875" style="166" customWidth="1"/>
    <col min="6657" max="6657" width="9.42578125" style="166" customWidth="1"/>
    <col min="6658" max="6658" width="11.28515625" style="166" customWidth="1"/>
    <col min="6659" max="6659" width="11" style="166" customWidth="1"/>
    <col min="6660" max="6660" width="13.140625" style="166" customWidth="1"/>
    <col min="6661" max="6661" width="11.7109375" style="166" customWidth="1"/>
    <col min="6662" max="6662" width="11.140625" style="166" customWidth="1"/>
    <col min="6663" max="6663" width="11.7109375" style="166" customWidth="1"/>
    <col min="6664" max="6909" width="9.140625" style="166"/>
    <col min="6910" max="6910" width="5.28515625" style="166" customWidth="1"/>
    <col min="6911" max="6911" width="8" style="166" customWidth="1"/>
    <col min="6912" max="6912" width="5.85546875" style="166" customWidth="1"/>
    <col min="6913" max="6913" width="9.42578125" style="166" customWidth="1"/>
    <col min="6914" max="6914" width="11.28515625" style="166" customWidth="1"/>
    <col min="6915" max="6915" width="11" style="166" customWidth="1"/>
    <col min="6916" max="6916" width="13.140625" style="166" customWidth="1"/>
    <col min="6917" max="6917" width="11.7109375" style="166" customWidth="1"/>
    <col min="6918" max="6918" width="11.140625" style="166" customWidth="1"/>
    <col min="6919" max="6919" width="11.7109375" style="166" customWidth="1"/>
    <col min="6920" max="7165" width="9.140625" style="166"/>
    <col min="7166" max="7166" width="5.28515625" style="166" customWidth="1"/>
    <col min="7167" max="7167" width="8" style="166" customWidth="1"/>
    <col min="7168" max="7168" width="5.85546875" style="166" customWidth="1"/>
    <col min="7169" max="7169" width="9.42578125" style="166" customWidth="1"/>
    <col min="7170" max="7170" width="11.28515625" style="166" customWidth="1"/>
    <col min="7171" max="7171" width="11" style="166" customWidth="1"/>
    <col min="7172" max="7172" width="13.140625" style="166" customWidth="1"/>
    <col min="7173" max="7173" width="11.7109375" style="166" customWidth="1"/>
    <col min="7174" max="7174" width="11.140625" style="166" customWidth="1"/>
    <col min="7175" max="7175" width="11.7109375" style="166" customWidth="1"/>
    <col min="7176" max="7421" width="9.140625" style="166"/>
    <col min="7422" max="7422" width="5.28515625" style="166" customWidth="1"/>
    <col min="7423" max="7423" width="8" style="166" customWidth="1"/>
    <col min="7424" max="7424" width="5.85546875" style="166" customWidth="1"/>
    <col min="7425" max="7425" width="9.42578125" style="166" customWidth="1"/>
    <col min="7426" max="7426" width="11.28515625" style="166" customWidth="1"/>
    <col min="7427" max="7427" width="11" style="166" customWidth="1"/>
    <col min="7428" max="7428" width="13.140625" style="166" customWidth="1"/>
    <col min="7429" max="7429" width="11.7109375" style="166" customWidth="1"/>
    <col min="7430" max="7430" width="11.140625" style="166" customWidth="1"/>
    <col min="7431" max="7431" width="11.7109375" style="166" customWidth="1"/>
    <col min="7432" max="7677" width="9.140625" style="166"/>
    <col min="7678" max="7678" width="5.28515625" style="166" customWidth="1"/>
    <col min="7679" max="7679" width="8" style="166" customWidth="1"/>
    <col min="7680" max="7680" width="5.85546875" style="166" customWidth="1"/>
    <col min="7681" max="7681" width="9.42578125" style="166" customWidth="1"/>
    <col min="7682" max="7682" width="11.28515625" style="166" customWidth="1"/>
    <col min="7683" max="7683" width="11" style="166" customWidth="1"/>
    <col min="7684" max="7684" width="13.140625" style="166" customWidth="1"/>
    <col min="7685" max="7685" width="11.7109375" style="166" customWidth="1"/>
    <col min="7686" max="7686" width="11.140625" style="166" customWidth="1"/>
    <col min="7687" max="7687" width="11.7109375" style="166" customWidth="1"/>
    <col min="7688" max="7933" width="9.140625" style="166"/>
    <col min="7934" max="7934" width="5.28515625" style="166" customWidth="1"/>
    <col min="7935" max="7935" width="8" style="166" customWidth="1"/>
    <col min="7936" max="7936" width="5.85546875" style="166" customWidth="1"/>
    <col min="7937" max="7937" width="9.42578125" style="166" customWidth="1"/>
    <col min="7938" max="7938" width="11.28515625" style="166" customWidth="1"/>
    <col min="7939" max="7939" width="11" style="166" customWidth="1"/>
    <col min="7940" max="7940" width="13.140625" style="166" customWidth="1"/>
    <col min="7941" max="7941" width="11.7109375" style="166" customWidth="1"/>
    <col min="7942" max="7942" width="11.140625" style="166" customWidth="1"/>
    <col min="7943" max="7943" width="11.7109375" style="166" customWidth="1"/>
    <col min="7944" max="8189" width="9.140625" style="166"/>
    <col min="8190" max="8190" width="5.28515625" style="166" customWidth="1"/>
    <col min="8191" max="8191" width="8" style="166" customWidth="1"/>
    <col min="8192" max="8192" width="5.85546875" style="166" customWidth="1"/>
    <col min="8193" max="8193" width="9.42578125" style="166" customWidth="1"/>
    <col min="8194" max="8194" width="11.28515625" style="166" customWidth="1"/>
    <col min="8195" max="8195" width="11" style="166" customWidth="1"/>
    <col min="8196" max="8196" width="13.140625" style="166" customWidth="1"/>
    <col min="8197" max="8197" width="11.7109375" style="166" customWidth="1"/>
    <col min="8198" max="8198" width="11.140625" style="166" customWidth="1"/>
    <col min="8199" max="8199" width="11.7109375" style="166" customWidth="1"/>
    <col min="8200" max="8445" width="9.140625" style="166"/>
    <col min="8446" max="8446" width="5.28515625" style="166" customWidth="1"/>
    <col min="8447" max="8447" width="8" style="166" customWidth="1"/>
    <col min="8448" max="8448" width="5.85546875" style="166" customWidth="1"/>
    <col min="8449" max="8449" width="9.42578125" style="166" customWidth="1"/>
    <col min="8450" max="8450" width="11.28515625" style="166" customWidth="1"/>
    <col min="8451" max="8451" width="11" style="166" customWidth="1"/>
    <col min="8452" max="8452" width="13.140625" style="166" customWidth="1"/>
    <col min="8453" max="8453" width="11.7109375" style="166" customWidth="1"/>
    <col min="8454" max="8454" width="11.140625" style="166" customWidth="1"/>
    <col min="8455" max="8455" width="11.7109375" style="166" customWidth="1"/>
    <col min="8456" max="8701" width="9.140625" style="166"/>
    <col min="8702" max="8702" width="5.28515625" style="166" customWidth="1"/>
    <col min="8703" max="8703" width="8" style="166" customWidth="1"/>
    <col min="8704" max="8704" width="5.85546875" style="166" customWidth="1"/>
    <col min="8705" max="8705" width="9.42578125" style="166" customWidth="1"/>
    <col min="8706" max="8706" width="11.28515625" style="166" customWidth="1"/>
    <col min="8707" max="8707" width="11" style="166" customWidth="1"/>
    <col min="8708" max="8708" width="13.140625" style="166" customWidth="1"/>
    <col min="8709" max="8709" width="11.7109375" style="166" customWidth="1"/>
    <col min="8710" max="8710" width="11.140625" style="166" customWidth="1"/>
    <col min="8711" max="8711" width="11.7109375" style="166" customWidth="1"/>
    <col min="8712" max="8957" width="9.140625" style="166"/>
    <col min="8958" max="8958" width="5.28515625" style="166" customWidth="1"/>
    <col min="8959" max="8959" width="8" style="166" customWidth="1"/>
    <col min="8960" max="8960" width="5.85546875" style="166" customWidth="1"/>
    <col min="8961" max="8961" width="9.42578125" style="166" customWidth="1"/>
    <col min="8962" max="8962" width="11.28515625" style="166" customWidth="1"/>
    <col min="8963" max="8963" width="11" style="166" customWidth="1"/>
    <col min="8964" max="8964" width="13.140625" style="166" customWidth="1"/>
    <col min="8965" max="8965" width="11.7109375" style="166" customWidth="1"/>
    <col min="8966" max="8966" width="11.140625" style="166" customWidth="1"/>
    <col min="8967" max="8967" width="11.7109375" style="166" customWidth="1"/>
    <col min="8968" max="9213" width="9.140625" style="166"/>
    <col min="9214" max="9214" width="5.28515625" style="166" customWidth="1"/>
    <col min="9215" max="9215" width="8" style="166" customWidth="1"/>
    <col min="9216" max="9216" width="5.85546875" style="166" customWidth="1"/>
    <col min="9217" max="9217" width="9.42578125" style="166" customWidth="1"/>
    <col min="9218" max="9218" width="11.28515625" style="166" customWidth="1"/>
    <col min="9219" max="9219" width="11" style="166" customWidth="1"/>
    <col min="9220" max="9220" width="13.140625" style="166" customWidth="1"/>
    <col min="9221" max="9221" width="11.7109375" style="166" customWidth="1"/>
    <col min="9222" max="9222" width="11.140625" style="166" customWidth="1"/>
    <col min="9223" max="9223" width="11.7109375" style="166" customWidth="1"/>
    <col min="9224" max="9469" width="9.140625" style="166"/>
    <col min="9470" max="9470" width="5.28515625" style="166" customWidth="1"/>
    <col min="9471" max="9471" width="8" style="166" customWidth="1"/>
    <col min="9472" max="9472" width="5.85546875" style="166" customWidth="1"/>
    <col min="9473" max="9473" width="9.42578125" style="166" customWidth="1"/>
    <col min="9474" max="9474" width="11.28515625" style="166" customWidth="1"/>
    <col min="9475" max="9475" width="11" style="166" customWidth="1"/>
    <col min="9476" max="9476" width="13.140625" style="166" customWidth="1"/>
    <col min="9477" max="9477" width="11.7109375" style="166" customWidth="1"/>
    <col min="9478" max="9478" width="11.140625" style="166" customWidth="1"/>
    <col min="9479" max="9479" width="11.7109375" style="166" customWidth="1"/>
    <col min="9480" max="9725" width="9.140625" style="166"/>
    <col min="9726" max="9726" width="5.28515625" style="166" customWidth="1"/>
    <col min="9727" max="9727" width="8" style="166" customWidth="1"/>
    <col min="9728" max="9728" width="5.85546875" style="166" customWidth="1"/>
    <col min="9729" max="9729" width="9.42578125" style="166" customWidth="1"/>
    <col min="9730" max="9730" width="11.28515625" style="166" customWidth="1"/>
    <col min="9731" max="9731" width="11" style="166" customWidth="1"/>
    <col min="9732" max="9732" width="13.140625" style="166" customWidth="1"/>
    <col min="9733" max="9733" width="11.7109375" style="166" customWidth="1"/>
    <col min="9734" max="9734" width="11.140625" style="166" customWidth="1"/>
    <col min="9735" max="9735" width="11.7109375" style="166" customWidth="1"/>
    <col min="9736" max="9981" width="9.140625" style="166"/>
    <col min="9982" max="9982" width="5.28515625" style="166" customWidth="1"/>
    <col min="9983" max="9983" width="8" style="166" customWidth="1"/>
    <col min="9984" max="9984" width="5.85546875" style="166" customWidth="1"/>
    <col min="9985" max="9985" width="9.42578125" style="166" customWidth="1"/>
    <col min="9986" max="9986" width="11.28515625" style="166" customWidth="1"/>
    <col min="9987" max="9987" width="11" style="166" customWidth="1"/>
    <col min="9988" max="9988" width="13.140625" style="166" customWidth="1"/>
    <col min="9989" max="9989" width="11.7109375" style="166" customWidth="1"/>
    <col min="9990" max="9990" width="11.140625" style="166" customWidth="1"/>
    <col min="9991" max="9991" width="11.7109375" style="166" customWidth="1"/>
    <col min="9992" max="10237" width="9.140625" style="166"/>
    <col min="10238" max="10238" width="5.28515625" style="166" customWidth="1"/>
    <col min="10239" max="10239" width="8" style="166" customWidth="1"/>
    <col min="10240" max="10240" width="5.85546875" style="166" customWidth="1"/>
    <col min="10241" max="10241" width="9.42578125" style="166" customWidth="1"/>
    <col min="10242" max="10242" width="11.28515625" style="166" customWidth="1"/>
    <col min="10243" max="10243" width="11" style="166" customWidth="1"/>
    <col min="10244" max="10244" width="13.140625" style="166" customWidth="1"/>
    <col min="10245" max="10245" width="11.7109375" style="166" customWidth="1"/>
    <col min="10246" max="10246" width="11.140625" style="166" customWidth="1"/>
    <col min="10247" max="10247" width="11.7109375" style="166" customWidth="1"/>
    <col min="10248" max="10493" width="9.140625" style="166"/>
    <col min="10494" max="10494" width="5.28515625" style="166" customWidth="1"/>
    <col min="10495" max="10495" width="8" style="166" customWidth="1"/>
    <col min="10496" max="10496" width="5.85546875" style="166" customWidth="1"/>
    <col min="10497" max="10497" width="9.42578125" style="166" customWidth="1"/>
    <col min="10498" max="10498" width="11.28515625" style="166" customWidth="1"/>
    <col min="10499" max="10499" width="11" style="166" customWidth="1"/>
    <col min="10500" max="10500" width="13.140625" style="166" customWidth="1"/>
    <col min="10501" max="10501" width="11.7109375" style="166" customWidth="1"/>
    <col min="10502" max="10502" width="11.140625" style="166" customWidth="1"/>
    <col min="10503" max="10503" width="11.7109375" style="166" customWidth="1"/>
    <col min="10504" max="10749" width="9.140625" style="166"/>
    <col min="10750" max="10750" width="5.28515625" style="166" customWidth="1"/>
    <col min="10751" max="10751" width="8" style="166" customWidth="1"/>
    <col min="10752" max="10752" width="5.85546875" style="166" customWidth="1"/>
    <col min="10753" max="10753" width="9.42578125" style="166" customWidth="1"/>
    <col min="10754" max="10754" width="11.28515625" style="166" customWidth="1"/>
    <col min="10755" max="10755" width="11" style="166" customWidth="1"/>
    <col min="10756" max="10756" width="13.140625" style="166" customWidth="1"/>
    <col min="10757" max="10757" width="11.7109375" style="166" customWidth="1"/>
    <col min="10758" max="10758" width="11.140625" style="166" customWidth="1"/>
    <col min="10759" max="10759" width="11.7109375" style="166" customWidth="1"/>
    <col min="10760" max="11005" width="9.140625" style="166"/>
    <col min="11006" max="11006" width="5.28515625" style="166" customWidth="1"/>
    <col min="11007" max="11007" width="8" style="166" customWidth="1"/>
    <col min="11008" max="11008" width="5.85546875" style="166" customWidth="1"/>
    <col min="11009" max="11009" width="9.42578125" style="166" customWidth="1"/>
    <col min="11010" max="11010" width="11.28515625" style="166" customWidth="1"/>
    <col min="11011" max="11011" width="11" style="166" customWidth="1"/>
    <col min="11012" max="11012" width="13.140625" style="166" customWidth="1"/>
    <col min="11013" max="11013" width="11.7109375" style="166" customWidth="1"/>
    <col min="11014" max="11014" width="11.140625" style="166" customWidth="1"/>
    <col min="11015" max="11015" width="11.7109375" style="166" customWidth="1"/>
    <col min="11016" max="11261" width="9.140625" style="166"/>
    <col min="11262" max="11262" width="5.28515625" style="166" customWidth="1"/>
    <col min="11263" max="11263" width="8" style="166" customWidth="1"/>
    <col min="11264" max="11264" width="5.85546875" style="166" customWidth="1"/>
    <col min="11265" max="11265" width="9.42578125" style="166" customWidth="1"/>
    <col min="11266" max="11266" width="11.28515625" style="166" customWidth="1"/>
    <col min="11267" max="11267" width="11" style="166" customWidth="1"/>
    <col min="11268" max="11268" width="13.140625" style="166" customWidth="1"/>
    <col min="11269" max="11269" width="11.7109375" style="166" customWidth="1"/>
    <col min="11270" max="11270" width="11.140625" style="166" customWidth="1"/>
    <col min="11271" max="11271" width="11.7109375" style="166" customWidth="1"/>
    <col min="11272" max="11517" width="9.140625" style="166"/>
    <col min="11518" max="11518" width="5.28515625" style="166" customWidth="1"/>
    <col min="11519" max="11519" width="8" style="166" customWidth="1"/>
    <col min="11520" max="11520" width="5.85546875" style="166" customWidth="1"/>
    <col min="11521" max="11521" width="9.42578125" style="166" customWidth="1"/>
    <col min="11522" max="11522" width="11.28515625" style="166" customWidth="1"/>
    <col min="11523" max="11523" width="11" style="166" customWidth="1"/>
    <col min="11524" max="11524" width="13.140625" style="166" customWidth="1"/>
    <col min="11525" max="11525" width="11.7109375" style="166" customWidth="1"/>
    <col min="11526" max="11526" width="11.140625" style="166" customWidth="1"/>
    <col min="11527" max="11527" width="11.7109375" style="166" customWidth="1"/>
    <col min="11528" max="11773" width="9.140625" style="166"/>
    <col min="11774" max="11774" width="5.28515625" style="166" customWidth="1"/>
    <col min="11775" max="11775" width="8" style="166" customWidth="1"/>
    <col min="11776" max="11776" width="5.85546875" style="166" customWidth="1"/>
    <col min="11777" max="11777" width="9.42578125" style="166" customWidth="1"/>
    <col min="11778" max="11778" width="11.28515625" style="166" customWidth="1"/>
    <col min="11779" max="11779" width="11" style="166" customWidth="1"/>
    <col min="11780" max="11780" width="13.140625" style="166" customWidth="1"/>
    <col min="11781" max="11781" width="11.7109375" style="166" customWidth="1"/>
    <col min="11782" max="11782" width="11.140625" style="166" customWidth="1"/>
    <col min="11783" max="11783" width="11.7109375" style="166" customWidth="1"/>
    <col min="11784" max="12029" width="9.140625" style="166"/>
    <col min="12030" max="12030" width="5.28515625" style="166" customWidth="1"/>
    <col min="12031" max="12031" width="8" style="166" customWidth="1"/>
    <col min="12032" max="12032" width="5.85546875" style="166" customWidth="1"/>
    <col min="12033" max="12033" width="9.42578125" style="166" customWidth="1"/>
    <col min="12034" max="12034" width="11.28515625" style="166" customWidth="1"/>
    <col min="12035" max="12035" width="11" style="166" customWidth="1"/>
    <col min="12036" max="12036" width="13.140625" style="166" customWidth="1"/>
    <col min="12037" max="12037" width="11.7109375" style="166" customWidth="1"/>
    <col min="12038" max="12038" width="11.140625" style="166" customWidth="1"/>
    <col min="12039" max="12039" width="11.7109375" style="166" customWidth="1"/>
    <col min="12040" max="12285" width="9.140625" style="166"/>
    <col min="12286" max="12286" width="5.28515625" style="166" customWidth="1"/>
    <col min="12287" max="12287" width="8" style="166" customWidth="1"/>
    <col min="12288" max="12288" width="5.85546875" style="166" customWidth="1"/>
    <col min="12289" max="12289" width="9.42578125" style="166" customWidth="1"/>
    <col min="12290" max="12290" width="11.28515625" style="166" customWidth="1"/>
    <col min="12291" max="12291" width="11" style="166" customWidth="1"/>
    <col min="12292" max="12292" width="13.140625" style="166" customWidth="1"/>
    <col min="12293" max="12293" width="11.7109375" style="166" customWidth="1"/>
    <col min="12294" max="12294" width="11.140625" style="166" customWidth="1"/>
    <col min="12295" max="12295" width="11.7109375" style="166" customWidth="1"/>
    <col min="12296" max="12541" width="9.140625" style="166"/>
    <col min="12542" max="12542" width="5.28515625" style="166" customWidth="1"/>
    <col min="12543" max="12543" width="8" style="166" customWidth="1"/>
    <col min="12544" max="12544" width="5.85546875" style="166" customWidth="1"/>
    <col min="12545" max="12545" width="9.42578125" style="166" customWidth="1"/>
    <col min="12546" max="12546" width="11.28515625" style="166" customWidth="1"/>
    <col min="12547" max="12547" width="11" style="166" customWidth="1"/>
    <col min="12548" max="12548" width="13.140625" style="166" customWidth="1"/>
    <col min="12549" max="12549" width="11.7109375" style="166" customWidth="1"/>
    <col min="12550" max="12550" width="11.140625" style="166" customWidth="1"/>
    <col min="12551" max="12551" width="11.7109375" style="166" customWidth="1"/>
    <col min="12552" max="12797" width="9.140625" style="166"/>
    <col min="12798" max="12798" width="5.28515625" style="166" customWidth="1"/>
    <col min="12799" max="12799" width="8" style="166" customWidth="1"/>
    <col min="12800" max="12800" width="5.85546875" style="166" customWidth="1"/>
    <col min="12801" max="12801" width="9.42578125" style="166" customWidth="1"/>
    <col min="12802" max="12802" width="11.28515625" style="166" customWidth="1"/>
    <col min="12803" max="12803" width="11" style="166" customWidth="1"/>
    <col min="12804" max="12804" width="13.140625" style="166" customWidth="1"/>
    <col min="12805" max="12805" width="11.7109375" style="166" customWidth="1"/>
    <col min="12806" max="12806" width="11.140625" style="166" customWidth="1"/>
    <col min="12807" max="12807" width="11.7109375" style="166" customWidth="1"/>
    <col min="12808" max="13053" width="9.140625" style="166"/>
    <col min="13054" max="13054" width="5.28515625" style="166" customWidth="1"/>
    <col min="13055" max="13055" width="8" style="166" customWidth="1"/>
    <col min="13056" max="13056" width="5.85546875" style="166" customWidth="1"/>
    <col min="13057" max="13057" width="9.42578125" style="166" customWidth="1"/>
    <col min="13058" max="13058" width="11.28515625" style="166" customWidth="1"/>
    <col min="13059" max="13059" width="11" style="166" customWidth="1"/>
    <col min="13060" max="13060" width="13.140625" style="166" customWidth="1"/>
    <col min="13061" max="13061" width="11.7109375" style="166" customWidth="1"/>
    <col min="13062" max="13062" width="11.140625" style="166" customWidth="1"/>
    <col min="13063" max="13063" width="11.7109375" style="166" customWidth="1"/>
    <col min="13064" max="13309" width="9.140625" style="166"/>
    <col min="13310" max="13310" width="5.28515625" style="166" customWidth="1"/>
    <col min="13311" max="13311" width="8" style="166" customWidth="1"/>
    <col min="13312" max="13312" width="5.85546875" style="166" customWidth="1"/>
    <col min="13313" max="13313" width="9.42578125" style="166" customWidth="1"/>
    <col min="13314" max="13314" width="11.28515625" style="166" customWidth="1"/>
    <col min="13315" max="13315" width="11" style="166" customWidth="1"/>
    <col min="13316" max="13316" width="13.140625" style="166" customWidth="1"/>
    <col min="13317" max="13317" width="11.7109375" style="166" customWidth="1"/>
    <col min="13318" max="13318" width="11.140625" style="166" customWidth="1"/>
    <col min="13319" max="13319" width="11.7109375" style="166" customWidth="1"/>
    <col min="13320" max="13565" width="9.140625" style="166"/>
    <col min="13566" max="13566" width="5.28515625" style="166" customWidth="1"/>
    <col min="13567" max="13567" width="8" style="166" customWidth="1"/>
    <col min="13568" max="13568" width="5.85546875" style="166" customWidth="1"/>
    <col min="13569" max="13569" width="9.42578125" style="166" customWidth="1"/>
    <col min="13570" max="13570" width="11.28515625" style="166" customWidth="1"/>
    <col min="13571" max="13571" width="11" style="166" customWidth="1"/>
    <col min="13572" max="13572" width="13.140625" style="166" customWidth="1"/>
    <col min="13573" max="13573" width="11.7109375" style="166" customWidth="1"/>
    <col min="13574" max="13574" width="11.140625" style="166" customWidth="1"/>
    <col min="13575" max="13575" width="11.7109375" style="166" customWidth="1"/>
    <col min="13576" max="13821" width="9.140625" style="166"/>
    <col min="13822" max="13822" width="5.28515625" style="166" customWidth="1"/>
    <col min="13823" max="13823" width="8" style="166" customWidth="1"/>
    <col min="13824" max="13824" width="5.85546875" style="166" customWidth="1"/>
    <col min="13825" max="13825" width="9.42578125" style="166" customWidth="1"/>
    <col min="13826" max="13826" width="11.28515625" style="166" customWidth="1"/>
    <col min="13827" max="13827" width="11" style="166" customWidth="1"/>
    <col min="13828" max="13828" width="13.140625" style="166" customWidth="1"/>
    <col min="13829" max="13829" width="11.7109375" style="166" customWidth="1"/>
    <col min="13830" max="13830" width="11.140625" style="166" customWidth="1"/>
    <col min="13831" max="13831" width="11.7109375" style="166" customWidth="1"/>
    <col min="13832" max="14077" width="9.140625" style="166"/>
    <col min="14078" max="14078" width="5.28515625" style="166" customWidth="1"/>
    <col min="14079" max="14079" width="8" style="166" customWidth="1"/>
    <col min="14080" max="14080" width="5.85546875" style="166" customWidth="1"/>
    <col min="14081" max="14081" width="9.42578125" style="166" customWidth="1"/>
    <col min="14082" max="14082" width="11.28515625" style="166" customWidth="1"/>
    <col min="14083" max="14083" width="11" style="166" customWidth="1"/>
    <col min="14084" max="14084" width="13.140625" style="166" customWidth="1"/>
    <col min="14085" max="14085" width="11.7109375" style="166" customWidth="1"/>
    <col min="14086" max="14086" width="11.140625" style="166" customWidth="1"/>
    <col min="14087" max="14087" width="11.7109375" style="166" customWidth="1"/>
    <col min="14088" max="14333" width="9.140625" style="166"/>
    <col min="14334" max="14334" width="5.28515625" style="166" customWidth="1"/>
    <col min="14335" max="14335" width="8" style="166" customWidth="1"/>
    <col min="14336" max="14336" width="5.85546875" style="166" customWidth="1"/>
    <col min="14337" max="14337" width="9.42578125" style="166" customWidth="1"/>
    <col min="14338" max="14338" width="11.28515625" style="166" customWidth="1"/>
    <col min="14339" max="14339" width="11" style="166" customWidth="1"/>
    <col min="14340" max="14340" width="13.140625" style="166" customWidth="1"/>
    <col min="14341" max="14341" width="11.7109375" style="166" customWidth="1"/>
    <col min="14342" max="14342" width="11.140625" style="166" customWidth="1"/>
    <col min="14343" max="14343" width="11.7109375" style="166" customWidth="1"/>
    <col min="14344" max="14589" width="9.140625" style="166"/>
    <col min="14590" max="14590" width="5.28515625" style="166" customWidth="1"/>
    <col min="14591" max="14591" width="8" style="166" customWidth="1"/>
    <col min="14592" max="14592" width="5.85546875" style="166" customWidth="1"/>
    <col min="14593" max="14593" width="9.42578125" style="166" customWidth="1"/>
    <col min="14594" max="14594" width="11.28515625" style="166" customWidth="1"/>
    <col min="14595" max="14595" width="11" style="166" customWidth="1"/>
    <col min="14596" max="14596" width="13.140625" style="166" customWidth="1"/>
    <col min="14597" max="14597" width="11.7109375" style="166" customWidth="1"/>
    <col min="14598" max="14598" width="11.140625" style="166" customWidth="1"/>
    <col min="14599" max="14599" width="11.7109375" style="166" customWidth="1"/>
    <col min="14600" max="14845" width="9.140625" style="166"/>
    <col min="14846" max="14846" width="5.28515625" style="166" customWidth="1"/>
    <col min="14847" max="14847" width="8" style="166" customWidth="1"/>
    <col min="14848" max="14848" width="5.85546875" style="166" customWidth="1"/>
    <col min="14849" max="14849" width="9.42578125" style="166" customWidth="1"/>
    <col min="14850" max="14850" width="11.28515625" style="166" customWidth="1"/>
    <col min="14851" max="14851" width="11" style="166" customWidth="1"/>
    <col min="14852" max="14852" width="13.140625" style="166" customWidth="1"/>
    <col min="14853" max="14853" width="11.7109375" style="166" customWidth="1"/>
    <col min="14854" max="14854" width="11.140625" style="166" customWidth="1"/>
    <col min="14855" max="14855" width="11.7109375" style="166" customWidth="1"/>
    <col min="14856" max="15101" width="9.140625" style="166"/>
    <col min="15102" max="15102" width="5.28515625" style="166" customWidth="1"/>
    <col min="15103" max="15103" width="8" style="166" customWidth="1"/>
    <col min="15104" max="15104" width="5.85546875" style="166" customWidth="1"/>
    <col min="15105" max="15105" width="9.42578125" style="166" customWidth="1"/>
    <col min="15106" max="15106" width="11.28515625" style="166" customWidth="1"/>
    <col min="15107" max="15107" width="11" style="166" customWidth="1"/>
    <col min="15108" max="15108" width="13.140625" style="166" customWidth="1"/>
    <col min="15109" max="15109" width="11.7109375" style="166" customWidth="1"/>
    <col min="15110" max="15110" width="11.140625" style="166" customWidth="1"/>
    <col min="15111" max="15111" width="11.7109375" style="166" customWidth="1"/>
    <col min="15112" max="15357" width="9.140625" style="166"/>
    <col min="15358" max="15358" width="5.28515625" style="166" customWidth="1"/>
    <col min="15359" max="15359" width="8" style="166" customWidth="1"/>
    <col min="15360" max="15360" width="5.85546875" style="166" customWidth="1"/>
    <col min="15361" max="15361" width="9.42578125" style="166" customWidth="1"/>
    <col min="15362" max="15362" width="11.28515625" style="166" customWidth="1"/>
    <col min="15363" max="15363" width="11" style="166" customWidth="1"/>
    <col min="15364" max="15364" width="13.140625" style="166" customWidth="1"/>
    <col min="15365" max="15365" width="11.7109375" style="166" customWidth="1"/>
    <col min="15366" max="15366" width="11.140625" style="166" customWidth="1"/>
    <col min="15367" max="15367" width="11.7109375" style="166" customWidth="1"/>
    <col min="15368" max="15613" width="9.140625" style="166"/>
    <col min="15614" max="15614" width="5.28515625" style="166" customWidth="1"/>
    <col min="15615" max="15615" width="8" style="166" customWidth="1"/>
    <col min="15616" max="15616" width="5.85546875" style="166" customWidth="1"/>
    <col min="15617" max="15617" width="9.42578125" style="166" customWidth="1"/>
    <col min="15618" max="15618" width="11.28515625" style="166" customWidth="1"/>
    <col min="15619" max="15619" width="11" style="166" customWidth="1"/>
    <col min="15620" max="15620" width="13.140625" style="166" customWidth="1"/>
    <col min="15621" max="15621" width="11.7109375" style="166" customWidth="1"/>
    <col min="15622" max="15622" width="11.140625" style="166" customWidth="1"/>
    <col min="15623" max="15623" width="11.7109375" style="166" customWidth="1"/>
    <col min="15624" max="15869" width="9.140625" style="166"/>
    <col min="15870" max="15870" width="5.28515625" style="166" customWidth="1"/>
    <col min="15871" max="15871" width="8" style="166" customWidth="1"/>
    <col min="15872" max="15872" width="5.85546875" style="166" customWidth="1"/>
    <col min="15873" max="15873" width="9.42578125" style="166" customWidth="1"/>
    <col min="15874" max="15874" width="11.28515625" style="166" customWidth="1"/>
    <col min="15875" max="15875" width="11" style="166" customWidth="1"/>
    <col min="15876" max="15876" width="13.140625" style="166" customWidth="1"/>
    <col min="15877" max="15877" width="11.7109375" style="166" customWidth="1"/>
    <col min="15878" max="15878" width="11.140625" style="166" customWidth="1"/>
    <col min="15879" max="15879" width="11.7109375" style="166" customWidth="1"/>
    <col min="15880" max="16125" width="9.140625" style="166"/>
    <col min="16126" max="16126" width="5.28515625" style="166" customWidth="1"/>
    <col min="16127" max="16127" width="8" style="166" customWidth="1"/>
    <col min="16128" max="16128" width="5.85546875" style="166" customWidth="1"/>
    <col min="16129" max="16129" width="9.42578125" style="166" customWidth="1"/>
    <col min="16130" max="16130" width="11.28515625" style="166" customWidth="1"/>
    <col min="16131" max="16131" width="11" style="166" customWidth="1"/>
    <col min="16132" max="16132" width="13.140625" style="166" customWidth="1"/>
    <col min="16133" max="16133" width="11.7109375" style="166" customWidth="1"/>
    <col min="16134" max="16134" width="11.140625" style="166" customWidth="1"/>
    <col min="16135" max="16135" width="11.7109375" style="166" customWidth="1"/>
    <col min="16136" max="16384" width="9.140625" style="166"/>
  </cols>
  <sheetData>
    <row r="1" spans="1:72" s="148" customFormat="1" ht="12.75" customHeight="1" x14ac:dyDescent="0.25">
      <c r="A1" s="105"/>
      <c r="B1" s="166"/>
      <c r="C1" s="166"/>
      <c r="D1" s="166"/>
      <c r="E1" s="166"/>
      <c r="F1" s="3" t="s">
        <v>159</v>
      </c>
    </row>
    <row r="2" spans="1:72" s="148" customFormat="1" ht="12.75" customHeight="1" x14ac:dyDescent="0.25">
      <c r="A2" s="166"/>
      <c r="B2" s="166"/>
      <c r="C2" s="166"/>
      <c r="D2" s="166"/>
      <c r="E2" s="166"/>
      <c r="F2" s="3" t="s">
        <v>157</v>
      </c>
    </row>
    <row r="3" spans="1:72" s="148" customFormat="1" ht="12.75" customHeight="1" x14ac:dyDescent="0.25">
      <c r="A3" s="166"/>
      <c r="B3" s="166"/>
      <c r="C3" s="166"/>
      <c r="D3" s="166"/>
      <c r="E3" s="166"/>
      <c r="F3" s="3" t="s">
        <v>0</v>
      </c>
    </row>
    <row r="4" spans="1:72" s="148" customFormat="1" ht="12.75" customHeight="1" x14ac:dyDescent="0.25">
      <c r="A4" s="166"/>
      <c r="B4" s="166"/>
      <c r="C4" s="166"/>
      <c r="D4" s="166"/>
      <c r="E4" s="166"/>
      <c r="F4" s="3" t="s">
        <v>158</v>
      </c>
    </row>
    <row r="5" spans="1:72" s="148" customFormat="1" ht="12.75" customHeight="1" x14ac:dyDescent="0.25">
      <c r="A5" s="166"/>
      <c r="B5" s="166"/>
      <c r="C5" s="166"/>
      <c r="D5" s="166"/>
      <c r="E5" s="166"/>
    </row>
    <row r="6" spans="1:72" s="148" customFormat="1" ht="12.75" customHeight="1" x14ac:dyDescent="0.25">
      <c r="A6" s="166"/>
      <c r="B6" s="166"/>
      <c r="C6" s="166"/>
      <c r="D6" s="166"/>
      <c r="E6" s="166"/>
    </row>
    <row r="7" spans="1:72" s="148" customFormat="1" ht="26.25" customHeight="1" x14ac:dyDescent="0.25">
      <c r="A7" s="106" t="s">
        <v>160</v>
      </c>
      <c r="B7" s="106"/>
      <c r="C7" s="106"/>
      <c r="D7" s="106"/>
      <c r="E7" s="106"/>
      <c r="F7" s="106"/>
      <c r="G7" s="106"/>
      <c r="J7" s="1"/>
    </row>
    <row r="8" spans="1:72" s="148" customFormat="1" ht="12.75" customHeight="1" x14ac:dyDescent="0.25">
      <c r="A8" s="107"/>
      <c r="B8" s="108"/>
      <c r="C8" s="108"/>
      <c r="D8" s="108"/>
      <c r="E8" s="108"/>
      <c r="F8" s="108"/>
      <c r="G8" s="108"/>
      <c r="J8" s="1"/>
    </row>
    <row r="9" spans="1:72" s="148" customFormat="1" ht="30.75" customHeight="1" x14ac:dyDescent="0.25">
      <c r="A9" s="166"/>
      <c r="B9" s="166"/>
      <c r="C9" s="166"/>
      <c r="D9" s="166"/>
      <c r="E9" s="166"/>
      <c r="G9" s="109" t="s">
        <v>2</v>
      </c>
    </row>
    <row r="10" spans="1:72" s="113" customFormat="1" ht="36.75" customHeight="1" x14ac:dyDescent="0.2">
      <c r="A10" s="110" t="s">
        <v>161</v>
      </c>
      <c r="B10" s="110" t="s">
        <v>162</v>
      </c>
      <c r="C10" s="110" t="s">
        <v>163</v>
      </c>
      <c r="D10" s="110" t="s">
        <v>164</v>
      </c>
      <c r="E10" s="111" t="s">
        <v>6</v>
      </c>
      <c r="F10" s="111" t="s">
        <v>165</v>
      </c>
      <c r="G10" s="111" t="s">
        <v>166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</row>
    <row r="11" spans="1:72" s="116" customFormat="1" ht="10.5" customHeight="1" x14ac:dyDescent="0.2">
      <c r="A11" s="114">
        <v>1</v>
      </c>
      <c r="B11" s="114">
        <v>2</v>
      </c>
      <c r="C11" s="114">
        <v>3</v>
      </c>
      <c r="D11" s="114">
        <v>4</v>
      </c>
      <c r="E11" s="114">
        <v>5</v>
      </c>
      <c r="F11" s="114">
        <v>6</v>
      </c>
      <c r="G11" s="114">
        <v>7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</row>
    <row r="12" spans="1:72" s="125" customFormat="1" ht="16.5" customHeight="1" x14ac:dyDescent="0.2">
      <c r="A12" s="117"/>
      <c r="B12" s="118"/>
      <c r="C12" s="119"/>
      <c r="D12" s="119"/>
      <c r="E12" s="120" t="s">
        <v>167</v>
      </c>
      <c r="F12" s="121">
        <v>5000000</v>
      </c>
      <c r="G12" s="122" t="s">
        <v>168</v>
      </c>
      <c r="H12" s="123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</row>
    <row r="13" spans="1:72" s="113" customFormat="1" ht="50.25" customHeight="1" x14ac:dyDescent="0.2">
      <c r="A13" s="126" t="s">
        <v>169</v>
      </c>
      <c r="B13" s="127" t="s">
        <v>170</v>
      </c>
      <c r="C13" s="128" t="s">
        <v>171</v>
      </c>
      <c r="D13" s="128" t="s">
        <v>172</v>
      </c>
      <c r="E13" s="129" t="s">
        <v>168</v>
      </c>
      <c r="F13" s="130" t="s">
        <v>168</v>
      </c>
      <c r="G13" s="131">
        <f>SUM(G14:G14)</f>
        <v>7550000</v>
      </c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</row>
    <row r="14" spans="1:72" s="113" customFormat="1" ht="15.75" customHeight="1" x14ac:dyDescent="0.2">
      <c r="A14" s="117"/>
      <c r="B14" s="167" t="s">
        <v>173</v>
      </c>
      <c r="C14" s="132"/>
      <c r="D14" s="132"/>
      <c r="E14" s="132" t="s">
        <v>174</v>
      </c>
      <c r="F14" s="133" t="s">
        <v>168</v>
      </c>
      <c r="G14" s="134">
        <f>6000000+1550000</f>
        <v>7550000</v>
      </c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</row>
    <row r="15" spans="1:72" s="125" customFormat="1" ht="15.75" customHeight="1" x14ac:dyDescent="0.2">
      <c r="A15" s="168"/>
      <c r="B15" s="167" t="s">
        <v>175</v>
      </c>
      <c r="C15" s="169"/>
      <c r="D15" s="169"/>
      <c r="E15" s="169"/>
      <c r="F15" s="170"/>
      <c r="G15" s="171">
        <f>1000000+1550000</f>
        <v>2550000</v>
      </c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</row>
    <row r="16" spans="1:72" s="113" customFormat="1" ht="12" x14ac:dyDescent="0.2">
      <c r="A16" s="135"/>
      <c r="B16" s="136"/>
      <c r="C16" s="137"/>
      <c r="D16" s="137"/>
      <c r="E16" s="137"/>
      <c r="F16" s="138"/>
      <c r="G16" s="138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</row>
    <row r="17" spans="1:72" s="113" customFormat="1" ht="25.5" customHeight="1" x14ac:dyDescent="0.2">
      <c r="A17" s="117"/>
      <c r="B17" s="118"/>
      <c r="C17" s="132"/>
      <c r="D17" s="132"/>
      <c r="E17" s="137" t="s">
        <v>167</v>
      </c>
      <c r="F17" s="139">
        <v>5500000</v>
      </c>
      <c r="G17" s="140" t="s">
        <v>168</v>
      </c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</row>
    <row r="18" spans="1:72" s="113" customFormat="1" ht="41.25" customHeight="1" x14ac:dyDescent="0.2">
      <c r="A18" s="126" t="s">
        <v>176</v>
      </c>
      <c r="B18" s="127" t="s">
        <v>177</v>
      </c>
      <c r="C18" s="128" t="s">
        <v>171</v>
      </c>
      <c r="D18" s="128" t="s">
        <v>178</v>
      </c>
      <c r="E18" s="129" t="s">
        <v>168</v>
      </c>
      <c r="F18" s="130" t="s">
        <v>168</v>
      </c>
      <c r="G18" s="141">
        <f>SUM(G19:G19)</f>
        <v>10032000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</row>
    <row r="19" spans="1:72" s="113" customFormat="1" ht="15.75" customHeight="1" x14ac:dyDescent="0.2">
      <c r="A19" s="117"/>
      <c r="B19" s="167" t="s">
        <v>173</v>
      </c>
      <c r="C19" s="132"/>
      <c r="D19" s="132"/>
      <c r="E19" s="132" t="s">
        <v>174</v>
      </c>
      <c r="F19" s="133" t="s">
        <v>168</v>
      </c>
      <c r="G19" s="134">
        <f>6000000+4000000+32000</f>
        <v>10032000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</row>
    <row r="20" spans="1:72" s="125" customFormat="1" ht="15.75" customHeight="1" x14ac:dyDescent="0.2">
      <c r="A20" s="168"/>
      <c r="B20" s="167" t="s">
        <v>175</v>
      </c>
      <c r="C20" s="172"/>
      <c r="D20" s="169"/>
      <c r="E20" s="169"/>
      <c r="F20" s="170"/>
      <c r="G20" s="171">
        <f>500000+4000000+32000</f>
        <v>4532000</v>
      </c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</row>
    <row r="21" spans="1:72" s="125" customFormat="1" ht="15.75" customHeight="1" x14ac:dyDescent="0.2">
      <c r="A21" s="173"/>
      <c r="B21" s="174"/>
      <c r="C21" s="175"/>
      <c r="D21" s="176"/>
      <c r="E21" s="176"/>
      <c r="F21" s="177"/>
      <c r="G21" s="178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</row>
    <row r="22" spans="1:72" s="125" customFormat="1" ht="15.75" customHeight="1" x14ac:dyDescent="0.2">
      <c r="A22" s="117"/>
      <c r="B22" s="118"/>
      <c r="C22" s="132"/>
      <c r="D22" s="132"/>
      <c r="E22" s="137" t="s">
        <v>179</v>
      </c>
      <c r="F22" s="139">
        <v>43880</v>
      </c>
      <c r="G22" s="140" t="s">
        <v>168</v>
      </c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</row>
    <row r="23" spans="1:72" s="125" customFormat="1" ht="34.5" customHeight="1" x14ac:dyDescent="0.2">
      <c r="A23" s="126" t="s">
        <v>180</v>
      </c>
      <c r="B23" s="142" t="s">
        <v>181</v>
      </c>
      <c r="C23" s="132" t="s">
        <v>111</v>
      </c>
      <c r="D23" s="132" t="s">
        <v>182</v>
      </c>
      <c r="E23" s="120" t="s">
        <v>168</v>
      </c>
      <c r="F23" s="122" t="s">
        <v>168</v>
      </c>
      <c r="G23" s="121">
        <f>SUM(G26,G33)</f>
        <v>43880</v>
      </c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</row>
    <row r="24" spans="1:72" s="125" customFormat="1" ht="9" customHeight="1" x14ac:dyDescent="0.2">
      <c r="A24" s="117"/>
      <c r="B24" s="143"/>
      <c r="C24" s="132"/>
      <c r="D24" s="132"/>
      <c r="E24" s="132"/>
      <c r="F24" s="133"/>
      <c r="G24" s="179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</row>
    <row r="25" spans="1:72" s="125" customFormat="1" ht="15.75" customHeight="1" x14ac:dyDescent="0.2">
      <c r="A25" s="117"/>
      <c r="B25" s="180" t="s">
        <v>183</v>
      </c>
      <c r="C25" s="132"/>
      <c r="D25" s="132"/>
      <c r="E25" s="132"/>
      <c r="F25" s="133"/>
      <c r="G25" s="179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</row>
    <row r="26" spans="1:72" s="125" customFormat="1" ht="15.75" customHeight="1" x14ac:dyDescent="0.2">
      <c r="A26" s="117"/>
      <c r="B26" s="118" t="s">
        <v>184</v>
      </c>
      <c r="C26" s="132"/>
      <c r="D26" s="132"/>
      <c r="E26" s="132"/>
      <c r="F26" s="133"/>
      <c r="G26" s="179">
        <f>SUM(G27:G31)</f>
        <v>26542</v>
      </c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</row>
    <row r="27" spans="1:72" s="125" customFormat="1" ht="15.75" customHeight="1" x14ac:dyDescent="0.2">
      <c r="A27" s="117"/>
      <c r="B27" s="118"/>
      <c r="C27" s="132"/>
      <c r="D27" s="132"/>
      <c r="E27" s="132" t="s">
        <v>185</v>
      </c>
      <c r="F27" s="133" t="s">
        <v>168</v>
      </c>
      <c r="G27" s="134">
        <v>3855</v>
      </c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</row>
    <row r="28" spans="1:72" s="125" customFormat="1" ht="15.75" customHeight="1" x14ac:dyDescent="0.2">
      <c r="A28" s="117"/>
      <c r="B28" s="118"/>
      <c r="C28" s="132"/>
      <c r="D28" s="132"/>
      <c r="E28" s="132" t="s">
        <v>186</v>
      </c>
      <c r="F28" s="133" t="s">
        <v>168</v>
      </c>
      <c r="G28" s="134">
        <v>14147</v>
      </c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</row>
    <row r="29" spans="1:72" s="125" customFormat="1" ht="15.75" customHeight="1" x14ac:dyDescent="0.2">
      <c r="A29" s="117"/>
      <c r="B29" s="118"/>
      <c r="C29" s="132"/>
      <c r="D29" s="132"/>
      <c r="E29" s="132" t="s">
        <v>187</v>
      </c>
      <c r="F29" s="133" t="s">
        <v>168</v>
      </c>
      <c r="G29" s="134">
        <v>3594</v>
      </c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</row>
    <row r="30" spans="1:72" s="125" customFormat="1" ht="15.75" customHeight="1" x14ac:dyDescent="0.2">
      <c r="A30" s="117"/>
      <c r="B30" s="118"/>
      <c r="C30" s="132"/>
      <c r="D30" s="132"/>
      <c r="E30" s="132" t="s">
        <v>188</v>
      </c>
      <c r="F30" s="133" t="s">
        <v>168</v>
      </c>
      <c r="G30" s="134">
        <v>446</v>
      </c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</row>
    <row r="31" spans="1:72" s="125" customFormat="1" ht="15.75" customHeight="1" x14ac:dyDescent="0.2">
      <c r="A31" s="117"/>
      <c r="B31" s="118"/>
      <c r="C31" s="132"/>
      <c r="D31" s="132"/>
      <c r="E31" s="132" t="s">
        <v>18</v>
      </c>
      <c r="F31" s="133" t="s">
        <v>168</v>
      </c>
      <c r="G31" s="134">
        <v>4500</v>
      </c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</row>
    <row r="32" spans="1:72" s="125" customFormat="1" ht="15.75" customHeight="1" x14ac:dyDescent="0.2">
      <c r="A32" s="117"/>
      <c r="B32" s="180" t="s">
        <v>183</v>
      </c>
      <c r="C32" s="132"/>
      <c r="D32" s="132"/>
      <c r="E32" s="132"/>
      <c r="F32" s="133"/>
      <c r="G32" s="179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</row>
    <row r="33" spans="1:72" s="125" customFormat="1" ht="15.75" customHeight="1" x14ac:dyDescent="0.2">
      <c r="A33" s="117"/>
      <c r="B33" s="118" t="s">
        <v>189</v>
      </c>
      <c r="C33" s="132"/>
      <c r="D33" s="132"/>
      <c r="E33" s="132"/>
      <c r="F33" s="133"/>
      <c r="G33" s="179">
        <f>SUM(G34:G39)</f>
        <v>17338</v>
      </c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</row>
    <row r="34" spans="1:72" s="125" customFormat="1" ht="15.75" customHeight="1" x14ac:dyDescent="0.2">
      <c r="A34" s="117"/>
      <c r="B34" s="118"/>
      <c r="C34" s="132"/>
      <c r="D34" s="132"/>
      <c r="E34" s="132" t="s">
        <v>185</v>
      </c>
      <c r="F34" s="133" t="s">
        <v>168</v>
      </c>
      <c r="G34" s="134">
        <v>771</v>
      </c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</row>
    <row r="35" spans="1:72" s="125" customFormat="1" ht="15.75" customHeight="1" x14ac:dyDescent="0.2">
      <c r="A35" s="117"/>
      <c r="B35" s="118"/>
      <c r="C35" s="132"/>
      <c r="D35" s="132"/>
      <c r="E35" s="132" t="s">
        <v>186</v>
      </c>
      <c r="F35" s="133" t="s">
        <v>168</v>
      </c>
      <c r="G35" s="134">
        <v>9672</v>
      </c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</row>
    <row r="36" spans="1:72" s="125" customFormat="1" ht="15.75" customHeight="1" x14ac:dyDescent="0.2">
      <c r="A36" s="117"/>
      <c r="B36" s="118"/>
      <c r="C36" s="132"/>
      <c r="D36" s="132"/>
      <c r="E36" s="132" t="s">
        <v>187</v>
      </c>
      <c r="F36" s="133" t="s">
        <v>168</v>
      </c>
      <c r="G36" s="134">
        <v>1666</v>
      </c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</row>
    <row r="37" spans="1:72" s="125" customFormat="1" ht="15.75" customHeight="1" x14ac:dyDescent="0.2">
      <c r="A37" s="117"/>
      <c r="B37" s="118"/>
      <c r="C37" s="132"/>
      <c r="D37" s="132"/>
      <c r="E37" s="132" t="s">
        <v>188</v>
      </c>
      <c r="F37" s="133" t="s">
        <v>168</v>
      </c>
      <c r="G37" s="134">
        <f>236-1</f>
        <v>235</v>
      </c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</row>
    <row r="38" spans="1:72" s="125" customFormat="1" ht="15.75" customHeight="1" x14ac:dyDescent="0.2">
      <c r="A38" s="117"/>
      <c r="B38" s="118"/>
      <c r="C38" s="132"/>
      <c r="D38" s="132"/>
      <c r="E38" s="132" t="s">
        <v>18</v>
      </c>
      <c r="F38" s="133" t="s">
        <v>168</v>
      </c>
      <c r="G38" s="134">
        <v>1815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</row>
    <row r="39" spans="1:72" s="125" customFormat="1" ht="15.75" customHeight="1" x14ac:dyDescent="0.2">
      <c r="A39" s="117"/>
      <c r="B39" s="118"/>
      <c r="C39" s="144"/>
      <c r="D39" s="132"/>
      <c r="E39" s="132" t="s">
        <v>116</v>
      </c>
      <c r="F39" s="133" t="s">
        <v>168</v>
      </c>
      <c r="G39" s="134">
        <f>3178+1</f>
        <v>3179</v>
      </c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</row>
    <row r="40" spans="1:72" s="125" customFormat="1" ht="15.75" customHeight="1" x14ac:dyDescent="0.2">
      <c r="A40" s="135"/>
      <c r="B40" s="136"/>
      <c r="C40" s="145"/>
      <c r="D40" s="137"/>
      <c r="E40" s="137"/>
      <c r="F40" s="140"/>
      <c r="G40" s="138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</row>
    <row r="41" spans="1:72" s="125" customFormat="1" ht="15.75" customHeight="1" x14ac:dyDescent="0.2">
      <c r="A41" s="117"/>
      <c r="B41" s="118"/>
      <c r="C41" s="132"/>
      <c r="D41" s="132"/>
      <c r="E41" s="137" t="s">
        <v>179</v>
      </c>
      <c r="F41" s="139">
        <v>245050</v>
      </c>
      <c r="G41" s="140" t="s">
        <v>168</v>
      </c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</row>
    <row r="42" spans="1:72" s="125" customFormat="1" ht="21" customHeight="1" x14ac:dyDescent="0.2">
      <c r="A42" s="126" t="s">
        <v>190</v>
      </c>
      <c r="B42" s="146" t="s">
        <v>191</v>
      </c>
      <c r="C42" s="132" t="s">
        <v>111</v>
      </c>
      <c r="D42" s="132" t="s">
        <v>192</v>
      </c>
      <c r="E42" s="120" t="s">
        <v>168</v>
      </c>
      <c r="F42" s="122" t="s">
        <v>168</v>
      </c>
      <c r="G42" s="121">
        <f>SUM(G44)</f>
        <v>245050</v>
      </c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</row>
    <row r="43" spans="1:72" s="125" customFormat="1" ht="9.75" customHeight="1" x14ac:dyDescent="0.2">
      <c r="A43" s="117"/>
      <c r="B43" s="143"/>
      <c r="C43" s="132"/>
      <c r="D43" s="132"/>
      <c r="E43" s="132"/>
      <c r="F43" s="133"/>
      <c r="G43" s="179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</row>
    <row r="44" spans="1:72" s="125" customFormat="1" ht="15.75" customHeight="1" x14ac:dyDescent="0.2">
      <c r="A44" s="117"/>
      <c r="B44" s="118" t="s">
        <v>125</v>
      </c>
      <c r="C44" s="132"/>
      <c r="D44" s="132"/>
      <c r="E44" s="132"/>
      <c r="F44" s="133"/>
      <c r="G44" s="179">
        <f>SUM(G45:G51)</f>
        <v>245050</v>
      </c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</row>
    <row r="45" spans="1:72" s="125" customFormat="1" ht="15.75" customHeight="1" x14ac:dyDescent="0.2">
      <c r="A45" s="117"/>
      <c r="B45" s="118"/>
      <c r="C45" s="132"/>
      <c r="D45" s="132"/>
      <c r="E45" s="132" t="s">
        <v>186</v>
      </c>
      <c r="F45" s="133" t="s">
        <v>168</v>
      </c>
      <c r="G45" s="134">
        <v>166200</v>
      </c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</row>
    <row r="46" spans="1:72" s="125" customFormat="1" ht="15.75" customHeight="1" x14ac:dyDescent="0.2">
      <c r="A46" s="117"/>
      <c r="B46" s="118"/>
      <c r="C46" s="132"/>
      <c r="D46" s="132"/>
      <c r="E46" s="132" t="s">
        <v>187</v>
      </c>
      <c r="F46" s="133" t="s">
        <v>168</v>
      </c>
      <c r="G46" s="134">
        <v>29019</v>
      </c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</row>
    <row r="47" spans="1:72" s="125" customFormat="1" ht="15.75" customHeight="1" x14ac:dyDescent="0.2">
      <c r="A47" s="117"/>
      <c r="B47" s="118"/>
      <c r="C47" s="132"/>
      <c r="D47" s="132"/>
      <c r="E47" s="132" t="s">
        <v>188</v>
      </c>
      <c r="F47" s="133" t="s">
        <v>168</v>
      </c>
      <c r="G47" s="134">
        <v>4072</v>
      </c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</row>
    <row r="48" spans="1:72" s="125" customFormat="1" ht="15.75" customHeight="1" x14ac:dyDescent="0.2">
      <c r="A48" s="117"/>
      <c r="B48" s="118"/>
      <c r="C48" s="132"/>
      <c r="D48" s="132"/>
      <c r="E48" s="132" t="s">
        <v>18</v>
      </c>
      <c r="F48" s="133" t="s">
        <v>168</v>
      </c>
      <c r="G48" s="134">
        <v>5000</v>
      </c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</row>
    <row r="49" spans="1:72" s="125" customFormat="1" ht="15.75" customHeight="1" x14ac:dyDescent="0.2">
      <c r="A49" s="117"/>
      <c r="B49" s="118"/>
      <c r="C49" s="132"/>
      <c r="D49" s="132"/>
      <c r="E49" s="132" t="s">
        <v>193</v>
      </c>
      <c r="F49" s="133" t="s">
        <v>168</v>
      </c>
      <c r="G49" s="134">
        <v>10000</v>
      </c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</row>
    <row r="50" spans="1:72" s="125" customFormat="1" ht="15.75" customHeight="1" x14ac:dyDescent="0.2">
      <c r="A50" s="117"/>
      <c r="B50" s="118"/>
      <c r="C50" s="144"/>
      <c r="D50" s="132"/>
      <c r="E50" s="132" t="s">
        <v>194</v>
      </c>
      <c r="F50" s="133" t="s">
        <v>168</v>
      </c>
      <c r="G50" s="134">
        <v>30050</v>
      </c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</row>
    <row r="51" spans="1:72" s="125" customFormat="1" ht="15.75" customHeight="1" x14ac:dyDescent="0.2">
      <c r="A51" s="117"/>
      <c r="B51" s="118"/>
      <c r="C51" s="144"/>
      <c r="D51" s="132"/>
      <c r="E51" s="132" t="s">
        <v>195</v>
      </c>
      <c r="F51" s="133" t="s">
        <v>168</v>
      </c>
      <c r="G51" s="134">
        <v>709</v>
      </c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</row>
    <row r="52" spans="1:72" s="113" customFormat="1" ht="12" customHeight="1" x14ac:dyDescent="0.2">
      <c r="A52" s="135"/>
      <c r="B52" s="136"/>
      <c r="C52" s="144"/>
      <c r="D52" s="132"/>
      <c r="E52" s="137"/>
      <c r="F52" s="138"/>
      <c r="G52" s="138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</row>
    <row r="53" spans="1:72" s="113" customFormat="1" ht="27" customHeight="1" x14ac:dyDescent="0.2">
      <c r="A53" s="181"/>
      <c r="B53" s="182" t="s">
        <v>196</v>
      </c>
      <c r="C53" s="183"/>
      <c r="D53" s="184"/>
      <c r="E53" s="185"/>
      <c r="F53" s="185">
        <f>SUM(F12,F17,F22,F41)</f>
        <v>10788930</v>
      </c>
      <c r="G53" s="185">
        <f>SUM(G13,G18,G23,G42)</f>
        <v>17870930</v>
      </c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</row>
    <row r="55" spans="1:72" s="148" customFormat="1" x14ac:dyDescent="0.25">
      <c r="A55" s="186"/>
      <c r="B55" s="166"/>
      <c r="C55" s="166"/>
      <c r="D55" s="166"/>
      <c r="E55" s="166"/>
    </row>
    <row r="56" spans="1:72" s="148" customFormat="1" x14ac:dyDescent="0.25">
      <c r="A56" s="166"/>
      <c r="B56" s="166"/>
      <c r="C56" s="166"/>
      <c r="D56" s="166"/>
      <c r="E56" s="166"/>
      <c r="G56" s="53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828B-6CEF-48BD-BEB2-169D13B78AA2}">
  <dimension ref="A1:BX88"/>
  <sheetViews>
    <sheetView topLeftCell="A25" zoomScale="130" zoomScaleNormal="130" workbookViewId="0">
      <selection activeCell="B35" sqref="B35"/>
    </sheetView>
  </sheetViews>
  <sheetFormatPr defaultRowHeight="15" x14ac:dyDescent="0.25"/>
  <cols>
    <col min="1" max="1" width="4.85546875" style="166" customWidth="1"/>
    <col min="2" max="2" width="33.42578125" style="166" customWidth="1"/>
    <col min="3" max="3" width="8.5703125" style="166" customWidth="1"/>
    <col min="4" max="4" width="9.42578125" style="166" customWidth="1"/>
    <col min="5" max="5" width="8.140625" style="166" customWidth="1"/>
    <col min="6" max="6" width="13" style="148" customWidth="1"/>
    <col min="7" max="7" width="12.85546875" style="148" customWidth="1"/>
    <col min="8" max="8" width="9.140625" style="148"/>
    <col min="9" max="9" width="12.42578125" style="148" customWidth="1"/>
    <col min="10" max="76" width="9.140625" style="148"/>
    <col min="77" max="253" width="9.140625" style="166"/>
    <col min="254" max="254" width="5.28515625" style="166" customWidth="1"/>
    <col min="255" max="255" width="8" style="166" customWidth="1"/>
    <col min="256" max="256" width="5.85546875" style="166" customWidth="1"/>
    <col min="257" max="257" width="9.42578125" style="166" customWidth="1"/>
    <col min="258" max="258" width="11.28515625" style="166" customWidth="1"/>
    <col min="259" max="259" width="11" style="166" customWidth="1"/>
    <col min="260" max="260" width="13.140625" style="166" customWidth="1"/>
    <col min="261" max="261" width="11.7109375" style="166" customWidth="1"/>
    <col min="262" max="262" width="11.140625" style="166" customWidth="1"/>
    <col min="263" max="263" width="11.7109375" style="166" customWidth="1"/>
    <col min="264" max="509" width="9.140625" style="166"/>
    <col min="510" max="510" width="5.28515625" style="166" customWidth="1"/>
    <col min="511" max="511" width="8" style="166" customWidth="1"/>
    <col min="512" max="512" width="5.85546875" style="166" customWidth="1"/>
    <col min="513" max="513" width="9.42578125" style="166" customWidth="1"/>
    <col min="514" max="514" width="11.28515625" style="166" customWidth="1"/>
    <col min="515" max="515" width="11" style="166" customWidth="1"/>
    <col min="516" max="516" width="13.140625" style="166" customWidth="1"/>
    <col min="517" max="517" width="11.7109375" style="166" customWidth="1"/>
    <col min="518" max="518" width="11.140625" style="166" customWidth="1"/>
    <col min="519" max="519" width="11.7109375" style="166" customWidth="1"/>
    <col min="520" max="765" width="9.140625" style="166"/>
    <col min="766" max="766" width="5.28515625" style="166" customWidth="1"/>
    <col min="767" max="767" width="8" style="166" customWidth="1"/>
    <col min="768" max="768" width="5.85546875" style="166" customWidth="1"/>
    <col min="769" max="769" width="9.42578125" style="166" customWidth="1"/>
    <col min="770" max="770" width="11.28515625" style="166" customWidth="1"/>
    <col min="771" max="771" width="11" style="166" customWidth="1"/>
    <col min="772" max="772" width="13.140625" style="166" customWidth="1"/>
    <col min="773" max="773" width="11.7109375" style="166" customWidth="1"/>
    <col min="774" max="774" width="11.140625" style="166" customWidth="1"/>
    <col min="775" max="775" width="11.7109375" style="166" customWidth="1"/>
    <col min="776" max="1021" width="9.140625" style="166"/>
    <col min="1022" max="1022" width="5.28515625" style="166" customWidth="1"/>
    <col min="1023" max="1023" width="8" style="166" customWidth="1"/>
    <col min="1024" max="1024" width="5.85546875" style="166" customWidth="1"/>
    <col min="1025" max="1025" width="9.42578125" style="166" customWidth="1"/>
    <col min="1026" max="1026" width="11.28515625" style="166" customWidth="1"/>
    <col min="1027" max="1027" width="11" style="166" customWidth="1"/>
    <col min="1028" max="1028" width="13.140625" style="166" customWidth="1"/>
    <col min="1029" max="1029" width="11.7109375" style="166" customWidth="1"/>
    <col min="1030" max="1030" width="11.140625" style="166" customWidth="1"/>
    <col min="1031" max="1031" width="11.7109375" style="166" customWidth="1"/>
    <col min="1032" max="1277" width="9.140625" style="166"/>
    <col min="1278" max="1278" width="5.28515625" style="166" customWidth="1"/>
    <col min="1279" max="1279" width="8" style="166" customWidth="1"/>
    <col min="1280" max="1280" width="5.85546875" style="166" customWidth="1"/>
    <col min="1281" max="1281" width="9.42578125" style="166" customWidth="1"/>
    <col min="1282" max="1282" width="11.28515625" style="166" customWidth="1"/>
    <col min="1283" max="1283" width="11" style="166" customWidth="1"/>
    <col min="1284" max="1284" width="13.140625" style="166" customWidth="1"/>
    <col min="1285" max="1285" width="11.7109375" style="166" customWidth="1"/>
    <col min="1286" max="1286" width="11.140625" style="166" customWidth="1"/>
    <col min="1287" max="1287" width="11.7109375" style="166" customWidth="1"/>
    <col min="1288" max="1533" width="9.140625" style="166"/>
    <col min="1534" max="1534" width="5.28515625" style="166" customWidth="1"/>
    <col min="1535" max="1535" width="8" style="166" customWidth="1"/>
    <col min="1536" max="1536" width="5.85546875" style="166" customWidth="1"/>
    <col min="1537" max="1537" width="9.42578125" style="166" customWidth="1"/>
    <col min="1538" max="1538" width="11.28515625" style="166" customWidth="1"/>
    <col min="1539" max="1539" width="11" style="166" customWidth="1"/>
    <col min="1540" max="1540" width="13.140625" style="166" customWidth="1"/>
    <col min="1541" max="1541" width="11.7109375" style="166" customWidth="1"/>
    <col min="1542" max="1542" width="11.140625" style="166" customWidth="1"/>
    <col min="1543" max="1543" width="11.7109375" style="166" customWidth="1"/>
    <col min="1544" max="1789" width="9.140625" style="166"/>
    <col min="1790" max="1790" width="5.28515625" style="166" customWidth="1"/>
    <col min="1791" max="1791" width="8" style="166" customWidth="1"/>
    <col min="1792" max="1792" width="5.85546875" style="166" customWidth="1"/>
    <col min="1793" max="1793" width="9.42578125" style="166" customWidth="1"/>
    <col min="1794" max="1794" width="11.28515625" style="166" customWidth="1"/>
    <col min="1795" max="1795" width="11" style="166" customWidth="1"/>
    <col min="1796" max="1796" width="13.140625" style="166" customWidth="1"/>
    <col min="1797" max="1797" width="11.7109375" style="166" customWidth="1"/>
    <col min="1798" max="1798" width="11.140625" style="166" customWidth="1"/>
    <col min="1799" max="1799" width="11.7109375" style="166" customWidth="1"/>
    <col min="1800" max="2045" width="9.140625" style="166"/>
    <col min="2046" max="2046" width="5.28515625" style="166" customWidth="1"/>
    <col min="2047" max="2047" width="8" style="166" customWidth="1"/>
    <col min="2048" max="2048" width="5.85546875" style="166" customWidth="1"/>
    <col min="2049" max="2049" width="9.42578125" style="166" customWidth="1"/>
    <col min="2050" max="2050" width="11.28515625" style="166" customWidth="1"/>
    <col min="2051" max="2051" width="11" style="166" customWidth="1"/>
    <col min="2052" max="2052" width="13.140625" style="166" customWidth="1"/>
    <col min="2053" max="2053" width="11.7109375" style="166" customWidth="1"/>
    <col min="2054" max="2054" width="11.140625" style="166" customWidth="1"/>
    <col min="2055" max="2055" width="11.7109375" style="166" customWidth="1"/>
    <col min="2056" max="2301" width="9.140625" style="166"/>
    <col min="2302" max="2302" width="5.28515625" style="166" customWidth="1"/>
    <col min="2303" max="2303" width="8" style="166" customWidth="1"/>
    <col min="2304" max="2304" width="5.85546875" style="166" customWidth="1"/>
    <col min="2305" max="2305" width="9.42578125" style="166" customWidth="1"/>
    <col min="2306" max="2306" width="11.28515625" style="166" customWidth="1"/>
    <col min="2307" max="2307" width="11" style="166" customWidth="1"/>
    <col min="2308" max="2308" width="13.140625" style="166" customWidth="1"/>
    <col min="2309" max="2309" width="11.7109375" style="166" customWidth="1"/>
    <col min="2310" max="2310" width="11.140625" style="166" customWidth="1"/>
    <col min="2311" max="2311" width="11.7109375" style="166" customWidth="1"/>
    <col min="2312" max="2557" width="9.140625" style="166"/>
    <col min="2558" max="2558" width="5.28515625" style="166" customWidth="1"/>
    <col min="2559" max="2559" width="8" style="166" customWidth="1"/>
    <col min="2560" max="2560" width="5.85546875" style="166" customWidth="1"/>
    <col min="2561" max="2561" width="9.42578125" style="166" customWidth="1"/>
    <col min="2562" max="2562" width="11.28515625" style="166" customWidth="1"/>
    <col min="2563" max="2563" width="11" style="166" customWidth="1"/>
    <col min="2564" max="2564" width="13.140625" style="166" customWidth="1"/>
    <col min="2565" max="2565" width="11.7109375" style="166" customWidth="1"/>
    <col min="2566" max="2566" width="11.140625" style="166" customWidth="1"/>
    <col min="2567" max="2567" width="11.7109375" style="166" customWidth="1"/>
    <col min="2568" max="2813" width="9.140625" style="166"/>
    <col min="2814" max="2814" width="5.28515625" style="166" customWidth="1"/>
    <col min="2815" max="2815" width="8" style="166" customWidth="1"/>
    <col min="2816" max="2816" width="5.85546875" style="166" customWidth="1"/>
    <col min="2817" max="2817" width="9.42578125" style="166" customWidth="1"/>
    <col min="2818" max="2818" width="11.28515625" style="166" customWidth="1"/>
    <col min="2819" max="2819" width="11" style="166" customWidth="1"/>
    <col min="2820" max="2820" width="13.140625" style="166" customWidth="1"/>
    <col min="2821" max="2821" width="11.7109375" style="166" customWidth="1"/>
    <col min="2822" max="2822" width="11.140625" style="166" customWidth="1"/>
    <col min="2823" max="2823" width="11.7109375" style="166" customWidth="1"/>
    <col min="2824" max="3069" width="9.140625" style="166"/>
    <col min="3070" max="3070" width="5.28515625" style="166" customWidth="1"/>
    <col min="3071" max="3071" width="8" style="166" customWidth="1"/>
    <col min="3072" max="3072" width="5.85546875" style="166" customWidth="1"/>
    <col min="3073" max="3073" width="9.42578125" style="166" customWidth="1"/>
    <col min="3074" max="3074" width="11.28515625" style="166" customWidth="1"/>
    <col min="3075" max="3075" width="11" style="166" customWidth="1"/>
    <col min="3076" max="3076" width="13.140625" style="166" customWidth="1"/>
    <col min="3077" max="3077" width="11.7109375" style="166" customWidth="1"/>
    <col min="3078" max="3078" width="11.140625" style="166" customWidth="1"/>
    <col min="3079" max="3079" width="11.7109375" style="166" customWidth="1"/>
    <col min="3080" max="3325" width="9.140625" style="166"/>
    <col min="3326" max="3326" width="5.28515625" style="166" customWidth="1"/>
    <col min="3327" max="3327" width="8" style="166" customWidth="1"/>
    <col min="3328" max="3328" width="5.85546875" style="166" customWidth="1"/>
    <col min="3329" max="3329" width="9.42578125" style="166" customWidth="1"/>
    <col min="3330" max="3330" width="11.28515625" style="166" customWidth="1"/>
    <col min="3331" max="3331" width="11" style="166" customWidth="1"/>
    <col min="3332" max="3332" width="13.140625" style="166" customWidth="1"/>
    <col min="3333" max="3333" width="11.7109375" style="166" customWidth="1"/>
    <col min="3334" max="3334" width="11.140625" style="166" customWidth="1"/>
    <col min="3335" max="3335" width="11.7109375" style="166" customWidth="1"/>
    <col min="3336" max="3581" width="9.140625" style="166"/>
    <col min="3582" max="3582" width="5.28515625" style="166" customWidth="1"/>
    <col min="3583" max="3583" width="8" style="166" customWidth="1"/>
    <col min="3584" max="3584" width="5.85546875" style="166" customWidth="1"/>
    <col min="3585" max="3585" width="9.42578125" style="166" customWidth="1"/>
    <col min="3586" max="3586" width="11.28515625" style="166" customWidth="1"/>
    <col min="3587" max="3587" width="11" style="166" customWidth="1"/>
    <col min="3588" max="3588" width="13.140625" style="166" customWidth="1"/>
    <col min="3589" max="3589" width="11.7109375" style="166" customWidth="1"/>
    <col min="3590" max="3590" width="11.140625" style="166" customWidth="1"/>
    <col min="3591" max="3591" width="11.7109375" style="166" customWidth="1"/>
    <col min="3592" max="3837" width="9.140625" style="166"/>
    <col min="3838" max="3838" width="5.28515625" style="166" customWidth="1"/>
    <col min="3839" max="3839" width="8" style="166" customWidth="1"/>
    <col min="3840" max="3840" width="5.85546875" style="166" customWidth="1"/>
    <col min="3841" max="3841" width="9.42578125" style="166" customWidth="1"/>
    <col min="3842" max="3842" width="11.28515625" style="166" customWidth="1"/>
    <col min="3843" max="3843" width="11" style="166" customWidth="1"/>
    <col min="3844" max="3844" width="13.140625" style="166" customWidth="1"/>
    <col min="3845" max="3845" width="11.7109375" style="166" customWidth="1"/>
    <col min="3846" max="3846" width="11.140625" style="166" customWidth="1"/>
    <col min="3847" max="3847" width="11.7109375" style="166" customWidth="1"/>
    <col min="3848" max="4093" width="9.140625" style="166"/>
    <col min="4094" max="4094" width="5.28515625" style="166" customWidth="1"/>
    <col min="4095" max="4095" width="8" style="166" customWidth="1"/>
    <col min="4096" max="4096" width="5.85546875" style="166" customWidth="1"/>
    <col min="4097" max="4097" width="9.42578125" style="166" customWidth="1"/>
    <col min="4098" max="4098" width="11.28515625" style="166" customWidth="1"/>
    <col min="4099" max="4099" width="11" style="166" customWidth="1"/>
    <col min="4100" max="4100" width="13.140625" style="166" customWidth="1"/>
    <col min="4101" max="4101" width="11.7109375" style="166" customWidth="1"/>
    <col min="4102" max="4102" width="11.140625" style="166" customWidth="1"/>
    <col min="4103" max="4103" width="11.7109375" style="166" customWidth="1"/>
    <col min="4104" max="4349" width="9.140625" style="166"/>
    <col min="4350" max="4350" width="5.28515625" style="166" customWidth="1"/>
    <col min="4351" max="4351" width="8" style="166" customWidth="1"/>
    <col min="4352" max="4352" width="5.85546875" style="166" customWidth="1"/>
    <col min="4353" max="4353" width="9.42578125" style="166" customWidth="1"/>
    <col min="4354" max="4354" width="11.28515625" style="166" customWidth="1"/>
    <col min="4355" max="4355" width="11" style="166" customWidth="1"/>
    <col min="4356" max="4356" width="13.140625" style="166" customWidth="1"/>
    <col min="4357" max="4357" width="11.7109375" style="166" customWidth="1"/>
    <col min="4358" max="4358" width="11.140625" style="166" customWidth="1"/>
    <col min="4359" max="4359" width="11.7109375" style="166" customWidth="1"/>
    <col min="4360" max="4605" width="9.140625" style="166"/>
    <col min="4606" max="4606" width="5.28515625" style="166" customWidth="1"/>
    <col min="4607" max="4607" width="8" style="166" customWidth="1"/>
    <col min="4608" max="4608" width="5.85546875" style="166" customWidth="1"/>
    <col min="4609" max="4609" width="9.42578125" style="166" customWidth="1"/>
    <col min="4610" max="4610" width="11.28515625" style="166" customWidth="1"/>
    <col min="4611" max="4611" width="11" style="166" customWidth="1"/>
    <col min="4612" max="4612" width="13.140625" style="166" customWidth="1"/>
    <col min="4613" max="4613" width="11.7109375" style="166" customWidth="1"/>
    <col min="4614" max="4614" width="11.140625" style="166" customWidth="1"/>
    <col min="4615" max="4615" width="11.7109375" style="166" customWidth="1"/>
    <col min="4616" max="4861" width="9.140625" style="166"/>
    <col min="4862" max="4862" width="5.28515625" style="166" customWidth="1"/>
    <col min="4863" max="4863" width="8" style="166" customWidth="1"/>
    <col min="4864" max="4864" width="5.85546875" style="166" customWidth="1"/>
    <col min="4865" max="4865" width="9.42578125" style="166" customWidth="1"/>
    <col min="4866" max="4866" width="11.28515625" style="166" customWidth="1"/>
    <col min="4867" max="4867" width="11" style="166" customWidth="1"/>
    <col min="4868" max="4868" width="13.140625" style="166" customWidth="1"/>
    <col min="4869" max="4869" width="11.7109375" style="166" customWidth="1"/>
    <col min="4870" max="4870" width="11.140625" style="166" customWidth="1"/>
    <col min="4871" max="4871" width="11.7109375" style="166" customWidth="1"/>
    <col min="4872" max="5117" width="9.140625" style="166"/>
    <col min="5118" max="5118" width="5.28515625" style="166" customWidth="1"/>
    <col min="5119" max="5119" width="8" style="166" customWidth="1"/>
    <col min="5120" max="5120" width="5.85546875" style="166" customWidth="1"/>
    <col min="5121" max="5121" width="9.42578125" style="166" customWidth="1"/>
    <col min="5122" max="5122" width="11.28515625" style="166" customWidth="1"/>
    <col min="5123" max="5123" width="11" style="166" customWidth="1"/>
    <col min="5124" max="5124" width="13.140625" style="166" customWidth="1"/>
    <col min="5125" max="5125" width="11.7109375" style="166" customWidth="1"/>
    <col min="5126" max="5126" width="11.140625" style="166" customWidth="1"/>
    <col min="5127" max="5127" width="11.7109375" style="166" customWidth="1"/>
    <col min="5128" max="5373" width="9.140625" style="166"/>
    <col min="5374" max="5374" width="5.28515625" style="166" customWidth="1"/>
    <col min="5375" max="5375" width="8" style="166" customWidth="1"/>
    <col min="5376" max="5376" width="5.85546875" style="166" customWidth="1"/>
    <col min="5377" max="5377" width="9.42578125" style="166" customWidth="1"/>
    <col min="5378" max="5378" width="11.28515625" style="166" customWidth="1"/>
    <col min="5379" max="5379" width="11" style="166" customWidth="1"/>
    <col min="5380" max="5380" width="13.140625" style="166" customWidth="1"/>
    <col min="5381" max="5381" width="11.7109375" style="166" customWidth="1"/>
    <col min="5382" max="5382" width="11.140625" style="166" customWidth="1"/>
    <col min="5383" max="5383" width="11.7109375" style="166" customWidth="1"/>
    <col min="5384" max="5629" width="9.140625" style="166"/>
    <col min="5630" max="5630" width="5.28515625" style="166" customWidth="1"/>
    <col min="5631" max="5631" width="8" style="166" customWidth="1"/>
    <col min="5632" max="5632" width="5.85546875" style="166" customWidth="1"/>
    <col min="5633" max="5633" width="9.42578125" style="166" customWidth="1"/>
    <col min="5634" max="5634" width="11.28515625" style="166" customWidth="1"/>
    <col min="5635" max="5635" width="11" style="166" customWidth="1"/>
    <col min="5636" max="5636" width="13.140625" style="166" customWidth="1"/>
    <col min="5637" max="5637" width="11.7109375" style="166" customWidth="1"/>
    <col min="5638" max="5638" width="11.140625" style="166" customWidth="1"/>
    <col min="5639" max="5639" width="11.7109375" style="166" customWidth="1"/>
    <col min="5640" max="5885" width="9.140625" style="166"/>
    <col min="5886" max="5886" width="5.28515625" style="166" customWidth="1"/>
    <col min="5887" max="5887" width="8" style="166" customWidth="1"/>
    <col min="5888" max="5888" width="5.85546875" style="166" customWidth="1"/>
    <col min="5889" max="5889" width="9.42578125" style="166" customWidth="1"/>
    <col min="5890" max="5890" width="11.28515625" style="166" customWidth="1"/>
    <col min="5891" max="5891" width="11" style="166" customWidth="1"/>
    <col min="5892" max="5892" width="13.140625" style="166" customWidth="1"/>
    <col min="5893" max="5893" width="11.7109375" style="166" customWidth="1"/>
    <col min="5894" max="5894" width="11.140625" style="166" customWidth="1"/>
    <col min="5895" max="5895" width="11.7109375" style="166" customWidth="1"/>
    <col min="5896" max="6141" width="9.140625" style="166"/>
    <col min="6142" max="6142" width="5.28515625" style="166" customWidth="1"/>
    <col min="6143" max="6143" width="8" style="166" customWidth="1"/>
    <col min="6144" max="6144" width="5.85546875" style="166" customWidth="1"/>
    <col min="6145" max="6145" width="9.42578125" style="166" customWidth="1"/>
    <col min="6146" max="6146" width="11.28515625" style="166" customWidth="1"/>
    <col min="6147" max="6147" width="11" style="166" customWidth="1"/>
    <col min="6148" max="6148" width="13.140625" style="166" customWidth="1"/>
    <col min="6149" max="6149" width="11.7109375" style="166" customWidth="1"/>
    <col min="6150" max="6150" width="11.140625" style="166" customWidth="1"/>
    <col min="6151" max="6151" width="11.7109375" style="166" customWidth="1"/>
    <col min="6152" max="6397" width="9.140625" style="166"/>
    <col min="6398" max="6398" width="5.28515625" style="166" customWidth="1"/>
    <col min="6399" max="6399" width="8" style="166" customWidth="1"/>
    <col min="6400" max="6400" width="5.85546875" style="166" customWidth="1"/>
    <col min="6401" max="6401" width="9.42578125" style="166" customWidth="1"/>
    <col min="6402" max="6402" width="11.28515625" style="166" customWidth="1"/>
    <col min="6403" max="6403" width="11" style="166" customWidth="1"/>
    <col min="6404" max="6404" width="13.140625" style="166" customWidth="1"/>
    <col min="6405" max="6405" width="11.7109375" style="166" customWidth="1"/>
    <col min="6406" max="6406" width="11.140625" style="166" customWidth="1"/>
    <col min="6407" max="6407" width="11.7109375" style="166" customWidth="1"/>
    <col min="6408" max="6653" width="9.140625" style="166"/>
    <col min="6654" max="6654" width="5.28515625" style="166" customWidth="1"/>
    <col min="6655" max="6655" width="8" style="166" customWidth="1"/>
    <col min="6656" max="6656" width="5.85546875" style="166" customWidth="1"/>
    <col min="6657" max="6657" width="9.42578125" style="166" customWidth="1"/>
    <col min="6658" max="6658" width="11.28515625" style="166" customWidth="1"/>
    <col min="6659" max="6659" width="11" style="166" customWidth="1"/>
    <col min="6660" max="6660" width="13.140625" style="166" customWidth="1"/>
    <col min="6661" max="6661" width="11.7109375" style="166" customWidth="1"/>
    <col min="6662" max="6662" width="11.140625" style="166" customWidth="1"/>
    <col min="6663" max="6663" width="11.7109375" style="166" customWidth="1"/>
    <col min="6664" max="6909" width="9.140625" style="166"/>
    <col min="6910" max="6910" width="5.28515625" style="166" customWidth="1"/>
    <col min="6911" max="6911" width="8" style="166" customWidth="1"/>
    <col min="6912" max="6912" width="5.85546875" style="166" customWidth="1"/>
    <col min="6913" max="6913" width="9.42578125" style="166" customWidth="1"/>
    <col min="6914" max="6914" width="11.28515625" style="166" customWidth="1"/>
    <col min="6915" max="6915" width="11" style="166" customWidth="1"/>
    <col min="6916" max="6916" width="13.140625" style="166" customWidth="1"/>
    <col min="6917" max="6917" width="11.7109375" style="166" customWidth="1"/>
    <col min="6918" max="6918" width="11.140625" style="166" customWidth="1"/>
    <col min="6919" max="6919" width="11.7109375" style="166" customWidth="1"/>
    <col min="6920" max="7165" width="9.140625" style="166"/>
    <col min="7166" max="7166" width="5.28515625" style="166" customWidth="1"/>
    <col min="7167" max="7167" width="8" style="166" customWidth="1"/>
    <col min="7168" max="7168" width="5.85546875" style="166" customWidth="1"/>
    <col min="7169" max="7169" width="9.42578125" style="166" customWidth="1"/>
    <col min="7170" max="7170" width="11.28515625" style="166" customWidth="1"/>
    <col min="7171" max="7171" width="11" style="166" customWidth="1"/>
    <col min="7172" max="7172" width="13.140625" style="166" customWidth="1"/>
    <col min="7173" max="7173" width="11.7109375" style="166" customWidth="1"/>
    <col min="7174" max="7174" width="11.140625" style="166" customWidth="1"/>
    <col min="7175" max="7175" width="11.7109375" style="166" customWidth="1"/>
    <col min="7176" max="7421" width="9.140625" style="166"/>
    <col min="7422" max="7422" width="5.28515625" style="166" customWidth="1"/>
    <col min="7423" max="7423" width="8" style="166" customWidth="1"/>
    <col min="7424" max="7424" width="5.85546875" style="166" customWidth="1"/>
    <col min="7425" max="7425" width="9.42578125" style="166" customWidth="1"/>
    <col min="7426" max="7426" width="11.28515625" style="166" customWidth="1"/>
    <col min="7427" max="7427" width="11" style="166" customWidth="1"/>
    <col min="7428" max="7428" width="13.140625" style="166" customWidth="1"/>
    <col min="7429" max="7429" width="11.7109375" style="166" customWidth="1"/>
    <col min="7430" max="7430" width="11.140625" style="166" customWidth="1"/>
    <col min="7431" max="7431" width="11.7109375" style="166" customWidth="1"/>
    <col min="7432" max="7677" width="9.140625" style="166"/>
    <col min="7678" max="7678" width="5.28515625" style="166" customWidth="1"/>
    <col min="7679" max="7679" width="8" style="166" customWidth="1"/>
    <col min="7680" max="7680" width="5.85546875" style="166" customWidth="1"/>
    <col min="7681" max="7681" width="9.42578125" style="166" customWidth="1"/>
    <col min="7682" max="7682" width="11.28515625" style="166" customWidth="1"/>
    <col min="7683" max="7683" width="11" style="166" customWidth="1"/>
    <col min="7684" max="7684" width="13.140625" style="166" customWidth="1"/>
    <col min="7685" max="7685" width="11.7109375" style="166" customWidth="1"/>
    <col min="7686" max="7686" width="11.140625" style="166" customWidth="1"/>
    <col min="7687" max="7687" width="11.7109375" style="166" customWidth="1"/>
    <col min="7688" max="7933" width="9.140625" style="166"/>
    <col min="7934" max="7934" width="5.28515625" style="166" customWidth="1"/>
    <col min="7935" max="7935" width="8" style="166" customWidth="1"/>
    <col min="7936" max="7936" width="5.85546875" style="166" customWidth="1"/>
    <col min="7937" max="7937" width="9.42578125" style="166" customWidth="1"/>
    <col min="7938" max="7938" width="11.28515625" style="166" customWidth="1"/>
    <col min="7939" max="7939" width="11" style="166" customWidth="1"/>
    <col min="7940" max="7940" width="13.140625" style="166" customWidth="1"/>
    <col min="7941" max="7941" width="11.7109375" style="166" customWidth="1"/>
    <col min="7942" max="7942" width="11.140625" style="166" customWidth="1"/>
    <col min="7943" max="7943" width="11.7109375" style="166" customWidth="1"/>
    <col min="7944" max="8189" width="9.140625" style="166"/>
    <col min="8190" max="8190" width="5.28515625" style="166" customWidth="1"/>
    <col min="8191" max="8191" width="8" style="166" customWidth="1"/>
    <col min="8192" max="8192" width="5.85546875" style="166" customWidth="1"/>
    <col min="8193" max="8193" width="9.42578125" style="166" customWidth="1"/>
    <col min="8194" max="8194" width="11.28515625" style="166" customWidth="1"/>
    <col min="8195" max="8195" width="11" style="166" customWidth="1"/>
    <col min="8196" max="8196" width="13.140625" style="166" customWidth="1"/>
    <col min="8197" max="8197" width="11.7109375" style="166" customWidth="1"/>
    <col min="8198" max="8198" width="11.140625" style="166" customWidth="1"/>
    <col min="8199" max="8199" width="11.7109375" style="166" customWidth="1"/>
    <col min="8200" max="8445" width="9.140625" style="166"/>
    <col min="8446" max="8446" width="5.28515625" style="166" customWidth="1"/>
    <col min="8447" max="8447" width="8" style="166" customWidth="1"/>
    <col min="8448" max="8448" width="5.85546875" style="166" customWidth="1"/>
    <col min="8449" max="8449" width="9.42578125" style="166" customWidth="1"/>
    <col min="8450" max="8450" width="11.28515625" style="166" customWidth="1"/>
    <col min="8451" max="8451" width="11" style="166" customWidth="1"/>
    <col min="8452" max="8452" width="13.140625" style="166" customWidth="1"/>
    <col min="8453" max="8453" width="11.7109375" style="166" customWidth="1"/>
    <col min="8454" max="8454" width="11.140625" style="166" customWidth="1"/>
    <col min="8455" max="8455" width="11.7109375" style="166" customWidth="1"/>
    <col min="8456" max="8701" width="9.140625" style="166"/>
    <col min="8702" max="8702" width="5.28515625" style="166" customWidth="1"/>
    <col min="8703" max="8703" width="8" style="166" customWidth="1"/>
    <col min="8704" max="8704" width="5.85546875" style="166" customWidth="1"/>
    <col min="8705" max="8705" width="9.42578125" style="166" customWidth="1"/>
    <col min="8706" max="8706" width="11.28515625" style="166" customWidth="1"/>
    <col min="8707" max="8707" width="11" style="166" customWidth="1"/>
    <col min="8708" max="8708" width="13.140625" style="166" customWidth="1"/>
    <col min="8709" max="8709" width="11.7109375" style="166" customWidth="1"/>
    <col min="8710" max="8710" width="11.140625" style="166" customWidth="1"/>
    <col min="8711" max="8711" width="11.7109375" style="166" customWidth="1"/>
    <col min="8712" max="8957" width="9.140625" style="166"/>
    <col min="8958" max="8958" width="5.28515625" style="166" customWidth="1"/>
    <col min="8959" max="8959" width="8" style="166" customWidth="1"/>
    <col min="8960" max="8960" width="5.85546875" style="166" customWidth="1"/>
    <col min="8961" max="8961" width="9.42578125" style="166" customWidth="1"/>
    <col min="8962" max="8962" width="11.28515625" style="166" customWidth="1"/>
    <col min="8963" max="8963" width="11" style="166" customWidth="1"/>
    <col min="8964" max="8964" width="13.140625" style="166" customWidth="1"/>
    <col min="8965" max="8965" width="11.7109375" style="166" customWidth="1"/>
    <col min="8966" max="8966" width="11.140625" style="166" customWidth="1"/>
    <col min="8967" max="8967" width="11.7109375" style="166" customWidth="1"/>
    <col min="8968" max="9213" width="9.140625" style="166"/>
    <col min="9214" max="9214" width="5.28515625" style="166" customWidth="1"/>
    <col min="9215" max="9215" width="8" style="166" customWidth="1"/>
    <col min="9216" max="9216" width="5.85546875" style="166" customWidth="1"/>
    <col min="9217" max="9217" width="9.42578125" style="166" customWidth="1"/>
    <col min="9218" max="9218" width="11.28515625" style="166" customWidth="1"/>
    <col min="9219" max="9219" width="11" style="166" customWidth="1"/>
    <col min="9220" max="9220" width="13.140625" style="166" customWidth="1"/>
    <col min="9221" max="9221" width="11.7109375" style="166" customWidth="1"/>
    <col min="9222" max="9222" width="11.140625" style="166" customWidth="1"/>
    <col min="9223" max="9223" width="11.7109375" style="166" customWidth="1"/>
    <col min="9224" max="9469" width="9.140625" style="166"/>
    <col min="9470" max="9470" width="5.28515625" style="166" customWidth="1"/>
    <col min="9471" max="9471" width="8" style="166" customWidth="1"/>
    <col min="9472" max="9472" width="5.85546875" style="166" customWidth="1"/>
    <col min="9473" max="9473" width="9.42578125" style="166" customWidth="1"/>
    <col min="9474" max="9474" width="11.28515625" style="166" customWidth="1"/>
    <col min="9475" max="9475" width="11" style="166" customWidth="1"/>
    <col min="9476" max="9476" width="13.140625" style="166" customWidth="1"/>
    <col min="9477" max="9477" width="11.7109375" style="166" customWidth="1"/>
    <col min="9478" max="9478" width="11.140625" style="166" customWidth="1"/>
    <col min="9479" max="9479" width="11.7109375" style="166" customWidth="1"/>
    <col min="9480" max="9725" width="9.140625" style="166"/>
    <col min="9726" max="9726" width="5.28515625" style="166" customWidth="1"/>
    <col min="9727" max="9727" width="8" style="166" customWidth="1"/>
    <col min="9728" max="9728" width="5.85546875" style="166" customWidth="1"/>
    <col min="9729" max="9729" width="9.42578125" style="166" customWidth="1"/>
    <col min="9730" max="9730" width="11.28515625" style="166" customWidth="1"/>
    <col min="9731" max="9731" width="11" style="166" customWidth="1"/>
    <col min="9732" max="9732" width="13.140625" style="166" customWidth="1"/>
    <col min="9733" max="9733" width="11.7109375" style="166" customWidth="1"/>
    <col min="9734" max="9734" width="11.140625" style="166" customWidth="1"/>
    <col min="9735" max="9735" width="11.7109375" style="166" customWidth="1"/>
    <col min="9736" max="9981" width="9.140625" style="166"/>
    <col min="9982" max="9982" width="5.28515625" style="166" customWidth="1"/>
    <col min="9983" max="9983" width="8" style="166" customWidth="1"/>
    <col min="9984" max="9984" width="5.85546875" style="166" customWidth="1"/>
    <col min="9985" max="9985" width="9.42578125" style="166" customWidth="1"/>
    <col min="9986" max="9986" width="11.28515625" style="166" customWidth="1"/>
    <col min="9987" max="9987" width="11" style="166" customWidth="1"/>
    <col min="9988" max="9988" width="13.140625" style="166" customWidth="1"/>
    <col min="9989" max="9989" width="11.7109375" style="166" customWidth="1"/>
    <col min="9990" max="9990" width="11.140625" style="166" customWidth="1"/>
    <col min="9991" max="9991" width="11.7109375" style="166" customWidth="1"/>
    <col min="9992" max="10237" width="9.140625" style="166"/>
    <col min="10238" max="10238" width="5.28515625" style="166" customWidth="1"/>
    <col min="10239" max="10239" width="8" style="166" customWidth="1"/>
    <col min="10240" max="10240" width="5.85546875" style="166" customWidth="1"/>
    <col min="10241" max="10241" width="9.42578125" style="166" customWidth="1"/>
    <col min="10242" max="10242" width="11.28515625" style="166" customWidth="1"/>
    <col min="10243" max="10243" width="11" style="166" customWidth="1"/>
    <col min="10244" max="10244" width="13.140625" style="166" customWidth="1"/>
    <col min="10245" max="10245" width="11.7109375" style="166" customWidth="1"/>
    <col min="10246" max="10246" width="11.140625" style="166" customWidth="1"/>
    <col min="10247" max="10247" width="11.7109375" style="166" customWidth="1"/>
    <col min="10248" max="10493" width="9.140625" style="166"/>
    <col min="10494" max="10494" width="5.28515625" style="166" customWidth="1"/>
    <col min="10495" max="10495" width="8" style="166" customWidth="1"/>
    <col min="10496" max="10496" width="5.85546875" style="166" customWidth="1"/>
    <col min="10497" max="10497" width="9.42578125" style="166" customWidth="1"/>
    <col min="10498" max="10498" width="11.28515625" style="166" customWidth="1"/>
    <col min="10499" max="10499" width="11" style="166" customWidth="1"/>
    <col min="10500" max="10500" width="13.140625" style="166" customWidth="1"/>
    <col min="10501" max="10501" width="11.7109375" style="166" customWidth="1"/>
    <col min="10502" max="10502" width="11.140625" style="166" customWidth="1"/>
    <col min="10503" max="10503" width="11.7109375" style="166" customWidth="1"/>
    <col min="10504" max="10749" width="9.140625" style="166"/>
    <col min="10750" max="10750" width="5.28515625" style="166" customWidth="1"/>
    <col min="10751" max="10751" width="8" style="166" customWidth="1"/>
    <col min="10752" max="10752" width="5.85546875" style="166" customWidth="1"/>
    <col min="10753" max="10753" width="9.42578125" style="166" customWidth="1"/>
    <col min="10754" max="10754" width="11.28515625" style="166" customWidth="1"/>
    <col min="10755" max="10755" width="11" style="166" customWidth="1"/>
    <col min="10756" max="10756" width="13.140625" style="166" customWidth="1"/>
    <col min="10757" max="10757" width="11.7109375" style="166" customWidth="1"/>
    <col min="10758" max="10758" width="11.140625" style="166" customWidth="1"/>
    <col min="10759" max="10759" width="11.7109375" style="166" customWidth="1"/>
    <col min="10760" max="11005" width="9.140625" style="166"/>
    <col min="11006" max="11006" width="5.28515625" style="166" customWidth="1"/>
    <col min="11007" max="11007" width="8" style="166" customWidth="1"/>
    <col min="11008" max="11008" width="5.85546875" style="166" customWidth="1"/>
    <col min="11009" max="11009" width="9.42578125" style="166" customWidth="1"/>
    <col min="11010" max="11010" width="11.28515625" style="166" customWidth="1"/>
    <col min="11011" max="11011" width="11" style="166" customWidth="1"/>
    <col min="11012" max="11012" width="13.140625" style="166" customWidth="1"/>
    <col min="11013" max="11013" width="11.7109375" style="166" customWidth="1"/>
    <col min="11014" max="11014" width="11.140625" style="166" customWidth="1"/>
    <col min="11015" max="11015" width="11.7109375" style="166" customWidth="1"/>
    <col min="11016" max="11261" width="9.140625" style="166"/>
    <col min="11262" max="11262" width="5.28515625" style="166" customWidth="1"/>
    <col min="11263" max="11263" width="8" style="166" customWidth="1"/>
    <col min="11264" max="11264" width="5.85546875" style="166" customWidth="1"/>
    <col min="11265" max="11265" width="9.42578125" style="166" customWidth="1"/>
    <col min="11266" max="11266" width="11.28515625" style="166" customWidth="1"/>
    <col min="11267" max="11267" width="11" style="166" customWidth="1"/>
    <col min="11268" max="11268" width="13.140625" style="166" customWidth="1"/>
    <col min="11269" max="11269" width="11.7109375" style="166" customWidth="1"/>
    <col min="11270" max="11270" width="11.140625" style="166" customWidth="1"/>
    <col min="11271" max="11271" width="11.7109375" style="166" customWidth="1"/>
    <col min="11272" max="11517" width="9.140625" style="166"/>
    <col min="11518" max="11518" width="5.28515625" style="166" customWidth="1"/>
    <col min="11519" max="11519" width="8" style="166" customWidth="1"/>
    <col min="11520" max="11520" width="5.85546875" style="166" customWidth="1"/>
    <col min="11521" max="11521" width="9.42578125" style="166" customWidth="1"/>
    <col min="11522" max="11522" width="11.28515625" style="166" customWidth="1"/>
    <col min="11523" max="11523" width="11" style="166" customWidth="1"/>
    <col min="11524" max="11524" width="13.140625" style="166" customWidth="1"/>
    <col min="11525" max="11525" width="11.7109375" style="166" customWidth="1"/>
    <col min="11526" max="11526" width="11.140625" style="166" customWidth="1"/>
    <col min="11527" max="11527" width="11.7109375" style="166" customWidth="1"/>
    <col min="11528" max="11773" width="9.140625" style="166"/>
    <col min="11774" max="11774" width="5.28515625" style="166" customWidth="1"/>
    <col min="11775" max="11775" width="8" style="166" customWidth="1"/>
    <col min="11776" max="11776" width="5.85546875" style="166" customWidth="1"/>
    <col min="11777" max="11777" width="9.42578125" style="166" customWidth="1"/>
    <col min="11778" max="11778" width="11.28515625" style="166" customWidth="1"/>
    <col min="11779" max="11779" width="11" style="166" customWidth="1"/>
    <col min="11780" max="11780" width="13.140625" style="166" customWidth="1"/>
    <col min="11781" max="11781" width="11.7109375" style="166" customWidth="1"/>
    <col min="11782" max="11782" width="11.140625" style="166" customWidth="1"/>
    <col min="11783" max="11783" width="11.7109375" style="166" customWidth="1"/>
    <col min="11784" max="12029" width="9.140625" style="166"/>
    <col min="12030" max="12030" width="5.28515625" style="166" customWidth="1"/>
    <col min="12031" max="12031" width="8" style="166" customWidth="1"/>
    <col min="12032" max="12032" width="5.85546875" style="166" customWidth="1"/>
    <col min="12033" max="12033" width="9.42578125" style="166" customWidth="1"/>
    <col min="12034" max="12034" width="11.28515625" style="166" customWidth="1"/>
    <col min="12035" max="12035" width="11" style="166" customWidth="1"/>
    <col min="12036" max="12036" width="13.140625" style="166" customWidth="1"/>
    <col min="12037" max="12037" width="11.7109375" style="166" customWidth="1"/>
    <col min="12038" max="12038" width="11.140625" style="166" customWidth="1"/>
    <col min="12039" max="12039" width="11.7109375" style="166" customWidth="1"/>
    <col min="12040" max="12285" width="9.140625" style="166"/>
    <col min="12286" max="12286" width="5.28515625" style="166" customWidth="1"/>
    <col min="12287" max="12287" width="8" style="166" customWidth="1"/>
    <col min="12288" max="12288" width="5.85546875" style="166" customWidth="1"/>
    <col min="12289" max="12289" width="9.42578125" style="166" customWidth="1"/>
    <col min="12290" max="12290" width="11.28515625" style="166" customWidth="1"/>
    <col min="12291" max="12291" width="11" style="166" customWidth="1"/>
    <col min="12292" max="12292" width="13.140625" style="166" customWidth="1"/>
    <col min="12293" max="12293" width="11.7109375" style="166" customWidth="1"/>
    <col min="12294" max="12294" width="11.140625" style="166" customWidth="1"/>
    <col min="12295" max="12295" width="11.7109375" style="166" customWidth="1"/>
    <col min="12296" max="12541" width="9.140625" style="166"/>
    <col min="12542" max="12542" width="5.28515625" style="166" customWidth="1"/>
    <col min="12543" max="12543" width="8" style="166" customWidth="1"/>
    <col min="12544" max="12544" width="5.85546875" style="166" customWidth="1"/>
    <col min="12545" max="12545" width="9.42578125" style="166" customWidth="1"/>
    <col min="12546" max="12546" width="11.28515625" style="166" customWidth="1"/>
    <col min="12547" max="12547" width="11" style="166" customWidth="1"/>
    <col min="12548" max="12548" width="13.140625" style="166" customWidth="1"/>
    <col min="12549" max="12549" width="11.7109375" style="166" customWidth="1"/>
    <col min="12550" max="12550" width="11.140625" style="166" customWidth="1"/>
    <col min="12551" max="12551" width="11.7109375" style="166" customWidth="1"/>
    <col min="12552" max="12797" width="9.140625" style="166"/>
    <col min="12798" max="12798" width="5.28515625" style="166" customWidth="1"/>
    <col min="12799" max="12799" width="8" style="166" customWidth="1"/>
    <col min="12800" max="12800" width="5.85546875" style="166" customWidth="1"/>
    <col min="12801" max="12801" width="9.42578125" style="166" customWidth="1"/>
    <col min="12802" max="12802" width="11.28515625" style="166" customWidth="1"/>
    <col min="12803" max="12803" width="11" style="166" customWidth="1"/>
    <col min="12804" max="12804" width="13.140625" style="166" customWidth="1"/>
    <col min="12805" max="12805" width="11.7109375" style="166" customWidth="1"/>
    <col min="12806" max="12806" width="11.140625" style="166" customWidth="1"/>
    <col min="12807" max="12807" width="11.7109375" style="166" customWidth="1"/>
    <col min="12808" max="13053" width="9.140625" style="166"/>
    <col min="13054" max="13054" width="5.28515625" style="166" customWidth="1"/>
    <col min="13055" max="13055" width="8" style="166" customWidth="1"/>
    <col min="13056" max="13056" width="5.85546875" style="166" customWidth="1"/>
    <col min="13057" max="13057" width="9.42578125" style="166" customWidth="1"/>
    <col min="13058" max="13058" width="11.28515625" style="166" customWidth="1"/>
    <col min="13059" max="13059" width="11" style="166" customWidth="1"/>
    <col min="13060" max="13060" width="13.140625" style="166" customWidth="1"/>
    <col min="13061" max="13061" width="11.7109375" style="166" customWidth="1"/>
    <col min="13062" max="13062" width="11.140625" style="166" customWidth="1"/>
    <col min="13063" max="13063" width="11.7109375" style="166" customWidth="1"/>
    <col min="13064" max="13309" width="9.140625" style="166"/>
    <col min="13310" max="13310" width="5.28515625" style="166" customWidth="1"/>
    <col min="13311" max="13311" width="8" style="166" customWidth="1"/>
    <col min="13312" max="13312" width="5.85546875" style="166" customWidth="1"/>
    <col min="13313" max="13313" width="9.42578125" style="166" customWidth="1"/>
    <col min="13314" max="13314" width="11.28515625" style="166" customWidth="1"/>
    <col min="13315" max="13315" width="11" style="166" customWidth="1"/>
    <col min="13316" max="13316" width="13.140625" style="166" customWidth="1"/>
    <col min="13317" max="13317" width="11.7109375" style="166" customWidth="1"/>
    <col min="13318" max="13318" width="11.140625" style="166" customWidth="1"/>
    <col min="13319" max="13319" width="11.7109375" style="166" customWidth="1"/>
    <col min="13320" max="13565" width="9.140625" style="166"/>
    <col min="13566" max="13566" width="5.28515625" style="166" customWidth="1"/>
    <col min="13567" max="13567" width="8" style="166" customWidth="1"/>
    <col min="13568" max="13568" width="5.85546875" style="166" customWidth="1"/>
    <col min="13569" max="13569" width="9.42578125" style="166" customWidth="1"/>
    <col min="13570" max="13570" width="11.28515625" style="166" customWidth="1"/>
    <col min="13571" max="13571" width="11" style="166" customWidth="1"/>
    <col min="13572" max="13572" width="13.140625" style="166" customWidth="1"/>
    <col min="13573" max="13573" width="11.7109375" style="166" customWidth="1"/>
    <col min="13574" max="13574" width="11.140625" style="166" customWidth="1"/>
    <col min="13575" max="13575" width="11.7109375" style="166" customWidth="1"/>
    <col min="13576" max="13821" width="9.140625" style="166"/>
    <col min="13822" max="13822" width="5.28515625" style="166" customWidth="1"/>
    <col min="13823" max="13823" width="8" style="166" customWidth="1"/>
    <col min="13824" max="13824" width="5.85546875" style="166" customWidth="1"/>
    <col min="13825" max="13825" width="9.42578125" style="166" customWidth="1"/>
    <col min="13826" max="13826" width="11.28515625" style="166" customWidth="1"/>
    <col min="13827" max="13827" width="11" style="166" customWidth="1"/>
    <col min="13828" max="13828" width="13.140625" style="166" customWidth="1"/>
    <col min="13829" max="13829" width="11.7109375" style="166" customWidth="1"/>
    <col min="13830" max="13830" width="11.140625" style="166" customWidth="1"/>
    <col min="13831" max="13831" width="11.7109375" style="166" customWidth="1"/>
    <col min="13832" max="14077" width="9.140625" style="166"/>
    <col min="14078" max="14078" width="5.28515625" style="166" customWidth="1"/>
    <col min="14079" max="14079" width="8" style="166" customWidth="1"/>
    <col min="14080" max="14080" width="5.85546875" style="166" customWidth="1"/>
    <col min="14081" max="14081" width="9.42578125" style="166" customWidth="1"/>
    <col min="14082" max="14082" width="11.28515625" style="166" customWidth="1"/>
    <col min="14083" max="14083" width="11" style="166" customWidth="1"/>
    <col min="14084" max="14084" width="13.140625" style="166" customWidth="1"/>
    <col min="14085" max="14085" width="11.7109375" style="166" customWidth="1"/>
    <col min="14086" max="14086" width="11.140625" style="166" customWidth="1"/>
    <col min="14087" max="14087" width="11.7109375" style="166" customWidth="1"/>
    <col min="14088" max="14333" width="9.140625" style="166"/>
    <col min="14334" max="14334" width="5.28515625" style="166" customWidth="1"/>
    <col min="14335" max="14335" width="8" style="166" customWidth="1"/>
    <col min="14336" max="14336" width="5.85546875" style="166" customWidth="1"/>
    <col min="14337" max="14337" width="9.42578125" style="166" customWidth="1"/>
    <col min="14338" max="14338" width="11.28515625" style="166" customWidth="1"/>
    <col min="14339" max="14339" width="11" style="166" customWidth="1"/>
    <col min="14340" max="14340" width="13.140625" style="166" customWidth="1"/>
    <col min="14341" max="14341" width="11.7109375" style="166" customWidth="1"/>
    <col min="14342" max="14342" width="11.140625" style="166" customWidth="1"/>
    <col min="14343" max="14343" width="11.7109375" style="166" customWidth="1"/>
    <col min="14344" max="14589" width="9.140625" style="166"/>
    <col min="14590" max="14590" width="5.28515625" style="166" customWidth="1"/>
    <col min="14591" max="14591" width="8" style="166" customWidth="1"/>
    <col min="14592" max="14592" width="5.85546875" style="166" customWidth="1"/>
    <col min="14593" max="14593" width="9.42578125" style="166" customWidth="1"/>
    <col min="14594" max="14594" width="11.28515625" style="166" customWidth="1"/>
    <col min="14595" max="14595" width="11" style="166" customWidth="1"/>
    <col min="14596" max="14596" width="13.140625" style="166" customWidth="1"/>
    <col min="14597" max="14597" width="11.7109375" style="166" customWidth="1"/>
    <col min="14598" max="14598" width="11.140625" style="166" customWidth="1"/>
    <col min="14599" max="14599" width="11.7109375" style="166" customWidth="1"/>
    <col min="14600" max="14845" width="9.140625" style="166"/>
    <col min="14846" max="14846" width="5.28515625" style="166" customWidth="1"/>
    <col min="14847" max="14847" width="8" style="166" customWidth="1"/>
    <col min="14848" max="14848" width="5.85546875" style="166" customWidth="1"/>
    <col min="14849" max="14849" width="9.42578125" style="166" customWidth="1"/>
    <col min="14850" max="14850" width="11.28515625" style="166" customWidth="1"/>
    <col min="14851" max="14851" width="11" style="166" customWidth="1"/>
    <col min="14852" max="14852" width="13.140625" style="166" customWidth="1"/>
    <col min="14853" max="14853" width="11.7109375" style="166" customWidth="1"/>
    <col min="14854" max="14854" width="11.140625" style="166" customWidth="1"/>
    <col min="14855" max="14855" width="11.7109375" style="166" customWidth="1"/>
    <col min="14856" max="15101" width="9.140625" style="166"/>
    <col min="15102" max="15102" width="5.28515625" style="166" customWidth="1"/>
    <col min="15103" max="15103" width="8" style="166" customWidth="1"/>
    <col min="15104" max="15104" width="5.85546875" style="166" customWidth="1"/>
    <col min="15105" max="15105" width="9.42578125" style="166" customWidth="1"/>
    <col min="15106" max="15106" width="11.28515625" style="166" customWidth="1"/>
    <col min="15107" max="15107" width="11" style="166" customWidth="1"/>
    <col min="15108" max="15108" width="13.140625" style="166" customWidth="1"/>
    <col min="15109" max="15109" width="11.7109375" style="166" customWidth="1"/>
    <col min="15110" max="15110" width="11.140625" style="166" customWidth="1"/>
    <col min="15111" max="15111" width="11.7109375" style="166" customWidth="1"/>
    <col min="15112" max="15357" width="9.140625" style="166"/>
    <col min="15358" max="15358" width="5.28515625" style="166" customWidth="1"/>
    <col min="15359" max="15359" width="8" style="166" customWidth="1"/>
    <col min="15360" max="15360" width="5.85546875" style="166" customWidth="1"/>
    <col min="15361" max="15361" width="9.42578125" style="166" customWidth="1"/>
    <col min="15362" max="15362" width="11.28515625" style="166" customWidth="1"/>
    <col min="15363" max="15363" width="11" style="166" customWidth="1"/>
    <col min="15364" max="15364" width="13.140625" style="166" customWidth="1"/>
    <col min="15365" max="15365" width="11.7109375" style="166" customWidth="1"/>
    <col min="15366" max="15366" width="11.140625" style="166" customWidth="1"/>
    <col min="15367" max="15367" width="11.7109375" style="166" customWidth="1"/>
    <col min="15368" max="15613" width="9.140625" style="166"/>
    <col min="15614" max="15614" width="5.28515625" style="166" customWidth="1"/>
    <col min="15615" max="15615" width="8" style="166" customWidth="1"/>
    <col min="15616" max="15616" width="5.85546875" style="166" customWidth="1"/>
    <col min="15617" max="15617" width="9.42578125" style="166" customWidth="1"/>
    <col min="15618" max="15618" width="11.28515625" style="166" customWidth="1"/>
    <col min="15619" max="15619" width="11" style="166" customWidth="1"/>
    <col min="15620" max="15620" width="13.140625" style="166" customWidth="1"/>
    <col min="15621" max="15621" width="11.7109375" style="166" customWidth="1"/>
    <col min="15622" max="15622" width="11.140625" style="166" customWidth="1"/>
    <col min="15623" max="15623" width="11.7109375" style="166" customWidth="1"/>
    <col min="15624" max="15869" width="9.140625" style="166"/>
    <col min="15870" max="15870" width="5.28515625" style="166" customWidth="1"/>
    <col min="15871" max="15871" width="8" style="166" customWidth="1"/>
    <col min="15872" max="15872" width="5.85546875" style="166" customWidth="1"/>
    <col min="15873" max="15873" width="9.42578125" style="166" customWidth="1"/>
    <col min="15874" max="15874" width="11.28515625" style="166" customWidth="1"/>
    <col min="15875" max="15875" width="11" style="166" customWidth="1"/>
    <col min="15876" max="15876" width="13.140625" style="166" customWidth="1"/>
    <col min="15877" max="15877" width="11.7109375" style="166" customWidth="1"/>
    <col min="15878" max="15878" width="11.140625" style="166" customWidth="1"/>
    <col min="15879" max="15879" width="11.7109375" style="166" customWidth="1"/>
    <col min="15880" max="16125" width="9.140625" style="166"/>
    <col min="16126" max="16126" width="5.28515625" style="166" customWidth="1"/>
    <col min="16127" max="16127" width="8" style="166" customWidth="1"/>
    <col min="16128" max="16128" width="5.85546875" style="166" customWidth="1"/>
    <col min="16129" max="16129" width="9.42578125" style="166" customWidth="1"/>
    <col min="16130" max="16130" width="11.28515625" style="166" customWidth="1"/>
    <col min="16131" max="16131" width="11" style="166" customWidth="1"/>
    <col min="16132" max="16132" width="13.140625" style="166" customWidth="1"/>
    <col min="16133" max="16133" width="11.7109375" style="166" customWidth="1"/>
    <col min="16134" max="16134" width="11.140625" style="166" customWidth="1"/>
    <col min="16135" max="16135" width="11.7109375" style="166" customWidth="1"/>
    <col min="16136" max="16384" width="9.140625" style="166"/>
  </cols>
  <sheetData>
    <row r="1" spans="1:72" s="148" customFormat="1" ht="12.75" customHeight="1" x14ac:dyDescent="0.25">
      <c r="A1" s="105"/>
      <c r="B1" s="166"/>
      <c r="C1" s="166"/>
      <c r="D1" s="166"/>
      <c r="E1" s="166"/>
      <c r="F1" s="3" t="s">
        <v>197</v>
      </c>
    </row>
    <row r="2" spans="1:72" s="148" customFormat="1" ht="12.75" customHeight="1" x14ac:dyDescent="0.25">
      <c r="A2" s="166"/>
      <c r="B2" s="166"/>
      <c r="C2" s="166"/>
      <c r="D2" s="166"/>
      <c r="E2" s="166"/>
      <c r="F2" s="3" t="s">
        <v>157</v>
      </c>
    </row>
    <row r="3" spans="1:72" s="148" customFormat="1" ht="12.75" customHeight="1" x14ac:dyDescent="0.25">
      <c r="A3" s="166"/>
      <c r="B3" s="166"/>
      <c r="C3" s="166"/>
      <c r="D3" s="166"/>
      <c r="E3" s="166"/>
      <c r="F3" s="3" t="s">
        <v>0</v>
      </c>
    </row>
    <row r="4" spans="1:72" s="148" customFormat="1" ht="12.75" customHeight="1" x14ac:dyDescent="0.25">
      <c r="A4" s="166"/>
      <c r="B4" s="166"/>
      <c r="C4" s="166"/>
      <c r="D4" s="166"/>
      <c r="E4" s="166"/>
      <c r="F4" s="3" t="s">
        <v>158</v>
      </c>
    </row>
    <row r="5" spans="1:72" s="148" customFormat="1" ht="12.75" customHeight="1" x14ac:dyDescent="0.25">
      <c r="A5" s="166"/>
      <c r="B5" s="166"/>
      <c r="C5" s="166"/>
      <c r="D5" s="166"/>
      <c r="E5" s="166"/>
    </row>
    <row r="6" spans="1:72" s="148" customFormat="1" ht="13.5" customHeight="1" x14ac:dyDescent="0.25">
      <c r="A6" s="106" t="s">
        <v>198</v>
      </c>
      <c r="B6" s="106"/>
      <c r="C6" s="106"/>
      <c r="D6" s="106"/>
      <c r="E6" s="106"/>
      <c r="F6" s="106"/>
      <c r="G6" s="106"/>
      <c r="J6" s="1"/>
    </row>
    <row r="7" spans="1:72" s="148" customFormat="1" ht="12.75" customHeight="1" x14ac:dyDescent="0.25">
      <c r="A7" s="106" t="s">
        <v>199</v>
      </c>
      <c r="B7" s="147"/>
      <c r="C7" s="147"/>
      <c r="D7" s="147"/>
      <c r="E7" s="147"/>
      <c r="F7" s="147"/>
      <c r="G7" s="147"/>
      <c r="J7" s="1"/>
    </row>
    <row r="8" spans="1:72" s="148" customFormat="1" ht="9" customHeight="1" x14ac:dyDescent="0.25">
      <c r="A8" s="107"/>
      <c r="B8" s="108"/>
      <c r="C8" s="108"/>
      <c r="D8" s="108"/>
      <c r="E8" s="108"/>
      <c r="F8" s="108"/>
      <c r="G8" s="108"/>
      <c r="J8" s="1"/>
    </row>
    <row r="9" spans="1:72" s="148" customFormat="1" ht="11.25" customHeight="1" x14ac:dyDescent="0.25">
      <c r="A9" s="166"/>
      <c r="B9" s="166"/>
      <c r="C9" s="166"/>
      <c r="D9" s="166"/>
      <c r="E9" s="166"/>
      <c r="G9" s="109" t="s">
        <v>2</v>
      </c>
    </row>
    <row r="10" spans="1:72" s="113" customFormat="1" ht="36.75" customHeight="1" x14ac:dyDescent="0.2">
      <c r="A10" s="110" t="s">
        <v>161</v>
      </c>
      <c r="B10" s="110" t="s">
        <v>162</v>
      </c>
      <c r="C10" s="110" t="s">
        <v>163</v>
      </c>
      <c r="D10" s="110" t="s">
        <v>164</v>
      </c>
      <c r="E10" s="111" t="s">
        <v>6</v>
      </c>
      <c r="F10" s="111" t="s">
        <v>165</v>
      </c>
      <c r="G10" s="111" t="s">
        <v>166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</row>
    <row r="11" spans="1:72" s="116" customFormat="1" ht="10.5" customHeight="1" x14ac:dyDescent="0.2">
      <c r="A11" s="114">
        <v>1</v>
      </c>
      <c r="B11" s="114">
        <v>2</v>
      </c>
      <c r="C11" s="114">
        <v>3</v>
      </c>
      <c r="D11" s="114">
        <v>4</v>
      </c>
      <c r="E11" s="114">
        <v>5</v>
      </c>
      <c r="F11" s="114">
        <v>6</v>
      </c>
      <c r="G11" s="114">
        <v>7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</row>
    <row r="12" spans="1:72" s="125" customFormat="1" ht="15.75" customHeight="1" x14ac:dyDescent="0.2">
      <c r="A12" s="117"/>
      <c r="B12" s="118"/>
      <c r="C12" s="132"/>
      <c r="D12" s="132"/>
      <c r="E12" s="137" t="s">
        <v>200</v>
      </c>
      <c r="F12" s="139">
        <f>5350+9150+36625</f>
        <v>51125</v>
      </c>
      <c r="G12" s="140" t="s">
        <v>168</v>
      </c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</row>
    <row r="13" spans="1:72" s="125" customFormat="1" ht="24" x14ac:dyDescent="0.2">
      <c r="A13" s="126" t="s">
        <v>169</v>
      </c>
      <c r="B13" s="142" t="s">
        <v>201</v>
      </c>
      <c r="C13" s="132" t="s">
        <v>111</v>
      </c>
      <c r="D13" s="132" t="s">
        <v>202</v>
      </c>
      <c r="E13" s="120" t="s">
        <v>168</v>
      </c>
      <c r="F13" s="122" t="s">
        <v>168</v>
      </c>
      <c r="G13" s="121">
        <f>SUM(G15)</f>
        <v>51125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</row>
    <row r="14" spans="1:72" s="125" customFormat="1" ht="9" customHeight="1" x14ac:dyDescent="0.2">
      <c r="A14" s="117"/>
      <c r="B14" s="143"/>
      <c r="C14" s="132"/>
      <c r="D14" s="132"/>
      <c r="E14" s="132"/>
      <c r="F14" s="133"/>
      <c r="G14" s="179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</row>
    <row r="15" spans="1:72" s="125" customFormat="1" ht="15.75" customHeight="1" x14ac:dyDescent="0.2">
      <c r="A15" s="117"/>
      <c r="B15" s="180" t="s">
        <v>203</v>
      </c>
      <c r="C15" s="132"/>
      <c r="D15" s="132"/>
      <c r="E15" s="132"/>
      <c r="F15" s="133"/>
      <c r="G15" s="179">
        <f>SUM(G16:G17)</f>
        <v>51125</v>
      </c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</row>
    <row r="16" spans="1:72" s="125" customFormat="1" ht="15.75" customHeight="1" x14ac:dyDescent="0.2">
      <c r="A16" s="117"/>
      <c r="B16" s="180"/>
      <c r="C16" s="132"/>
      <c r="D16" s="132"/>
      <c r="E16" s="132" t="s">
        <v>204</v>
      </c>
      <c r="F16" s="133" t="s">
        <v>168</v>
      </c>
      <c r="G16" s="134">
        <v>8500</v>
      </c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</row>
    <row r="17" spans="1:72" s="125" customFormat="1" ht="15.75" customHeight="1" x14ac:dyDescent="0.2">
      <c r="A17" s="117"/>
      <c r="B17" s="118"/>
      <c r="C17" s="132"/>
      <c r="D17" s="132"/>
      <c r="E17" s="132" t="s">
        <v>194</v>
      </c>
      <c r="F17" s="133" t="s">
        <v>168</v>
      </c>
      <c r="G17" s="134">
        <f>5350+9150+36625-8500</f>
        <v>42625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</row>
    <row r="18" spans="1:72" s="125" customFormat="1" ht="15.75" customHeight="1" x14ac:dyDescent="0.2">
      <c r="A18" s="135"/>
      <c r="B18" s="136"/>
      <c r="C18" s="145"/>
      <c r="D18" s="137"/>
      <c r="E18" s="137"/>
      <c r="F18" s="140"/>
      <c r="G18" s="138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</row>
    <row r="19" spans="1:72" s="125" customFormat="1" ht="15.75" customHeight="1" x14ac:dyDescent="0.2">
      <c r="A19" s="117"/>
      <c r="B19" s="118"/>
      <c r="C19" s="132"/>
      <c r="D19" s="132"/>
      <c r="E19" s="137" t="s">
        <v>200</v>
      </c>
      <c r="F19" s="139">
        <f>9095+9126</f>
        <v>18221</v>
      </c>
      <c r="G19" s="140" t="s">
        <v>168</v>
      </c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</row>
    <row r="20" spans="1:72" s="125" customFormat="1" ht="20.25" customHeight="1" x14ac:dyDescent="0.2">
      <c r="A20" s="126" t="s">
        <v>176</v>
      </c>
      <c r="B20" s="146" t="s">
        <v>205</v>
      </c>
      <c r="C20" s="132" t="s">
        <v>206</v>
      </c>
      <c r="D20" s="132" t="s">
        <v>207</v>
      </c>
      <c r="E20" s="120" t="s">
        <v>168</v>
      </c>
      <c r="F20" s="122" t="s">
        <v>168</v>
      </c>
      <c r="G20" s="121">
        <f>SUM(G22)</f>
        <v>18221</v>
      </c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</row>
    <row r="21" spans="1:72" s="125" customFormat="1" ht="10.5" customHeight="1" x14ac:dyDescent="0.2">
      <c r="A21" s="117"/>
      <c r="B21" s="143"/>
      <c r="C21" s="132"/>
      <c r="D21" s="132"/>
      <c r="E21" s="132"/>
      <c r="F21" s="133"/>
      <c r="G21" s="179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</row>
    <row r="22" spans="1:72" s="125" customFormat="1" ht="15.75" customHeight="1" x14ac:dyDescent="0.2">
      <c r="A22" s="117"/>
      <c r="B22" s="180" t="s">
        <v>203</v>
      </c>
      <c r="C22" s="132"/>
      <c r="D22" s="132"/>
      <c r="E22" s="132"/>
      <c r="F22" s="133"/>
      <c r="G22" s="179">
        <f>SUM(G23:G25)</f>
        <v>18221</v>
      </c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</row>
    <row r="23" spans="1:72" s="125" customFormat="1" ht="15.75" customHeight="1" x14ac:dyDescent="0.2">
      <c r="A23" s="117"/>
      <c r="B23" s="118"/>
      <c r="C23" s="132"/>
      <c r="D23" s="132"/>
      <c r="E23" s="132" t="s">
        <v>204</v>
      </c>
      <c r="F23" s="133" t="s">
        <v>168</v>
      </c>
      <c r="G23" s="134">
        <f>8830+8891</f>
        <v>17721</v>
      </c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</row>
    <row r="24" spans="1:72" s="125" customFormat="1" ht="15.75" customHeight="1" x14ac:dyDescent="0.2">
      <c r="A24" s="117"/>
      <c r="B24" s="118"/>
      <c r="C24" s="132"/>
      <c r="D24" s="132"/>
      <c r="E24" s="132" t="s">
        <v>186</v>
      </c>
      <c r="F24" s="133" t="s">
        <v>168</v>
      </c>
      <c r="G24" s="134">
        <f>265+205</f>
        <v>470</v>
      </c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</row>
    <row r="25" spans="1:72" s="125" customFormat="1" ht="15.75" customHeight="1" x14ac:dyDescent="0.2">
      <c r="A25" s="117"/>
      <c r="B25" s="118"/>
      <c r="C25" s="144"/>
      <c r="D25" s="132"/>
      <c r="E25" s="132" t="s">
        <v>194</v>
      </c>
      <c r="F25" s="133" t="s">
        <v>168</v>
      </c>
      <c r="G25" s="134">
        <v>30</v>
      </c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</row>
    <row r="26" spans="1:72" s="125" customFormat="1" ht="15.75" customHeight="1" x14ac:dyDescent="0.2">
      <c r="A26" s="135"/>
      <c r="B26" s="136"/>
      <c r="C26" s="145"/>
      <c r="D26" s="137"/>
      <c r="E26" s="137"/>
      <c r="F26" s="140"/>
      <c r="G26" s="138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</row>
    <row r="27" spans="1:72" s="125" customFormat="1" ht="15.75" customHeight="1" x14ac:dyDescent="0.2">
      <c r="A27" s="117"/>
      <c r="B27" s="118"/>
      <c r="C27" s="132"/>
      <c r="D27" s="132"/>
      <c r="E27" s="137" t="s">
        <v>200</v>
      </c>
      <c r="F27" s="139">
        <f>119646+106488+19584+20502+11322+7038</f>
        <v>284580</v>
      </c>
      <c r="G27" s="140" t="s">
        <v>168</v>
      </c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</row>
    <row r="28" spans="1:72" s="125" customFormat="1" ht="24" x14ac:dyDescent="0.2">
      <c r="A28" s="126" t="s">
        <v>180</v>
      </c>
      <c r="B28" s="142" t="s">
        <v>208</v>
      </c>
      <c r="C28" s="132" t="s">
        <v>209</v>
      </c>
      <c r="D28" s="132" t="s">
        <v>210</v>
      </c>
      <c r="E28" s="120" t="s">
        <v>168</v>
      </c>
      <c r="F28" s="122" t="s">
        <v>168</v>
      </c>
      <c r="G28" s="121">
        <f>SUM(G30)</f>
        <v>284580</v>
      </c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</row>
    <row r="29" spans="1:72" s="125" customFormat="1" ht="10.5" customHeight="1" x14ac:dyDescent="0.2">
      <c r="A29" s="117"/>
      <c r="B29" s="143"/>
      <c r="C29" s="132"/>
      <c r="D29" s="132"/>
      <c r="E29" s="132"/>
      <c r="F29" s="133"/>
      <c r="G29" s="179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</row>
    <row r="30" spans="1:72" s="125" customFormat="1" ht="15.75" customHeight="1" x14ac:dyDescent="0.2">
      <c r="A30" s="117"/>
      <c r="B30" s="180" t="s">
        <v>203</v>
      </c>
      <c r="C30" s="132"/>
      <c r="D30" s="132"/>
      <c r="E30" s="132"/>
      <c r="F30" s="133"/>
      <c r="G30" s="179">
        <f>SUM(G31:G35)</f>
        <v>284580</v>
      </c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</row>
    <row r="31" spans="1:72" s="125" customFormat="1" ht="15.75" customHeight="1" x14ac:dyDescent="0.2">
      <c r="A31" s="117"/>
      <c r="B31" s="118"/>
      <c r="C31" s="132"/>
      <c r="D31" s="132"/>
      <c r="E31" s="132" t="s">
        <v>204</v>
      </c>
      <c r="F31" s="133" t="s">
        <v>168</v>
      </c>
      <c r="G31" s="134">
        <f>117300+104400+19200+20100+11100+6900</f>
        <v>279000</v>
      </c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</row>
    <row r="32" spans="1:72" s="125" customFormat="1" ht="15.75" customHeight="1" x14ac:dyDescent="0.2">
      <c r="A32" s="117"/>
      <c r="B32" s="118"/>
      <c r="C32" s="132"/>
      <c r="D32" s="132"/>
      <c r="E32" s="132" t="s">
        <v>186</v>
      </c>
      <c r="F32" s="133" t="s">
        <v>168</v>
      </c>
      <c r="G32" s="134">
        <f>1955+1733+320+330+185+115</f>
        <v>4638</v>
      </c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</row>
    <row r="33" spans="1:72" s="125" customFormat="1" ht="15.75" customHeight="1" x14ac:dyDescent="0.2">
      <c r="A33" s="117"/>
      <c r="B33" s="118"/>
      <c r="C33" s="132"/>
      <c r="D33" s="132"/>
      <c r="E33" s="132" t="s">
        <v>187</v>
      </c>
      <c r="F33" s="133" t="s">
        <v>168</v>
      </c>
      <c r="G33" s="134">
        <f>342+304+56+59+33+21</f>
        <v>815</v>
      </c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</row>
    <row r="34" spans="1:72" s="125" customFormat="1" ht="15.75" customHeight="1" x14ac:dyDescent="0.2">
      <c r="A34" s="117"/>
      <c r="B34" s="118"/>
      <c r="C34" s="132"/>
      <c r="D34" s="132"/>
      <c r="E34" s="132" t="s">
        <v>188</v>
      </c>
      <c r="F34" s="133" t="s">
        <v>168</v>
      </c>
      <c r="G34" s="134">
        <f>49+44+8+8+4+2</f>
        <v>115</v>
      </c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</row>
    <row r="35" spans="1:72" s="125" customFormat="1" ht="15.75" customHeight="1" x14ac:dyDescent="0.2">
      <c r="A35" s="117"/>
      <c r="B35" s="118"/>
      <c r="C35" s="144"/>
      <c r="D35" s="132"/>
      <c r="E35" s="132" t="s">
        <v>195</v>
      </c>
      <c r="F35" s="133" t="s">
        <v>168</v>
      </c>
      <c r="G35" s="134">
        <f>7+5</f>
        <v>12</v>
      </c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</row>
    <row r="36" spans="1:72" s="125" customFormat="1" ht="15.75" customHeight="1" x14ac:dyDescent="0.2">
      <c r="A36" s="135"/>
      <c r="B36" s="136"/>
      <c r="C36" s="145"/>
      <c r="D36" s="137"/>
      <c r="E36" s="137"/>
      <c r="F36" s="140"/>
      <c r="G36" s="138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</row>
    <row r="37" spans="1:72" s="125" customFormat="1" ht="21.75" customHeight="1" x14ac:dyDescent="0.2">
      <c r="A37" s="117"/>
      <c r="B37" s="118"/>
      <c r="C37" s="132" t="s">
        <v>211</v>
      </c>
      <c r="D37" s="132" t="s">
        <v>212</v>
      </c>
      <c r="E37" s="137" t="s">
        <v>200</v>
      </c>
      <c r="F37" s="139">
        <f>55248+183549+25396+225667+26112</f>
        <v>515972</v>
      </c>
      <c r="G37" s="140" t="s">
        <v>168</v>
      </c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</row>
    <row r="38" spans="1:72" s="125" customFormat="1" ht="25.5" customHeight="1" x14ac:dyDescent="0.2">
      <c r="A38" s="126" t="s">
        <v>190</v>
      </c>
      <c r="B38" s="142" t="s">
        <v>213</v>
      </c>
      <c r="C38" s="132" t="s">
        <v>214</v>
      </c>
      <c r="D38" s="132" t="s">
        <v>215</v>
      </c>
      <c r="E38" s="120" t="s">
        <v>168</v>
      </c>
      <c r="F38" s="122" t="s">
        <v>168</v>
      </c>
      <c r="G38" s="121">
        <f>SUM(G40)</f>
        <v>515972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</row>
    <row r="39" spans="1:72" s="125" customFormat="1" ht="7.5" customHeight="1" x14ac:dyDescent="0.2">
      <c r="A39" s="117"/>
      <c r="B39" s="118"/>
      <c r="C39" s="144"/>
      <c r="D39" s="132"/>
      <c r="E39" s="132"/>
      <c r="F39" s="133"/>
      <c r="G39" s="13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</row>
    <row r="40" spans="1:72" s="125" customFormat="1" ht="15.75" customHeight="1" x14ac:dyDescent="0.2">
      <c r="A40" s="117"/>
      <c r="B40" s="180" t="s">
        <v>81</v>
      </c>
      <c r="C40" s="144"/>
      <c r="D40" s="132"/>
      <c r="E40" s="132"/>
      <c r="F40" s="133"/>
      <c r="G40" s="179">
        <f>SUM(G41:G47)</f>
        <v>515972</v>
      </c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</row>
    <row r="41" spans="1:72" s="125" customFormat="1" ht="15.75" customHeight="1" x14ac:dyDescent="0.2">
      <c r="A41" s="117"/>
      <c r="B41" s="180"/>
      <c r="C41" s="144"/>
      <c r="D41" s="132"/>
      <c r="E41" s="132" t="s">
        <v>186</v>
      </c>
      <c r="F41" s="133" t="s">
        <v>168</v>
      </c>
      <c r="G41" s="134">
        <f>30632.85+3900</f>
        <v>34532.85</v>
      </c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</row>
    <row r="42" spans="1:72" s="125" customFormat="1" ht="15.75" customHeight="1" x14ac:dyDescent="0.2">
      <c r="A42" s="117"/>
      <c r="B42" s="180"/>
      <c r="C42" s="144"/>
      <c r="D42" s="132"/>
      <c r="E42" s="132" t="s">
        <v>187</v>
      </c>
      <c r="F42" s="133" t="s">
        <v>168</v>
      </c>
      <c r="G42" s="134">
        <f>32323.13+4574.16+7613.82+38341.08+4442.57-997.86-627.21</f>
        <v>85669.69</v>
      </c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</row>
    <row r="43" spans="1:72" s="125" customFormat="1" ht="15.75" customHeight="1" x14ac:dyDescent="0.2">
      <c r="A43" s="117"/>
      <c r="B43" s="180"/>
      <c r="C43" s="144"/>
      <c r="D43" s="132"/>
      <c r="E43" s="132" t="s">
        <v>188</v>
      </c>
      <c r="F43" s="133" t="s">
        <v>168</v>
      </c>
      <c r="G43" s="134">
        <f>4353.47+616.06+1046.73+5464.53+633.18-86.42-75.66</f>
        <v>11951.890000000001</v>
      </c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</row>
    <row r="44" spans="1:72" s="125" customFormat="1" ht="15.75" customHeight="1" x14ac:dyDescent="0.2">
      <c r="A44" s="117"/>
      <c r="B44" s="180"/>
      <c r="C44" s="144"/>
      <c r="D44" s="132"/>
      <c r="E44" s="132" t="s">
        <v>18</v>
      </c>
      <c r="F44" s="133" t="s">
        <v>168</v>
      </c>
      <c r="G44" s="134">
        <v>4547.5</v>
      </c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</row>
    <row r="45" spans="1:72" s="125" customFormat="1" ht="15.75" customHeight="1" x14ac:dyDescent="0.2">
      <c r="A45" s="117"/>
      <c r="B45" s="118"/>
      <c r="C45" s="144"/>
      <c r="D45" s="132"/>
      <c r="E45" s="132" t="s">
        <v>194</v>
      </c>
      <c r="F45" s="133" t="s">
        <v>168</v>
      </c>
      <c r="G45" s="134">
        <f>827.5+2000+250+1920+162.5-200-4547.5</f>
        <v>412.5</v>
      </c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</row>
    <row r="46" spans="1:72" s="125" customFormat="1" ht="15.75" customHeight="1" x14ac:dyDescent="0.2">
      <c r="A46" s="117"/>
      <c r="B46" s="118"/>
      <c r="C46" s="144"/>
      <c r="D46" s="132"/>
      <c r="E46" s="132" t="s">
        <v>195</v>
      </c>
      <c r="F46" s="133" t="s">
        <v>168</v>
      </c>
      <c r="G46" s="134">
        <f>502.76+307.42+37.5+80</f>
        <v>927.68000000000006</v>
      </c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</row>
    <row r="47" spans="1:72" s="125" customFormat="1" ht="15.75" customHeight="1" x14ac:dyDescent="0.2">
      <c r="A47" s="117"/>
      <c r="B47" s="118"/>
      <c r="C47" s="144"/>
      <c r="D47" s="132"/>
      <c r="E47" s="132" t="s">
        <v>216</v>
      </c>
      <c r="F47" s="133" t="s">
        <v>168</v>
      </c>
      <c r="G47" s="134">
        <f>53286.35+141018.39+19955.78-9163.31+179941.39+20873.75-24667.83-3234.63-80</f>
        <v>377929.89</v>
      </c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</row>
    <row r="48" spans="1:72" s="125" customFormat="1" ht="7.5" customHeight="1" x14ac:dyDescent="0.2">
      <c r="A48" s="135"/>
      <c r="B48" s="136"/>
      <c r="C48" s="145"/>
      <c r="D48" s="137"/>
      <c r="E48" s="137"/>
      <c r="F48" s="140"/>
      <c r="G48" s="138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</row>
    <row r="49" spans="1:72" s="125" customFormat="1" ht="15.75" customHeight="1" x14ac:dyDescent="0.2">
      <c r="A49" s="117"/>
      <c r="B49" s="118"/>
      <c r="C49" s="132"/>
      <c r="D49" s="132"/>
      <c r="E49" s="137" t="s">
        <v>200</v>
      </c>
      <c r="F49" s="139">
        <f>6242.96+5773.4+1431.89</f>
        <v>13448.25</v>
      </c>
      <c r="G49" s="140" t="s">
        <v>168</v>
      </c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</row>
    <row r="50" spans="1:72" s="125" customFormat="1" ht="24" customHeight="1" x14ac:dyDescent="0.2">
      <c r="A50" s="126" t="s">
        <v>217</v>
      </c>
      <c r="B50" s="146" t="s">
        <v>218</v>
      </c>
      <c r="C50" s="132" t="s">
        <v>219</v>
      </c>
      <c r="D50" s="132" t="s">
        <v>220</v>
      </c>
      <c r="E50" s="120" t="s">
        <v>168</v>
      </c>
      <c r="F50" s="122" t="s">
        <v>168</v>
      </c>
      <c r="G50" s="121">
        <f>SUM(G52)</f>
        <v>13448.25</v>
      </c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</row>
    <row r="51" spans="1:72" s="125" customFormat="1" ht="10.5" customHeight="1" x14ac:dyDescent="0.2">
      <c r="A51" s="117"/>
      <c r="B51" s="143"/>
      <c r="C51" s="132"/>
      <c r="D51" s="132"/>
      <c r="E51" s="132"/>
      <c r="F51" s="133"/>
      <c r="G51" s="179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</row>
    <row r="52" spans="1:72" s="125" customFormat="1" ht="15.75" customHeight="1" x14ac:dyDescent="0.2">
      <c r="A52" s="117"/>
      <c r="B52" s="180" t="s">
        <v>221</v>
      </c>
      <c r="C52" s="132"/>
      <c r="D52" s="132"/>
      <c r="E52" s="132"/>
      <c r="F52" s="133"/>
      <c r="G52" s="179">
        <f>SUM(G53:G55)</f>
        <v>13448.25</v>
      </c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</row>
    <row r="53" spans="1:72" s="125" customFormat="1" ht="15.75" customHeight="1" x14ac:dyDescent="0.2">
      <c r="A53" s="117"/>
      <c r="B53" s="118"/>
      <c r="C53" s="132"/>
      <c r="D53" s="132"/>
      <c r="E53" s="132" t="s">
        <v>186</v>
      </c>
      <c r="F53" s="133" t="s">
        <v>168</v>
      </c>
      <c r="G53" s="134">
        <f>5218.13+4825.64+1196.83</f>
        <v>11240.6</v>
      </c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</row>
    <row r="54" spans="1:72" s="125" customFormat="1" ht="15.75" customHeight="1" x14ac:dyDescent="0.2">
      <c r="A54" s="117"/>
      <c r="B54" s="118"/>
      <c r="C54" s="132"/>
      <c r="D54" s="132"/>
      <c r="E54" s="132" t="s">
        <v>187</v>
      </c>
      <c r="F54" s="133" t="s">
        <v>168</v>
      </c>
      <c r="G54" s="134">
        <f>897+829.53+205.74</f>
        <v>1932.27</v>
      </c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</row>
    <row r="55" spans="1:72" s="125" customFormat="1" ht="15.75" customHeight="1" x14ac:dyDescent="0.2">
      <c r="A55" s="117"/>
      <c r="B55" s="118"/>
      <c r="C55" s="132"/>
      <c r="D55" s="132"/>
      <c r="E55" s="132" t="s">
        <v>188</v>
      </c>
      <c r="F55" s="133" t="s">
        <v>168</v>
      </c>
      <c r="G55" s="134">
        <f>127.83+118.23+29.32</f>
        <v>275.38</v>
      </c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</row>
    <row r="56" spans="1:72" s="125" customFormat="1" ht="15.75" customHeight="1" x14ac:dyDescent="0.2">
      <c r="A56" s="135"/>
      <c r="B56" s="136"/>
      <c r="C56" s="145"/>
      <c r="D56" s="137"/>
      <c r="E56" s="137"/>
      <c r="F56" s="140"/>
      <c r="G56" s="138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</row>
    <row r="57" spans="1:72" s="125" customFormat="1" ht="15.75" customHeight="1" x14ac:dyDescent="0.2">
      <c r="A57" s="117"/>
      <c r="B57" s="118"/>
      <c r="C57" s="132"/>
      <c r="D57" s="132"/>
      <c r="E57" s="137" t="s">
        <v>222</v>
      </c>
      <c r="F57" s="139">
        <f>193360+150000+300000+1504+122160+1824+289960</f>
        <v>1058808</v>
      </c>
      <c r="G57" s="140" t="s">
        <v>168</v>
      </c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</row>
    <row r="58" spans="1:72" s="125" customFormat="1" ht="25.5" customHeight="1" x14ac:dyDescent="0.2">
      <c r="A58" s="126" t="s">
        <v>223</v>
      </c>
      <c r="B58" s="142" t="s">
        <v>224</v>
      </c>
      <c r="C58" s="132" t="s">
        <v>225</v>
      </c>
      <c r="D58" s="132" t="s">
        <v>226</v>
      </c>
      <c r="E58" s="120" t="s">
        <v>168</v>
      </c>
      <c r="F58" s="122" t="s">
        <v>168</v>
      </c>
      <c r="G58" s="121">
        <f>SUM(G60)</f>
        <v>1058808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</row>
    <row r="59" spans="1:72" s="125" customFormat="1" ht="10.5" customHeight="1" x14ac:dyDescent="0.2">
      <c r="A59" s="117"/>
      <c r="B59" s="143"/>
      <c r="C59" s="132"/>
      <c r="D59" s="132"/>
      <c r="E59" s="132"/>
      <c r="F59" s="133"/>
      <c r="G59" s="179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</row>
    <row r="60" spans="1:72" s="125" customFormat="1" ht="15.75" customHeight="1" x14ac:dyDescent="0.2">
      <c r="A60" s="117"/>
      <c r="B60" s="180" t="s">
        <v>203</v>
      </c>
      <c r="C60" s="132"/>
      <c r="D60" s="132"/>
      <c r="E60" s="132"/>
      <c r="F60" s="133"/>
      <c r="G60" s="179">
        <f>SUM(G61:G64)</f>
        <v>1058808</v>
      </c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</row>
    <row r="61" spans="1:72" s="125" customFormat="1" ht="15.75" customHeight="1" x14ac:dyDescent="0.2">
      <c r="A61" s="117"/>
      <c r="B61" s="118"/>
      <c r="C61" s="132"/>
      <c r="D61" s="132"/>
      <c r="E61" s="132" t="s">
        <v>204</v>
      </c>
      <c r="F61" s="133" t="s">
        <v>168</v>
      </c>
      <c r="G61" s="134">
        <f>193360+150000+300000+122160+289960</f>
        <v>1055480</v>
      </c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</row>
    <row r="62" spans="1:72" s="125" customFormat="1" ht="15.75" customHeight="1" x14ac:dyDescent="0.2">
      <c r="A62" s="117"/>
      <c r="B62" s="118"/>
      <c r="C62" s="144"/>
      <c r="D62" s="132"/>
      <c r="E62" s="132" t="s">
        <v>186</v>
      </c>
      <c r="F62" s="133" t="s">
        <v>168</v>
      </c>
      <c r="G62" s="134">
        <f>1254+1520</f>
        <v>2774</v>
      </c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</row>
    <row r="63" spans="1:72" s="125" customFormat="1" ht="15.75" customHeight="1" x14ac:dyDescent="0.2">
      <c r="A63" s="117"/>
      <c r="B63" s="118"/>
      <c r="C63" s="144"/>
      <c r="D63" s="132"/>
      <c r="E63" s="132" t="s">
        <v>187</v>
      </c>
      <c r="F63" s="133" t="s">
        <v>168</v>
      </c>
      <c r="G63" s="134">
        <f>219+266</f>
        <v>485</v>
      </c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</row>
    <row r="64" spans="1:72" s="125" customFormat="1" ht="15.75" customHeight="1" x14ac:dyDescent="0.2">
      <c r="A64" s="117"/>
      <c r="B64" s="118"/>
      <c r="C64" s="144"/>
      <c r="D64" s="132"/>
      <c r="E64" s="132" t="s">
        <v>188</v>
      </c>
      <c r="F64" s="133" t="s">
        <v>168</v>
      </c>
      <c r="G64" s="134">
        <f>31+38</f>
        <v>69</v>
      </c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</row>
    <row r="65" spans="1:72" s="125" customFormat="1" ht="15.75" customHeight="1" x14ac:dyDescent="0.2">
      <c r="A65" s="135"/>
      <c r="B65" s="136"/>
      <c r="C65" s="145"/>
      <c r="D65" s="137"/>
      <c r="E65" s="137"/>
      <c r="F65" s="140"/>
      <c r="G65" s="138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</row>
    <row r="66" spans="1:72" s="125" customFormat="1" ht="15.75" customHeight="1" x14ac:dyDescent="0.2">
      <c r="A66" s="117"/>
      <c r="B66" s="118"/>
      <c r="C66" s="132"/>
      <c r="D66" s="132"/>
      <c r="E66" s="137" t="s">
        <v>222</v>
      </c>
      <c r="F66" s="139">
        <f>195780+264660</f>
        <v>460440</v>
      </c>
      <c r="G66" s="140" t="s">
        <v>168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</row>
    <row r="67" spans="1:72" s="125" customFormat="1" ht="23.25" customHeight="1" x14ac:dyDescent="0.2">
      <c r="A67" s="126" t="s">
        <v>227</v>
      </c>
      <c r="B67" s="142" t="s">
        <v>228</v>
      </c>
      <c r="C67" s="132" t="s">
        <v>225</v>
      </c>
      <c r="D67" s="132" t="s">
        <v>226</v>
      </c>
      <c r="E67" s="120" t="s">
        <v>168</v>
      </c>
      <c r="F67" s="122" t="s">
        <v>168</v>
      </c>
      <c r="G67" s="121">
        <f>SUM(G69,G72)</f>
        <v>460440</v>
      </c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</row>
    <row r="68" spans="1:72" s="125" customFormat="1" ht="9.75" customHeight="1" x14ac:dyDescent="0.2">
      <c r="A68" s="117"/>
      <c r="B68" s="143"/>
      <c r="C68" s="132"/>
      <c r="D68" s="132"/>
      <c r="E68" s="132"/>
      <c r="F68" s="133"/>
      <c r="G68" s="179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</row>
    <row r="69" spans="1:72" s="125" customFormat="1" ht="25.5" customHeight="1" x14ac:dyDescent="0.2">
      <c r="A69" s="117"/>
      <c r="B69" s="187" t="s">
        <v>229</v>
      </c>
      <c r="C69" s="132"/>
      <c r="D69" s="132"/>
      <c r="E69" s="132"/>
      <c r="F69" s="133"/>
      <c r="G69" s="179">
        <f>SUM(G70:G70)</f>
        <v>431742.16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</row>
    <row r="70" spans="1:72" s="125" customFormat="1" ht="15.75" customHeight="1" x14ac:dyDescent="0.2">
      <c r="A70" s="117"/>
      <c r="B70" s="118"/>
      <c r="C70" s="132"/>
      <c r="D70" s="132"/>
      <c r="E70" s="132" t="s">
        <v>194</v>
      </c>
      <c r="F70" s="133" t="s">
        <v>168</v>
      </c>
      <c r="G70" s="134">
        <f>195780+264660-28697.84</f>
        <v>431742.16</v>
      </c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</row>
    <row r="71" spans="1:72" s="125" customFormat="1" ht="15.75" customHeight="1" x14ac:dyDescent="0.2">
      <c r="A71" s="117"/>
      <c r="B71" s="118"/>
      <c r="C71" s="144"/>
      <c r="D71" s="132"/>
      <c r="E71" s="132"/>
      <c r="F71" s="133"/>
      <c r="G71" s="13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</row>
    <row r="72" spans="1:72" s="125" customFormat="1" ht="15.75" customHeight="1" x14ac:dyDescent="0.2">
      <c r="A72" s="117"/>
      <c r="B72" s="180" t="s">
        <v>67</v>
      </c>
      <c r="C72" s="132"/>
      <c r="D72" s="132"/>
      <c r="E72" s="132"/>
      <c r="F72" s="133"/>
      <c r="G72" s="179">
        <f>SUM(G73:G76)</f>
        <v>28697.84</v>
      </c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</row>
    <row r="73" spans="1:72" s="125" customFormat="1" ht="15.75" customHeight="1" x14ac:dyDescent="0.2">
      <c r="A73" s="117"/>
      <c r="B73" s="118"/>
      <c r="C73" s="132"/>
      <c r="D73" s="132"/>
      <c r="E73" s="132" t="s">
        <v>230</v>
      </c>
      <c r="F73" s="133" t="s">
        <v>168</v>
      </c>
      <c r="G73" s="134">
        <v>14528.59</v>
      </c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</row>
    <row r="74" spans="1:72" s="125" customFormat="1" ht="15.75" customHeight="1" x14ac:dyDescent="0.2">
      <c r="A74" s="117"/>
      <c r="B74" s="118"/>
      <c r="C74" s="144"/>
      <c r="D74" s="132"/>
      <c r="E74" s="132" t="s">
        <v>231</v>
      </c>
      <c r="F74" s="133" t="s">
        <v>168</v>
      </c>
      <c r="G74" s="134">
        <v>6422.5</v>
      </c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</row>
    <row r="75" spans="1:72" s="125" customFormat="1" ht="15.75" customHeight="1" x14ac:dyDescent="0.2">
      <c r="A75" s="117"/>
      <c r="B75" s="118"/>
      <c r="C75" s="144"/>
      <c r="D75" s="132"/>
      <c r="E75" s="132" t="s">
        <v>194</v>
      </c>
      <c r="F75" s="133" t="s">
        <v>168</v>
      </c>
      <c r="G75" s="134">
        <v>2056.23</v>
      </c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</row>
    <row r="76" spans="1:72" s="125" customFormat="1" ht="15.75" customHeight="1" x14ac:dyDescent="0.2">
      <c r="A76" s="117"/>
      <c r="B76" s="118"/>
      <c r="C76" s="144"/>
      <c r="D76" s="132"/>
      <c r="E76" s="132" t="s">
        <v>232</v>
      </c>
      <c r="F76" s="133" t="s">
        <v>168</v>
      </c>
      <c r="G76" s="134">
        <v>5690.52</v>
      </c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</row>
    <row r="77" spans="1:72" s="125" customFormat="1" ht="15.75" customHeight="1" x14ac:dyDescent="0.2">
      <c r="A77" s="117"/>
      <c r="B77" s="118"/>
      <c r="C77" s="144"/>
      <c r="D77" s="132"/>
      <c r="E77" s="132"/>
      <c r="F77" s="133"/>
      <c r="G77" s="13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</row>
    <row r="78" spans="1:72" s="125" customFormat="1" ht="15.75" customHeight="1" x14ac:dyDescent="0.2">
      <c r="A78" s="135"/>
      <c r="B78" s="136"/>
      <c r="C78" s="145"/>
      <c r="D78" s="137"/>
      <c r="E78" s="137"/>
      <c r="F78" s="140"/>
      <c r="G78" s="138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</row>
    <row r="79" spans="1:72" s="125" customFormat="1" ht="15.75" customHeight="1" x14ac:dyDescent="0.2">
      <c r="A79" s="117"/>
      <c r="B79" s="118"/>
      <c r="C79" s="132"/>
      <c r="D79" s="132"/>
      <c r="E79" s="137" t="s">
        <v>200</v>
      </c>
      <c r="F79" s="139">
        <v>295.87</v>
      </c>
      <c r="G79" s="140" t="s">
        <v>168</v>
      </c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</row>
    <row r="80" spans="1:72" s="125" customFormat="1" ht="24" customHeight="1" x14ac:dyDescent="0.2">
      <c r="A80" s="126" t="s">
        <v>233</v>
      </c>
      <c r="B80" s="142" t="s">
        <v>234</v>
      </c>
      <c r="C80" s="132" t="s">
        <v>171</v>
      </c>
      <c r="D80" s="132" t="s">
        <v>235</v>
      </c>
      <c r="E80" s="120" t="s">
        <v>168</v>
      </c>
      <c r="F80" s="122" t="s">
        <v>168</v>
      </c>
      <c r="G80" s="121">
        <f>SUM(G82)</f>
        <v>295.87</v>
      </c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</row>
    <row r="81" spans="1:72" s="125" customFormat="1" ht="15.75" customHeight="1" x14ac:dyDescent="0.2">
      <c r="A81" s="117"/>
      <c r="B81" s="143"/>
      <c r="C81" s="132"/>
      <c r="D81" s="132"/>
      <c r="E81" s="132"/>
      <c r="F81" s="133"/>
      <c r="G81" s="179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</row>
    <row r="82" spans="1:72" s="125" customFormat="1" ht="15.75" customHeight="1" x14ac:dyDescent="0.2">
      <c r="A82" s="117"/>
      <c r="B82" s="187" t="s">
        <v>236</v>
      </c>
      <c r="C82" s="132"/>
      <c r="D82" s="132"/>
      <c r="E82" s="132"/>
      <c r="F82" s="133"/>
      <c r="G82" s="179">
        <f>SUM(G83:G83)</f>
        <v>295.87</v>
      </c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</row>
    <row r="83" spans="1:72" s="125" customFormat="1" ht="15.75" customHeight="1" x14ac:dyDescent="0.2">
      <c r="A83" s="117"/>
      <c r="B83" s="118"/>
      <c r="C83" s="132"/>
      <c r="D83" s="132"/>
      <c r="E83" s="132" t="s">
        <v>18</v>
      </c>
      <c r="F83" s="133" t="s">
        <v>168</v>
      </c>
      <c r="G83" s="134">
        <v>295.87</v>
      </c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</row>
    <row r="84" spans="1:72" s="113" customFormat="1" ht="15.75" customHeight="1" x14ac:dyDescent="0.2">
      <c r="A84" s="135"/>
      <c r="B84" s="136"/>
      <c r="C84" s="144"/>
      <c r="D84" s="132"/>
      <c r="E84" s="137"/>
      <c r="F84" s="138"/>
      <c r="G84" s="138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</row>
    <row r="85" spans="1:72" s="113" customFormat="1" ht="27" customHeight="1" x14ac:dyDescent="0.2">
      <c r="A85" s="181"/>
      <c r="B85" s="182" t="s">
        <v>196</v>
      </c>
      <c r="C85" s="183"/>
      <c r="D85" s="184"/>
      <c r="E85" s="185"/>
      <c r="F85" s="185">
        <f>SUM(F12,F19,F27,F37,F49,F57,F66,F79)</f>
        <v>2402890.12</v>
      </c>
      <c r="G85" s="185">
        <f>SUM(G13,G20,G28,G38,G50,G58,G67,G80)</f>
        <v>2402890.12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</row>
    <row r="87" spans="1:72" s="148" customFormat="1" x14ac:dyDescent="0.25">
      <c r="A87" s="186"/>
      <c r="B87" s="166"/>
      <c r="C87" s="166"/>
      <c r="D87" s="166"/>
      <c r="E87" s="166"/>
      <c r="I87" s="53"/>
    </row>
    <row r="88" spans="1:72" s="148" customFormat="1" x14ac:dyDescent="0.25">
      <c r="A88" s="166"/>
      <c r="B88" s="166"/>
      <c r="C88" s="166"/>
      <c r="D88" s="166"/>
      <c r="E88" s="166"/>
      <c r="G88" s="53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Zał.Nr1</vt:lpstr>
      <vt:lpstr>Zał.Nr2</vt:lpstr>
      <vt:lpstr>Zał.Nr3</vt:lpstr>
      <vt:lpstr>Zał.Nr1!Tytuły_wydruku</vt:lpstr>
      <vt:lpstr>Zał.Nr2!Tytuły_wydruku</vt:lpstr>
      <vt:lpstr>Zał.Nr3!Tytuły_wydruku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286/2022 Prezydenta Miasta Włocławek z dn. 29 lipca 2022 r.</dc:title>
  <dc:creator>Beata Duszeńska</dc:creator>
  <cp:keywords>Zarządzenie Prezydenta Miasta Włocławek</cp:keywords>
  <cp:lastModifiedBy>Karolina Budziszewska</cp:lastModifiedBy>
  <cp:lastPrinted>2022-08-02T12:04:46Z</cp:lastPrinted>
  <dcterms:created xsi:type="dcterms:W3CDTF">2022-07-04T12:50:12Z</dcterms:created>
  <dcterms:modified xsi:type="dcterms:W3CDTF">2022-08-02T12:27:27Z</dcterms:modified>
</cp:coreProperties>
</file>