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budziszewska\Desktop\"/>
    </mc:Choice>
  </mc:AlternateContent>
  <xr:revisionPtr revIDLastSave="0" documentId="13_ncr:1_{833B5940-3BE3-4022-B286-779202447114}" xr6:coauthVersionLast="45" xr6:coauthVersionMax="47" xr10:uidLastSave="{00000000-0000-0000-0000-000000000000}"/>
  <bookViews>
    <workbookView xWindow="-120" yWindow="-120" windowWidth="29040" windowHeight="15840" xr2:uid="{C56F333B-15DD-413E-B3FE-2DC8EA60F7DE}"/>
  </bookViews>
  <sheets>
    <sheet name="Zał.Nr1" sheetId="2" r:id="rId1"/>
    <sheet name="Zał.Nr2" sheetId="3" r:id="rId2"/>
    <sheet name="Zał.Nr3" sheetId="4" r:id="rId3"/>
    <sheet name="Zał.Nr4" sheetId="5" r:id="rId4"/>
    <sheet name="Zał.Nr5" sheetId="6" r:id="rId5"/>
    <sheet name="Zał.Nr6" sheetId="7" r:id="rId6"/>
    <sheet name="Zał.Nr7" sheetId="8" r:id="rId7"/>
  </sheets>
  <definedNames>
    <definedName name="_xlnm.Print_Titles" localSheetId="0">Zał.Nr1!$7:$9</definedName>
    <definedName name="_xlnm.Print_Titles" localSheetId="3">Zał.Nr4!$10:$11</definedName>
    <definedName name="_xlnm.Print_Titles" localSheetId="4">Zał.Nr5!$10:$11</definedName>
    <definedName name="_xlnm.Print_Titles" localSheetId="6">Zał.Nr7!$10:$11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30" i="8" l="1"/>
  <c r="G128" i="8" s="1"/>
  <c r="G124" i="8"/>
  <c r="G122" i="8"/>
  <c r="G121" i="8"/>
  <c r="G119" i="8" s="1"/>
  <c r="G117" i="8"/>
  <c r="G116" i="8" s="1"/>
  <c r="G114" i="8" s="1"/>
  <c r="F113" i="8"/>
  <c r="G111" i="8"/>
  <c r="G110" i="8"/>
  <c r="G109" i="8"/>
  <c r="G108" i="8" s="1"/>
  <c r="G106" i="8" s="1"/>
  <c r="F105" i="8"/>
  <c r="G103" i="8"/>
  <c r="G101" i="8" s="1"/>
  <c r="G99" i="8" s="1"/>
  <c r="G102" i="8"/>
  <c r="F98" i="8"/>
  <c r="G96" i="8"/>
  <c r="G95" i="8"/>
  <c r="G94" i="8" s="1"/>
  <c r="G92" i="8" s="1"/>
  <c r="G90" i="8"/>
  <c r="G89" i="8"/>
  <c r="G88" i="8"/>
  <c r="G87" i="8"/>
  <c r="G85" i="8" s="1"/>
  <c r="G83" i="8"/>
  <c r="G82" i="8"/>
  <c r="G81" i="8"/>
  <c r="G80" i="8" s="1"/>
  <c r="G78" i="8" s="1"/>
  <c r="G76" i="8"/>
  <c r="G75" i="8"/>
  <c r="G73" i="8" s="1"/>
  <c r="G71" i="8" s="1"/>
  <c r="G69" i="8"/>
  <c r="G68" i="8"/>
  <c r="G66" i="8" s="1"/>
  <c r="G64" i="8" s="1"/>
  <c r="G67" i="8"/>
  <c r="G62" i="8"/>
  <c r="G58" i="8" s="1"/>
  <c r="G56" i="8" s="1"/>
  <c r="G60" i="8"/>
  <c r="G59" i="8"/>
  <c r="G54" i="8"/>
  <c r="G53" i="8"/>
  <c r="G52" i="8"/>
  <c r="G51" i="8"/>
  <c r="G50" i="8" s="1"/>
  <c r="G48" i="8" s="1"/>
  <c r="G46" i="8"/>
  <c r="G45" i="8"/>
  <c r="G42" i="8" s="1"/>
  <c r="G40" i="8" s="1"/>
  <c r="G44" i="8"/>
  <c r="G43" i="8"/>
  <c r="F36" i="8"/>
  <c r="G34" i="8"/>
  <c r="G31" i="8" s="1"/>
  <c r="G29" i="8" s="1"/>
  <c r="G33" i="8"/>
  <c r="G32" i="8"/>
  <c r="F28" i="8"/>
  <c r="G26" i="8"/>
  <c r="G25" i="8"/>
  <c r="G23" i="8"/>
  <c r="G22" i="8" s="1"/>
  <c r="G20" i="8" s="1"/>
  <c r="F19" i="8"/>
  <c r="G17" i="8"/>
  <c r="F12" i="8"/>
  <c r="F133" i="8" s="1"/>
  <c r="G37" i="8" l="1"/>
  <c r="G15" i="8"/>
  <c r="G13" i="8" s="1"/>
  <c r="G133" i="8" s="1"/>
  <c r="G33" i="7" l="1"/>
  <c r="F33" i="7"/>
  <c r="E33" i="7"/>
  <c r="D33" i="7"/>
  <c r="E156" i="6" l="1"/>
  <c r="E153" i="6"/>
  <c r="E141" i="6"/>
  <c r="E139" i="6"/>
  <c r="E134" i="6"/>
  <c r="E127" i="6"/>
  <c r="E81" i="6"/>
  <c r="E158" i="6" s="1"/>
  <c r="E41" i="6"/>
  <c r="E39" i="6"/>
  <c r="E38" i="6"/>
  <c r="E36" i="6"/>
  <c r="E34" i="6"/>
  <c r="E32" i="6"/>
  <c r="E31" i="6"/>
  <c r="E30" i="6"/>
  <c r="E26" i="6"/>
  <c r="E22" i="6"/>
  <c r="E16" i="6"/>
  <c r="E13" i="6"/>
  <c r="E45" i="6" s="1"/>
  <c r="E159" i="6" s="1"/>
  <c r="E42" i="5"/>
  <c r="E40" i="5"/>
  <c r="E38" i="5"/>
  <c r="E36" i="5"/>
  <c r="E44" i="5" s="1"/>
  <c r="E29" i="5"/>
  <c r="E32" i="5" s="1"/>
  <c r="E45" i="5" s="1"/>
  <c r="I21" i="4"/>
  <c r="F21" i="4"/>
  <c r="E20" i="4"/>
  <c r="E19" i="4"/>
  <c r="H18" i="4"/>
  <c r="H21" i="4" s="1"/>
  <c r="G18" i="4"/>
  <c r="F18" i="4"/>
  <c r="E18" i="4"/>
  <c r="D18" i="4"/>
  <c r="G17" i="4"/>
  <c r="F17" i="4"/>
  <c r="E17" i="4"/>
  <c r="D17" i="4"/>
  <c r="F16" i="4"/>
  <c r="E16" i="4"/>
  <c r="D16" i="4"/>
  <c r="G15" i="4"/>
  <c r="G21" i="4" s="1"/>
  <c r="F15" i="4"/>
  <c r="E15" i="4"/>
  <c r="D15" i="4"/>
  <c r="F14" i="4"/>
  <c r="E14" i="4"/>
  <c r="E21" i="4" s="1"/>
  <c r="D14" i="4"/>
  <c r="D21" i="4" s="1"/>
  <c r="H637" i="2" l="1"/>
  <c r="G636" i="2"/>
  <c r="F636" i="2"/>
  <c r="H636" i="2" s="1"/>
  <c r="H635" i="2"/>
  <c r="G634" i="2"/>
  <c r="F634" i="2"/>
  <c r="G633" i="2"/>
  <c r="G630" i="2"/>
  <c r="H629" i="2"/>
  <c r="H628" i="2"/>
  <c r="F627" i="2"/>
  <c r="H627" i="2" s="1"/>
  <c r="H626" i="2"/>
  <c r="F625" i="2"/>
  <c r="H624" i="2"/>
  <c r="H623" i="2"/>
  <c r="G622" i="2"/>
  <c r="G621" i="2" s="1"/>
  <c r="G620" i="2"/>
  <c r="H618" i="2"/>
  <c r="H617" i="2"/>
  <c r="H616" i="2"/>
  <c r="H615" i="2"/>
  <c r="H614" i="2"/>
  <c r="H613" i="2"/>
  <c r="H612" i="2"/>
  <c r="H611" i="2"/>
  <c r="G610" i="2"/>
  <c r="F610" i="2"/>
  <c r="G609" i="2"/>
  <c r="G608" i="2" s="1"/>
  <c r="H606" i="2"/>
  <c r="G605" i="2"/>
  <c r="F605" i="2"/>
  <c r="F604" i="2" s="1"/>
  <c r="H601" i="2"/>
  <c r="H600" i="2"/>
  <c r="G599" i="2"/>
  <c r="H599" i="2" s="1"/>
  <c r="F599" i="2"/>
  <c r="F598" i="2"/>
  <c r="H597" i="2"/>
  <c r="H596" i="2"/>
  <c r="H595" i="2"/>
  <c r="H594" i="2"/>
  <c r="H593" i="2"/>
  <c r="H592" i="2"/>
  <c r="H591" i="2"/>
  <c r="H590" i="2"/>
  <c r="G589" i="2"/>
  <c r="G588" i="2" s="1"/>
  <c r="F589" i="2"/>
  <c r="F584" i="2"/>
  <c r="H584" i="2" s="1"/>
  <c r="H583" i="2"/>
  <c r="F583" i="2"/>
  <c r="H582" i="2"/>
  <c r="H581" i="2"/>
  <c r="H580" i="2"/>
  <c r="H579" i="2"/>
  <c r="F578" i="2"/>
  <c r="H577" i="2"/>
  <c r="G576" i="2"/>
  <c r="G575" i="2" s="1"/>
  <c r="G574" i="2" s="1"/>
  <c r="H573" i="2"/>
  <c r="H572" i="2"/>
  <c r="G572" i="2"/>
  <c r="F572" i="2"/>
  <c r="G571" i="2"/>
  <c r="F571" i="2"/>
  <c r="H570" i="2"/>
  <c r="H569" i="2"/>
  <c r="H568" i="2"/>
  <c r="H567" i="2"/>
  <c r="G567" i="2"/>
  <c r="F567" i="2"/>
  <c r="H565" i="2"/>
  <c r="H564" i="2"/>
  <c r="H563" i="2"/>
  <c r="H562" i="2"/>
  <c r="H561" i="2"/>
  <c r="H560" i="2"/>
  <c r="G560" i="2"/>
  <c r="F560" i="2"/>
  <c r="G559" i="2"/>
  <c r="H559" i="2" s="1"/>
  <c r="F559" i="2"/>
  <c r="H557" i="2"/>
  <c r="H556" i="2"/>
  <c r="H553" i="2"/>
  <c r="G553" i="2"/>
  <c r="F553" i="2"/>
  <c r="H552" i="2"/>
  <c r="H551" i="2"/>
  <c r="G551" i="2"/>
  <c r="F551" i="2"/>
  <c r="G550" i="2"/>
  <c r="F550" i="2"/>
  <c r="F547" i="2" s="1"/>
  <c r="H546" i="2"/>
  <c r="G545" i="2"/>
  <c r="F545" i="2"/>
  <c r="F544" i="2"/>
  <c r="H544" i="2" s="1"/>
  <c r="H543" i="2"/>
  <c r="H542" i="2"/>
  <c r="F542" i="2"/>
  <c r="H541" i="2"/>
  <c r="H540" i="2"/>
  <c r="H539" i="2"/>
  <c r="H538" i="2"/>
  <c r="G537" i="2"/>
  <c r="F537" i="2"/>
  <c r="G536" i="2"/>
  <c r="F536" i="2"/>
  <c r="H535" i="2"/>
  <c r="G534" i="2"/>
  <c r="H533" i="2"/>
  <c r="F533" i="2"/>
  <c r="F532" i="2"/>
  <c r="F526" i="2" s="1"/>
  <c r="H526" i="2" s="1"/>
  <c r="H531" i="2"/>
  <c r="H530" i="2"/>
  <c r="H529" i="2"/>
  <c r="H528" i="2"/>
  <c r="F528" i="2"/>
  <c r="H527" i="2"/>
  <c r="G526" i="2"/>
  <c r="H522" i="2"/>
  <c r="H521" i="2"/>
  <c r="H520" i="2"/>
  <c r="H519" i="2"/>
  <c r="H518" i="2"/>
  <c r="G517" i="2"/>
  <c r="G516" i="2" s="1"/>
  <c r="G515" i="2" s="1"/>
  <c r="F517" i="2"/>
  <c r="F516" i="2" s="1"/>
  <c r="H513" i="2"/>
  <c r="H512" i="2"/>
  <c r="H511" i="2"/>
  <c r="H510" i="2"/>
  <c r="G509" i="2"/>
  <c r="H509" i="2" s="1"/>
  <c r="F509" i="2"/>
  <c r="F508" i="2"/>
  <c r="F507" i="2"/>
  <c r="H506" i="2"/>
  <c r="H505" i="2"/>
  <c r="G504" i="2"/>
  <c r="F504" i="2"/>
  <c r="F503" i="2" s="1"/>
  <c r="H502" i="2"/>
  <c r="H501" i="2"/>
  <c r="G500" i="2"/>
  <c r="H500" i="2" s="1"/>
  <c r="F500" i="2"/>
  <c r="F499" i="2"/>
  <c r="H498" i="2"/>
  <c r="H497" i="2"/>
  <c r="G496" i="2"/>
  <c r="G495" i="2" s="1"/>
  <c r="F496" i="2"/>
  <c r="H496" i="2" s="1"/>
  <c r="H494" i="2"/>
  <c r="G493" i="2"/>
  <c r="G492" i="2" s="1"/>
  <c r="F493" i="2"/>
  <c r="H490" i="2"/>
  <c r="H489" i="2"/>
  <c r="H488" i="2"/>
  <c r="H487" i="2"/>
  <c r="H486" i="2"/>
  <c r="H485" i="2"/>
  <c r="H484" i="2"/>
  <c r="H483" i="2"/>
  <c r="H482" i="2"/>
  <c r="G481" i="2"/>
  <c r="G480" i="2" s="1"/>
  <c r="F481" i="2"/>
  <c r="H479" i="2"/>
  <c r="G478" i="2"/>
  <c r="H478" i="2" s="1"/>
  <c r="F478" i="2"/>
  <c r="F477" i="2"/>
  <c r="H476" i="2"/>
  <c r="H475" i="2"/>
  <c r="G474" i="2"/>
  <c r="H474" i="2" s="1"/>
  <c r="F474" i="2"/>
  <c r="H472" i="2"/>
  <c r="G471" i="2"/>
  <c r="G470" i="2" s="1"/>
  <c r="F471" i="2"/>
  <c r="F470" i="2"/>
  <c r="H469" i="2"/>
  <c r="H468" i="2"/>
  <c r="G467" i="2"/>
  <c r="H467" i="2" s="1"/>
  <c r="F467" i="2"/>
  <c r="H466" i="2"/>
  <c r="H465" i="2"/>
  <c r="H464" i="2"/>
  <c r="H463" i="2"/>
  <c r="G462" i="2"/>
  <c r="G460" i="2" s="1"/>
  <c r="F462" i="2"/>
  <c r="H462" i="2" s="1"/>
  <c r="H459" i="2"/>
  <c r="F458" i="2"/>
  <c r="H458" i="2" s="1"/>
  <c r="H457" i="2"/>
  <c r="H456" i="2"/>
  <c r="H455" i="2"/>
  <c r="F454" i="2"/>
  <c r="H453" i="2"/>
  <c r="G452" i="2"/>
  <c r="H451" i="2"/>
  <c r="H450" i="2"/>
  <c r="H449" i="2"/>
  <c r="G448" i="2"/>
  <c r="F448" i="2"/>
  <c r="H445" i="2"/>
  <c r="H444" i="2"/>
  <c r="H443" i="2"/>
  <c r="H442" i="2"/>
  <c r="H441" i="2"/>
  <c r="H440" i="2"/>
  <c r="G439" i="2"/>
  <c r="F439" i="2"/>
  <c r="G438" i="2"/>
  <c r="H437" i="2"/>
  <c r="H436" i="2"/>
  <c r="H435" i="2"/>
  <c r="H434" i="2"/>
  <c r="H433" i="2"/>
  <c r="H432" i="2"/>
  <c r="G431" i="2"/>
  <c r="G430" i="2" s="1"/>
  <c r="F431" i="2"/>
  <c r="H429" i="2"/>
  <c r="H428" i="2"/>
  <c r="H427" i="2"/>
  <c r="H426" i="2"/>
  <c r="H425" i="2"/>
  <c r="H424" i="2"/>
  <c r="G423" i="2"/>
  <c r="F423" i="2"/>
  <c r="H422" i="2"/>
  <c r="G421" i="2"/>
  <c r="G420" i="2" s="1"/>
  <c r="F421" i="2"/>
  <c r="H419" i="2"/>
  <c r="H418" i="2"/>
  <c r="H417" i="2"/>
  <c r="H416" i="2"/>
  <c r="H415" i="2"/>
  <c r="H414" i="2"/>
  <c r="G413" i="2"/>
  <c r="F413" i="2"/>
  <c r="H412" i="2"/>
  <c r="G411" i="2"/>
  <c r="G410" i="2" s="1"/>
  <c r="F411" i="2"/>
  <c r="H408" i="2"/>
  <c r="H407" i="2"/>
  <c r="H406" i="2"/>
  <c r="F406" i="2"/>
  <c r="G405" i="2"/>
  <c r="F405" i="2"/>
  <c r="F404" i="2" s="1"/>
  <c r="G404" i="2"/>
  <c r="H403" i="2"/>
  <c r="G402" i="2"/>
  <c r="G401" i="2" s="1"/>
  <c r="F402" i="2"/>
  <c r="F401" i="2" s="1"/>
  <c r="H399" i="2"/>
  <c r="H398" i="2"/>
  <c r="H397" i="2"/>
  <c r="H396" i="2"/>
  <c r="G395" i="2"/>
  <c r="G394" i="2" s="1"/>
  <c r="G393" i="2" s="1"/>
  <c r="F395" i="2"/>
  <c r="H395" i="2" s="1"/>
  <c r="F394" i="2"/>
  <c r="H392" i="2"/>
  <c r="H391" i="2"/>
  <c r="H390" i="2"/>
  <c r="H389" i="2"/>
  <c r="G388" i="2"/>
  <c r="F388" i="2"/>
  <c r="G387" i="2"/>
  <c r="H386" i="2"/>
  <c r="H385" i="2"/>
  <c r="H384" i="2"/>
  <c r="H383" i="2"/>
  <c r="G382" i="2"/>
  <c r="H382" i="2" s="1"/>
  <c r="F382" i="2"/>
  <c r="H381" i="2"/>
  <c r="H380" i="2"/>
  <c r="H379" i="2"/>
  <c r="G379" i="2"/>
  <c r="F379" i="2"/>
  <c r="F378" i="2"/>
  <c r="H377" i="2"/>
  <c r="G376" i="2"/>
  <c r="F376" i="2"/>
  <c r="F374" i="2"/>
  <c r="H372" i="2"/>
  <c r="H371" i="2"/>
  <c r="H370" i="2"/>
  <c r="H369" i="2"/>
  <c r="H368" i="2"/>
  <c r="H367" i="2"/>
  <c r="H366" i="2"/>
  <c r="H365" i="2"/>
  <c r="G364" i="2"/>
  <c r="G363" i="2" s="1"/>
  <c r="F364" i="2"/>
  <c r="F363" i="2" s="1"/>
  <c r="H363" i="2" s="1"/>
  <c r="H362" i="2"/>
  <c r="H361" i="2"/>
  <c r="H360" i="2"/>
  <c r="G359" i="2"/>
  <c r="F359" i="2"/>
  <c r="F358" i="2" s="1"/>
  <c r="G358" i="2"/>
  <c r="H356" i="2"/>
  <c r="H355" i="2"/>
  <c r="G354" i="2"/>
  <c r="H354" i="2" s="1"/>
  <c r="F354" i="2"/>
  <c r="H353" i="2"/>
  <c r="G352" i="2"/>
  <c r="F352" i="2"/>
  <c r="H351" i="2"/>
  <c r="H350" i="2"/>
  <c r="H349" i="2"/>
  <c r="H348" i="2"/>
  <c r="H347" i="2"/>
  <c r="G346" i="2"/>
  <c r="F346" i="2"/>
  <c r="F345" i="2"/>
  <c r="F344" i="2" s="1"/>
  <c r="H343" i="2"/>
  <c r="H342" i="2"/>
  <c r="H341" i="2"/>
  <c r="G341" i="2"/>
  <c r="F341" i="2"/>
  <c r="H340" i="2"/>
  <c r="H339" i="2"/>
  <c r="H338" i="2"/>
  <c r="H337" i="2"/>
  <c r="H336" i="2"/>
  <c r="H335" i="2"/>
  <c r="H334" i="2"/>
  <c r="G333" i="2"/>
  <c r="F333" i="2"/>
  <c r="H332" i="2"/>
  <c r="F332" i="2"/>
  <c r="F331" i="2"/>
  <c r="H331" i="2" s="1"/>
  <c r="F330" i="2"/>
  <c r="H330" i="2" s="1"/>
  <c r="F329" i="2"/>
  <c r="H329" i="2" s="1"/>
  <c r="F328" i="2"/>
  <c r="H328" i="2" s="1"/>
  <c r="F327" i="2"/>
  <c r="H327" i="2" s="1"/>
  <c r="F326" i="2"/>
  <c r="H326" i="2" s="1"/>
  <c r="F325" i="2"/>
  <c r="H324" i="2"/>
  <c r="F324" i="2"/>
  <c r="G323" i="2"/>
  <c r="G321" i="2"/>
  <c r="H320" i="2"/>
  <c r="G319" i="2"/>
  <c r="F319" i="2"/>
  <c r="F318" i="2"/>
  <c r="H310" i="2"/>
  <c r="H309" i="2"/>
  <c r="G308" i="2"/>
  <c r="F308" i="2"/>
  <c r="F307" i="2" s="1"/>
  <c r="H306" i="2"/>
  <c r="H305" i="2"/>
  <c r="G304" i="2"/>
  <c r="F304" i="2"/>
  <c r="H304" i="2" s="1"/>
  <c r="H303" i="2"/>
  <c r="G302" i="2"/>
  <c r="F302" i="2"/>
  <c r="H302" i="2" s="1"/>
  <c r="G301" i="2"/>
  <c r="H298" i="2"/>
  <c r="H297" i="2"/>
  <c r="H296" i="2"/>
  <c r="G296" i="2"/>
  <c r="G295" i="2" s="1"/>
  <c r="F296" i="2"/>
  <c r="F295" i="2"/>
  <c r="H291" i="2"/>
  <c r="H290" i="2"/>
  <c r="H289" i="2"/>
  <c r="H288" i="2"/>
  <c r="H287" i="2"/>
  <c r="H286" i="2"/>
  <c r="G285" i="2"/>
  <c r="F285" i="2"/>
  <c r="F284" i="2"/>
  <c r="H283" i="2"/>
  <c r="H282" i="2"/>
  <c r="H281" i="2"/>
  <c r="H280" i="2"/>
  <c r="G279" i="2"/>
  <c r="F279" i="2"/>
  <c r="G278" i="2"/>
  <c r="H277" i="2"/>
  <c r="H276" i="2"/>
  <c r="H275" i="2"/>
  <c r="G274" i="2"/>
  <c r="G273" i="2" s="1"/>
  <c r="F274" i="2"/>
  <c r="H272" i="2"/>
  <c r="H271" i="2"/>
  <c r="G270" i="2"/>
  <c r="G269" i="2" s="1"/>
  <c r="F270" i="2"/>
  <c r="F269" i="2" s="1"/>
  <c r="H269" i="2" s="1"/>
  <c r="H268" i="2"/>
  <c r="G267" i="2"/>
  <c r="F267" i="2"/>
  <c r="G266" i="2"/>
  <c r="F265" i="2"/>
  <c r="F264" i="2"/>
  <c r="H264" i="2" s="1"/>
  <c r="G263" i="2"/>
  <c r="G262" i="2" s="1"/>
  <c r="F261" i="2"/>
  <c r="H261" i="2" s="1"/>
  <c r="F260" i="2"/>
  <c r="H260" i="2" s="1"/>
  <c r="H259" i="2"/>
  <c r="G258" i="2"/>
  <c r="H257" i="2"/>
  <c r="H256" i="2"/>
  <c r="H255" i="2"/>
  <c r="H254" i="2"/>
  <c r="H253" i="2"/>
  <c r="F253" i="2"/>
  <c r="G252" i="2"/>
  <c r="G251" i="2" s="1"/>
  <c r="F251" i="2"/>
  <c r="F249" i="2"/>
  <c r="F248" i="2"/>
  <c r="H248" i="2" s="1"/>
  <c r="H247" i="2"/>
  <c r="G246" i="2"/>
  <c r="H245" i="2"/>
  <c r="H244" i="2"/>
  <c r="H243" i="2"/>
  <c r="H242" i="2"/>
  <c r="H241" i="2"/>
  <c r="G240" i="2"/>
  <c r="F240" i="2"/>
  <c r="G238" i="2"/>
  <c r="H237" i="2"/>
  <c r="F236" i="2"/>
  <c r="H235" i="2"/>
  <c r="G234" i="2"/>
  <c r="F234" i="2"/>
  <c r="F232" i="2"/>
  <c r="H231" i="2"/>
  <c r="F231" i="2"/>
  <c r="H230" i="2"/>
  <c r="G229" i="2"/>
  <c r="H228" i="2"/>
  <c r="H227" i="2"/>
  <c r="G226" i="2"/>
  <c r="G225" i="2" s="1"/>
  <c r="F226" i="2"/>
  <c r="H226" i="2" s="1"/>
  <c r="H224" i="2"/>
  <c r="H223" i="2"/>
  <c r="H222" i="2"/>
  <c r="H221" i="2"/>
  <c r="G220" i="2"/>
  <c r="G219" i="2" s="1"/>
  <c r="F220" i="2"/>
  <c r="H220" i="2" s="1"/>
  <c r="H218" i="2"/>
  <c r="G217" i="2"/>
  <c r="G216" i="2" s="1"/>
  <c r="F217" i="2"/>
  <c r="F215" i="2"/>
  <c r="H214" i="2"/>
  <c r="H213" i="2"/>
  <c r="H212" i="2"/>
  <c r="G211" i="2"/>
  <c r="H210" i="2"/>
  <c r="H209" i="2"/>
  <c r="G208" i="2"/>
  <c r="H208" i="2" s="1"/>
  <c r="H207" i="2"/>
  <c r="H206" i="2"/>
  <c r="H205" i="2"/>
  <c r="H204" i="2"/>
  <c r="F203" i="2"/>
  <c r="H201" i="2"/>
  <c r="H200" i="2"/>
  <c r="H199" i="2"/>
  <c r="H198" i="2"/>
  <c r="G197" i="2"/>
  <c r="F197" i="2"/>
  <c r="H196" i="2"/>
  <c r="G195" i="2"/>
  <c r="F195" i="2"/>
  <c r="H193" i="2"/>
  <c r="F193" i="2"/>
  <c r="F192" i="2"/>
  <c r="H192" i="2" s="1"/>
  <c r="H191" i="2"/>
  <c r="H190" i="2"/>
  <c r="G189" i="2"/>
  <c r="F189" i="2"/>
  <c r="H189" i="2" s="1"/>
  <c r="G188" i="2"/>
  <c r="H188" i="2" s="1"/>
  <c r="H187" i="2"/>
  <c r="F186" i="2"/>
  <c r="F178" i="2" s="1"/>
  <c r="H185" i="2"/>
  <c r="H184" i="2"/>
  <c r="H183" i="2"/>
  <c r="H182" i="2"/>
  <c r="H181" i="2"/>
  <c r="H180" i="2"/>
  <c r="H179" i="2"/>
  <c r="H175" i="2"/>
  <c r="H174" i="2"/>
  <c r="G173" i="2"/>
  <c r="H173" i="2" s="1"/>
  <c r="F173" i="2"/>
  <c r="H172" i="2"/>
  <c r="H171" i="2"/>
  <c r="H170" i="2"/>
  <c r="H169" i="2"/>
  <c r="H168" i="2"/>
  <c r="H167" i="2"/>
  <c r="H166" i="2"/>
  <c r="H165" i="2"/>
  <c r="G164" i="2"/>
  <c r="F164" i="2"/>
  <c r="H164" i="2" s="1"/>
  <c r="H163" i="2"/>
  <c r="H162" i="2"/>
  <c r="G161" i="2"/>
  <c r="H161" i="2" s="1"/>
  <c r="F161" i="2"/>
  <c r="F160" i="2"/>
  <c r="H157" i="2"/>
  <c r="H156" i="2"/>
  <c r="H155" i="2"/>
  <c r="H154" i="2"/>
  <c r="H153" i="2"/>
  <c r="H152" i="2"/>
  <c r="G151" i="2"/>
  <c r="F151" i="2"/>
  <c r="H151" i="2" s="1"/>
  <c r="H150" i="2"/>
  <c r="H149" i="2"/>
  <c r="H148" i="2"/>
  <c r="H147" i="2"/>
  <c r="G146" i="2"/>
  <c r="F146" i="2"/>
  <c r="H146" i="2" s="1"/>
  <c r="G145" i="2"/>
  <c r="G144" i="2" s="1"/>
  <c r="H143" i="2"/>
  <c r="G142" i="2"/>
  <c r="G140" i="2" s="1"/>
  <c r="G139" i="2" s="1"/>
  <c r="F142" i="2"/>
  <c r="H142" i="2" s="1"/>
  <c r="F140" i="2"/>
  <c r="H140" i="2" s="1"/>
  <c r="H138" i="2"/>
  <c r="H137" i="2"/>
  <c r="H136" i="2"/>
  <c r="H135" i="2"/>
  <c r="H134" i="2"/>
  <c r="G133" i="2"/>
  <c r="F133" i="2"/>
  <c r="G132" i="2"/>
  <c r="H131" i="2"/>
  <c r="H130" i="2"/>
  <c r="G129" i="2"/>
  <c r="G128" i="2" s="1"/>
  <c r="F129" i="2"/>
  <c r="F128" i="2" s="1"/>
  <c r="H126" i="2"/>
  <c r="H125" i="2"/>
  <c r="H124" i="2"/>
  <c r="G124" i="2"/>
  <c r="F124" i="2"/>
  <c r="G123" i="2"/>
  <c r="F123" i="2"/>
  <c r="H123" i="2" s="1"/>
  <c r="H122" i="2"/>
  <c r="H121" i="2"/>
  <c r="G120" i="2"/>
  <c r="G119" i="2" s="1"/>
  <c r="G118" i="2" s="1"/>
  <c r="F120" i="2"/>
  <c r="H120" i="2" s="1"/>
  <c r="H115" i="2"/>
  <c r="G114" i="2"/>
  <c r="H114" i="2" s="1"/>
  <c r="F114" i="2"/>
  <c r="F113" i="2"/>
  <c r="H109" i="2"/>
  <c r="G108" i="2"/>
  <c r="G107" i="2" s="1"/>
  <c r="G106" i="2" s="1"/>
  <c r="F108" i="2"/>
  <c r="F107" i="2" s="1"/>
  <c r="H104" i="2"/>
  <c r="G103" i="2"/>
  <c r="H103" i="2" s="1"/>
  <c r="F103" i="2"/>
  <c r="F102" i="2" s="1"/>
  <c r="F101" i="2" s="1"/>
  <c r="H99" i="2"/>
  <c r="G98" i="2"/>
  <c r="G97" i="2" s="1"/>
  <c r="F98" i="2"/>
  <c r="F97" i="2" s="1"/>
  <c r="H94" i="2"/>
  <c r="G93" i="2"/>
  <c r="G92" i="2" s="1"/>
  <c r="F93" i="2"/>
  <c r="H91" i="2"/>
  <c r="H90" i="2"/>
  <c r="G90" i="2"/>
  <c r="F90" i="2"/>
  <c r="G89" i="2"/>
  <c r="H89" i="2" s="1"/>
  <c r="F89" i="2"/>
  <c r="F85" i="2"/>
  <c r="H85" i="2" s="1"/>
  <c r="H84" i="2"/>
  <c r="G83" i="2"/>
  <c r="G82" i="2" s="1"/>
  <c r="G81" i="2" s="1"/>
  <c r="F83" i="2"/>
  <c r="H83" i="2" s="1"/>
  <c r="H80" i="2"/>
  <c r="G79" i="2"/>
  <c r="G78" i="2" s="1"/>
  <c r="F79" i="2"/>
  <c r="H79" i="2" s="1"/>
  <c r="F78" i="2"/>
  <c r="H77" i="2"/>
  <c r="G76" i="2"/>
  <c r="F76" i="2"/>
  <c r="G75" i="2"/>
  <c r="H73" i="2"/>
  <c r="G72" i="2"/>
  <c r="G71" i="2" s="1"/>
  <c r="G68" i="2" s="1"/>
  <c r="F72" i="2"/>
  <c r="H72" i="2" s="1"/>
  <c r="H67" i="2"/>
  <c r="F67" i="2"/>
  <c r="H66" i="2"/>
  <c r="G65" i="2"/>
  <c r="G61" i="2" s="1"/>
  <c r="G60" i="2" s="1"/>
  <c r="F65" i="2"/>
  <c r="F64" i="2"/>
  <c r="H64" i="2" s="1"/>
  <c r="H63" i="2"/>
  <c r="G62" i="2"/>
  <c r="H58" i="2"/>
  <c r="H57" i="2"/>
  <c r="G56" i="2"/>
  <c r="G55" i="2" s="1"/>
  <c r="G54" i="2" s="1"/>
  <c r="F56" i="2"/>
  <c r="F55" i="2" s="1"/>
  <c r="H53" i="2"/>
  <c r="H52" i="2"/>
  <c r="G51" i="2"/>
  <c r="G50" i="2" s="1"/>
  <c r="G49" i="2" s="1"/>
  <c r="F51" i="2"/>
  <c r="H51" i="2" s="1"/>
  <c r="H47" i="2"/>
  <c r="F47" i="2"/>
  <c r="H46" i="2"/>
  <c r="G45" i="2"/>
  <c r="F45" i="2"/>
  <c r="F44" i="2" s="1"/>
  <c r="H42" i="2"/>
  <c r="H41" i="2"/>
  <c r="H40" i="2"/>
  <c r="G40" i="2"/>
  <c r="F40" i="2"/>
  <c r="G39" i="2"/>
  <c r="G38" i="2" s="1"/>
  <c r="F39" i="2"/>
  <c r="H39" i="2" s="1"/>
  <c r="H37" i="2"/>
  <c r="G36" i="2"/>
  <c r="G35" i="2" s="1"/>
  <c r="H35" i="2" s="1"/>
  <c r="F36" i="2"/>
  <c r="F35" i="2" s="1"/>
  <c r="H34" i="2"/>
  <c r="H33" i="2"/>
  <c r="H32" i="2"/>
  <c r="G32" i="2"/>
  <c r="F32" i="2"/>
  <c r="F31" i="2" s="1"/>
  <c r="G31" i="2"/>
  <c r="H30" i="2"/>
  <c r="G29" i="2"/>
  <c r="G28" i="2" s="1"/>
  <c r="F29" i="2"/>
  <c r="H29" i="2" s="1"/>
  <c r="H27" i="2"/>
  <c r="H26" i="2"/>
  <c r="G26" i="2"/>
  <c r="F26" i="2"/>
  <c r="G25" i="2"/>
  <c r="F25" i="2"/>
  <c r="H25" i="2" s="1"/>
  <c r="H24" i="2"/>
  <c r="G23" i="2"/>
  <c r="G22" i="2" s="1"/>
  <c r="F23" i="2"/>
  <c r="H23" i="2" s="1"/>
  <c r="H20" i="2"/>
  <c r="F19" i="2"/>
  <c r="H19" i="2" s="1"/>
  <c r="G18" i="2"/>
  <c r="G17" i="2" s="1"/>
  <c r="G16" i="2" s="1"/>
  <c r="F18" i="2"/>
  <c r="F17" i="2"/>
  <c r="F16" i="2" s="1"/>
  <c r="H15" i="2"/>
  <c r="G14" i="2"/>
  <c r="F14" i="2"/>
  <c r="G13" i="2"/>
  <c r="G12" i="2" s="1"/>
  <c r="F13" i="2"/>
  <c r="F12" i="2" s="1"/>
  <c r="H470" i="2" l="1"/>
  <c r="H477" i="2"/>
  <c r="G607" i="2"/>
  <c r="H18" i="2"/>
  <c r="H45" i="2"/>
  <c r="H65" i="2"/>
  <c r="F159" i="2"/>
  <c r="G178" i="2"/>
  <c r="G177" i="2" s="1"/>
  <c r="H352" i="2"/>
  <c r="H471" i="2"/>
  <c r="G477" i="2"/>
  <c r="H532" i="2"/>
  <c r="F622" i="2"/>
  <c r="F28" i="2"/>
  <c r="H28" i="2" s="1"/>
  <c r="H31" i="2"/>
  <c r="H36" i="2"/>
  <c r="F50" i="2"/>
  <c r="F49" i="2" s="1"/>
  <c r="F71" i="2"/>
  <c r="G74" i="2"/>
  <c r="G48" i="2" s="1"/>
  <c r="F82" i="2"/>
  <c r="F110" i="2"/>
  <c r="H110" i="2" s="1"/>
  <c r="H129" i="2"/>
  <c r="H186" i="2"/>
  <c r="F219" i="2"/>
  <c r="H219" i="2" s="1"/>
  <c r="H252" i="2"/>
  <c r="F263" i="2"/>
  <c r="H359" i="2"/>
  <c r="H405" i="2"/>
  <c r="G447" i="2"/>
  <c r="G446" i="2" s="1"/>
  <c r="F460" i="2"/>
  <c r="F495" i="2"/>
  <c r="G499" i="2"/>
  <c r="H499" i="2" s="1"/>
  <c r="G508" i="2"/>
  <c r="G507" i="2" s="1"/>
  <c r="H536" i="2"/>
  <c r="G598" i="2"/>
  <c r="H625" i="2"/>
  <c r="G86" i="2"/>
  <c r="G113" i="2"/>
  <c r="G110" i="2" s="1"/>
  <c r="G160" i="2"/>
  <c r="G159" i="2" s="1"/>
  <c r="G250" i="2"/>
  <c r="H308" i="2"/>
  <c r="F323" i="2"/>
  <c r="F321" i="2" s="1"/>
  <c r="H321" i="2" s="1"/>
  <c r="G378" i="2"/>
  <c r="H378" i="2" s="1"/>
  <c r="G400" i="2"/>
  <c r="H537" i="2"/>
  <c r="H550" i="2"/>
  <c r="G558" i="2"/>
  <c r="H55" i="2"/>
  <c r="H108" i="2"/>
  <c r="F119" i="2"/>
  <c r="F145" i="2"/>
  <c r="H265" i="2"/>
  <c r="F301" i="2"/>
  <c r="H301" i="2" s="1"/>
  <c r="G307" i="2"/>
  <c r="H413" i="2"/>
  <c r="H423" i="2"/>
  <c r="G547" i="2"/>
  <c r="H16" i="2"/>
  <c r="H17" i="2"/>
  <c r="H49" i="2"/>
  <c r="F62" i="2"/>
  <c r="H107" i="2"/>
  <c r="F106" i="2"/>
  <c r="H106" i="2" s="1"/>
  <c r="H217" i="2"/>
  <c r="F216" i="2"/>
  <c r="H216" i="2" s="1"/>
  <c r="F233" i="2"/>
  <c r="H234" i="2"/>
  <c r="H240" i="2"/>
  <c r="G239" i="2"/>
  <c r="H251" i="2"/>
  <c r="H274" i="2"/>
  <c r="F273" i="2"/>
  <c r="H273" i="2" s="1"/>
  <c r="G374" i="2"/>
  <c r="H376" i="2"/>
  <c r="H388" i="2"/>
  <c r="F387" i="2"/>
  <c r="F452" i="2"/>
  <c r="H454" i="2"/>
  <c r="H507" i="2"/>
  <c r="H589" i="2"/>
  <c r="F588" i="2"/>
  <c r="H76" i="2"/>
  <c r="F75" i="2"/>
  <c r="F229" i="2"/>
  <c r="H229" i="2" s="1"/>
  <c r="H232" i="2"/>
  <c r="G345" i="2"/>
  <c r="G344" i="2" s="1"/>
  <c r="H344" i="2" s="1"/>
  <c r="H346" i="2"/>
  <c r="H13" i="2"/>
  <c r="G21" i="2"/>
  <c r="G11" i="2" s="1"/>
  <c r="F38" i="2"/>
  <c r="H38" i="2" s="1"/>
  <c r="G44" i="2"/>
  <c r="G43" i="2" s="1"/>
  <c r="H56" i="2"/>
  <c r="H97" i="2"/>
  <c r="H119" i="2"/>
  <c r="G127" i="2"/>
  <c r="F132" i="2"/>
  <c r="H133" i="2"/>
  <c r="F177" i="2"/>
  <c r="H195" i="2"/>
  <c r="F194" i="2"/>
  <c r="H194" i="2" s="1"/>
  <c r="H295" i="2"/>
  <c r="H448" i="2"/>
  <c r="F447" i="2"/>
  <c r="G503" i="2"/>
  <c r="G491" i="2" s="1"/>
  <c r="H504" i="2"/>
  <c r="G525" i="2"/>
  <c r="G524" i="2" s="1"/>
  <c r="G514" i="2" s="1"/>
  <c r="F211" i="2"/>
  <c r="H215" i="2"/>
  <c r="F246" i="2"/>
  <c r="H249" i="2"/>
  <c r="H493" i="2"/>
  <c r="F492" i="2"/>
  <c r="H12" i="2"/>
  <c r="H14" i="2"/>
  <c r="F22" i="2"/>
  <c r="F43" i="2"/>
  <c r="H43" i="2" s="1"/>
  <c r="F54" i="2"/>
  <c r="H54" i="2" s="1"/>
  <c r="H78" i="2"/>
  <c r="H93" i="2"/>
  <c r="F92" i="2"/>
  <c r="H98" i="2"/>
  <c r="H128" i="2"/>
  <c r="F139" i="2"/>
  <c r="G194" i="2"/>
  <c r="G284" i="2"/>
  <c r="H284" i="2" s="1"/>
  <c r="H285" i="2"/>
  <c r="G318" i="2"/>
  <c r="H318" i="2" s="1"/>
  <c r="H319" i="2"/>
  <c r="G357" i="2"/>
  <c r="H394" i="2"/>
  <c r="F393" i="2"/>
  <c r="H401" i="2"/>
  <c r="H516" i="2"/>
  <c r="F515" i="2"/>
  <c r="H578" i="2"/>
  <c r="F576" i="2"/>
  <c r="G604" i="2"/>
  <c r="G585" i="2" s="1"/>
  <c r="H605" i="2"/>
  <c r="F118" i="2"/>
  <c r="G203" i="2"/>
  <c r="H333" i="2"/>
  <c r="H345" i="2"/>
  <c r="H374" i="2"/>
  <c r="H411" i="2"/>
  <c r="F410" i="2"/>
  <c r="H410" i="2" s="1"/>
  <c r="H439" i="2"/>
  <c r="F438" i="2"/>
  <c r="H438" i="2" s="1"/>
  <c r="H610" i="2"/>
  <c r="F609" i="2"/>
  <c r="F225" i="2"/>
  <c r="H225" i="2" s="1"/>
  <c r="F258" i="2"/>
  <c r="H258" i="2" s="1"/>
  <c r="H307" i="2"/>
  <c r="H323" i="2"/>
  <c r="H325" i="2"/>
  <c r="H358" i="2"/>
  <c r="H404" i="2"/>
  <c r="H421" i="2"/>
  <c r="F420" i="2"/>
  <c r="H420" i="2" s="1"/>
  <c r="H481" i="2"/>
  <c r="F480" i="2"/>
  <c r="H480" i="2" s="1"/>
  <c r="F534" i="2"/>
  <c r="H534" i="2" s="1"/>
  <c r="H547" i="2"/>
  <c r="H598" i="2"/>
  <c r="H634" i="2"/>
  <c r="F633" i="2"/>
  <c r="G102" i="2"/>
  <c r="H197" i="2"/>
  <c r="H238" i="2"/>
  <c r="G236" i="2"/>
  <c r="G233" i="2" s="1"/>
  <c r="H267" i="2"/>
  <c r="F266" i="2"/>
  <c r="H266" i="2" s="1"/>
  <c r="H270" i="2"/>
  <c r="H279" i="2"/>
  <c r="F278" i="2"/>
  <c r="H278" i="2" s="1"/>
  <c r="H364" i="2"/>
  <c r="H402" i="2"/>
  <c r="H431" i="2"/>
  <c r="F430" i="2"/>
  <c r="H430" i="2" s="1"/>
  <c r="H460" i="2"/>
  <c r="H495" i="2"/>
  <c r="H517" i="2"/>
  <c r="H545" i="2"/>
  <c r="F558" i="2"/>
  <c r="H571" i="2"/>
  <c r="F81" i="2" l="1"/>
  <c r="H81" i="2" s="1"/>
  <c r="H82" i="2"/>
  <c r="H508" i="2"/>
  <c r="H44" i="2"/>
  <c r="H145" i="2"/>
  <c r="F144" i="2"/>
  <c r="H144" i="2" s="1"/>
  <c r="H159" i="2"/>
  <c r="H113" i="2"/>
  <c r="F621" i="2"/>
  <c r="H622" i="2"/>
  <c r="H503" i="2"/>
  <c r="F100" i="2"/>
  <c r="H178" i="2"/>
  <c r="H50" i="2"/>
  <c r="F262" i="2"/>
  <c r="H262" i="2" s="1"/>
  <c r="H263" i="2"/>
  <c r="H71" i="2"/>
  <c r="F68" i="2"/>
  <c r="H68" i="2" s="1"/>
  <c r="H160" i="2"/>
  <c r="H387" i="2"/>
  <c r="F357" i="2"/>
  <c r="H62" i="2"/>
  <c r="F61" i="2"/>
  <c r="G101" i="2"/>
  <c r="H102" i="2"/>
  <c r="F608" i="2"/>
  <c r="H609" i="2"/>
  <c r="H515" i="2"/>
  <c r="H393" i="2"/>
  <c r="H92" i="2"/>
  <c r="F86" i="2"/>
  <c r="H86" i="2" s="1"/>
  <c r="F446" i="2"/>
  <c r="H447" i="2"/>
  <c r="H132" i="2"/>
  <c r="F127" i="2"/>
  <c r="F585" i="2"/>
  <c r="H585" i="2" s="1"/>
  <c r="H588" i="2"/>
  <c r="H118" i="2"/>
  <c r="F21" i="2"/>
  <c r="H22" i="2"/>
  <c r="H203" i="2"/>
  <c r="G202" i="2"/>
  <c r="G176" i="2" s="1"/>
  <c r="G117" i="2" s="1"/>
  <c r="G116" i="2" s="1"/>
  <c r="H139" i="2"/>
  <c r="F239" i="2"/>
  <c r="H239" i="2" s="1"/>
  <c r="H246" i="2"/>
  <c r="F202" i="2"/>
  <c r="H211" i="2"/>
  <c r="H177" i="2"/>
  <c r="H75" i="2"/>
  <c r="F74" i="2"/>
  <c r="H74" i="2" s="1"/>
  <c r="F630" i="2"/>
  <c r="H630" i="2" s="1"/>
  <c r="H633" i="2"/>
  <c r="H558" i="2"/>
  <c r="F525" i="2"/>
  <c r="H604" i="2"/>
  <c r="H576" i="2"/>
  <c r="F575" i="2"/>
  <c r="F400" i="2"/>
  <c r="H400" i="2" s="1"/>
  <c r="H492" i="2"/>
  <c r="F491" i="2"/>
  <c r="H236" i="2"/>
  <c r="H452" i="2"/>
  <c r="F250" i="2"/>
  <c r="H250" i="2" s="1"/>
  <c r="H233" i="2"/>
  <c r="F620" i="2" l="1"/>
  <c r="H620" i="2" s="1"/>
  <c r="H621" i="2"/>
  <c r="F176" i="2"/>
  <c r="F524" i="2"/>
  <c r="H525" i="2"/>
  <c r="H127" i="2"/>
  <c r="G100" i="2"/>
  <c r="H101" i="2"/>
  <c r="H491" i="2"/>
  <c r="H21" i="2"/>
  <c r="F11" i="2"/>
  <c r="F607" i="2"/>
  <c r="H608" i="2"/>
  <c r="H446" i="2"/>
  <c r="H357" i="2"/>
  <c r="F574" i="2"/>
  <c r="H574" i="2" s="1"/>
  <c r="H575" i="2"/>
  <c r="H202" i="2"/>
  <c r="H61" i="2"/>
  <c r="F60" i="2"/>
  <c r="H60" i="2" l="1"/>
  <c r="F48" i="2"/>
  <c r="F10" i="2" s="1"/>
  <c r="H11" i="2"/>
  <c r="H524" i="2"/>
  <c r="F514" i="2"/>
  <c r="H607" i="2"/>
  <c r="G10" i="2"/>
  <c r="H100" i="2"/>
  <c r="H176" i="2"/>
  <c r="F117" i="2"/>
  <c r="H10" i="2" l="1"/>
  <c r="H514" i="2"/>
  <c r="H117" i="2"/>
  <c r="F116" i="2"/>
  <c r="H48" i="2"/>
  <c r="H116" i="2" l="1"/>
</calcChain>
</file>

<file path=xl/sharedStrings.xml><?xml version="1.0" encoding="utf-8"?>
<sst xmlns="http://schemas.openxmlformats.org/spreadsheetml/2006/main" count="1272" uniqueCount="513">
  <si>
    <t>Załącznik Nr 1</t>
  </si>
  <si>
    <t xml:space="preserve">Prezydenta Miasta Włocławek </t>
  </si>
  <si>
    <t>Zmiany w budżecie miasta Włocławek na 2022 rok</t>
  </si>
  <si>
    <t>w złotych</t>
  </si>
  <si>
    <t>Plan</t>
  </si>
  <si>
    <t>Dz.</t>
  </si>
  <si>
    <t>Rozdz.</t>
  </si>
  <si>
    <t>§</t>
  </si>
  <si>
    <t>T r e ś ć</t>
  </si>
  <si>
    <t>przed zmianą</t>
  </si>
  <si>
    <t>zwiększyć</t>
  </si>
  <si>
    <t>zmniejszyć</t>
  </si>
  <si>
    <t>po zmianach</t>
  </si>
  <si>
    <t>DOCHODY OGÓŁEM:</t>
  </si>
  <si>
    <t>Dochody na zadania własne:</t>
  </si>
  <si>
    <t>Działalność usługowa</t>
  </si>
  <si>
    <t>71035</t>
  </si>
  <si>
    <t xml:space="preserve">Cmentarze </t>
  </si>
  <si>
    <t>Organ</t>
  </si>
  <si>
    <t>2020</t>
  </si>
  <si>
    <t>dotacje celowe otrzymane z budżetu państwa na zadania bieżące realizowane przez gminę na podstawie porozumień z organami administracji rządowej</t>
  </si>
  <si>
    <t>Różne rozliczenia</t>
  </si>
  <si>
    <t>75814</t>
  </si>
  <si>
    <t>Różne rozliczenia finansowe</t>
  </si>
  <si>
    <t>Organ - Fundusz Pomocy (realizacja dodatkowych zadań oświatowych)</t>
  </si>
  <si>
    <t>2100</t>
  </si>
  <si>
    <t>środki z Funduszu Pomocy na finansowanie lub dofinansowanie zadań bieżących w zakresie pomocy obywatelom Ukrainy</t>
  </si>
  <si>
    <t>2700</t>
  </si>
  <si>
    <t>środki na dofinansowanie własnych zadań bieżących gmin, powiatów (związków gmin, związków powiatowo - gminnych, związków powiatów), samorządów województw pozyskane z innych źródeł</t>
  </si>
  <si>
    <t>Oświata i wychowanie</t>
  </si>
  <si>
    <t>Szkoły podstawowe</t>
  </si>
  <si>
    <t>2030</t>
  </si>
  <si>
    <t>dotacje celowe otrzymane z budżetu państwa na realizację własnych zadań bieżących gmin (związków gmin, związków powiatowo-gminnych)</t>
  </si>
  <si>
    <t>Branżowe szkoły I i II stopnia</t>
  </si>
  <si>
    <t>2130</t>
  </si>
  <si>
    <t>dotacje celowe otrzymane z budżetu państwa na realizację bieżących zadań własnych powiatu</t>
  </si>
  <si>
    <t>Licea ogólnokształcące</t>
  </si>
  <si>
    <t>Dokształcanie i doskonalenie nauczycieli</t>
  </si>
  <si>
    <t>2120</t>
  </si>
  <si>
    <t>dotacje celowe otrzymane z budżetu państwa na zadania bieżące realizowane przez powiat na podstawie porozumień z organami administracji rządowej</t>
  </si>
  <si>
    <t>Pozostała działalność</t>
  </si>
  <si>
    <t>Organ (projekty z grantów Lokalnej Grupy Działania Miasta Włocławek)</t>
  </si>
  <si>
    <t>2057</t>
  </si>
  <si>
    <t>dotacja celowa w ramach programów finansowanych z udziałem środków europejskich oraz środków, o których mowa w art. 5 ust. 3 pkt 5 lit. a i b ustawy, lub płatności w ramach budżetu środków europejskich, realizowanych przez jednostki samorządu terytorialnego</t>
  </si>
  <si>
    <t>Pomoc społeczna</t>
  </si>
  <si>
    <t>Pomoc w zakresie dożywiania</t>
  </si>
  <si>
    <t>Organ - Fundusz Pomocy (zapewnienie posiłku dzieciom i młodzieży)</t>
  </si>
  <si>
    <t>Rodzina</t>
  </si>
  <si>
    <t>Świadczenia rodzinne, świadczenie z funduszu alimentacyjnego oraz składki na ubezpieczenia emerytalne i rentowe z ubezpieczenia społecznego</t>
  </si>
  <si>
    <t>Organ - Fundusz Pomocy (świadczenia rodzinne)</t>
  </si>
  <si>
    <t>Dochody na zadania zlecone:</t>
  </si>
  <si>
    <t>Transport i łączność</t>
  </si>
  <si>
    <t>Organ - Fundusz Pomocy (zapewnienie transportu obywatelom Ukrainy)</t>
  </si>
  <si>
    <t>Administracja publiczna</t>
  </si>
  <si>
    <t>Urzędy wojewódzkie</t>
  </si>
  <si>
    <t>Organ - Fundusz Pomocy (nadanie numeru PESEL)</t>
  </si>
  <si>
    <t xml:space="preserve">Bezpieczeństwo publiczne i ochrona </t>
  </si>
  <si>
    <t>przeciwpożarowa</t>
  </si>
  <si>
    <t>Organ - Fundusz Pomocy (zapewnienie zakwaterowania i wyżywienia obywatelom Ukrainy)</t>
  </si>
  <si>
    <t>0970</t>
  </si>
  <si>
    <t>wpływy z różnych dochodów</t>
  </si>
  <si>
    <t>Organ - Fundusz Pomocy (świadczenie pieniężne - 40 zł za osobę dziennie)</t>
  </si>
  <si>
    <t>Zapewnienie uczniom prawa do bezpłatnego dostępu</t>
  </si>
  <si>
    <t>do podręczników, materiałów edukacyjnych lub materiałów</t>
  </si>
  <si>
    <t>ćwiczeniowych</t>
  </si>
  <si>
    <t>2010</t>
  </si>
  <si>
    <t xml:space="preserve">dotacje celowe otrzymane z budżetu państwa na realizację zadań bieżących z zakresu administracji rządowej oraz innych zadań zleconych gminie (związkom gmin, związkom powiatowo-gminnym) ustawami </t>
  </si>
  <si>
    <t>Ośrodki wsparcia</t>
  </si>
  <si>
    <t>Pozostałe zadania w zakresie polityki społecznej</t>
  </si>
  <si>
    <t>Organ - Fundusz Pomocy (świadczenie pieniężne w wysokości 300 zł)</t>
  </si>
  <si>
    <t>Świadczenia rodzinne, świadczenie z funduszu</t>
  </si>
  <si>
    <t>alimentacyjnego oraz składki na ubezpieczenia</t>
  </si>
  <si>
    <t>emerytalne i rentowe z ubezpieczenia społecznego</t>
  </si>
  <si>
    <t>Karta Dużej Rodziny</t>
  </si>
  <si>
    <t xml:space="preserve">Składki na ubezpieczenie zdrowotne opłacane za osoby </t>
  </si>
  <si>
    <t>pobierające niektóre świadczenia rodzinne oraz za osoby</t>
  </si>
  <si>
    <t>pobierające zasiki dla opiekunów</t>
  </si>
  <si>
    <t>Dochody na zadania rządowe:</t>
  </si>
  <si>
    <t>Kwalifikacja wojskowa</t>
  </si>
  <si>
    <t>dotacje celowe otrzymane z budżetu państwa na zadania bieżące z zakresu administracji rządowej oraz inne zadania zlecone ustawami realizowane przez powiat</t>
  </si>
  <si>
    <t>Komendy powiatowe Państwowej Straży Pożarnej</t>
  </si>
  <si>
    <t>WYDATKI OGÓŁEM:</t>
  </si>
  <si>
    <t>Wydatki na zadania własne:</t>
  </si>
  <si>
    <t>Drogi publiczne w miastach na prawach powiatu</t>
  </si>
  <si>
    <t>Miejski Zarząd Infrastruktury Drogowej i Transportu</t>
  </si>
  <si>
    <t>4210</t>
  </si>
  <si>
    <t>zakup materiałów i wyposażenia</t>
  </si>
  <si>
    <t xml:space="preserve">zakup usług obejmujących wykonanie ekspertyz, analiz i opinii </t>
  </si>
  <si>
    <t>zakup usług zdrowotnych</t>
  </si>
  <si>
    <t>opłaty z tytułu zakupu usług telekomunikacyjnych</t>
  </si>
  <si>
    <t>Gospodarka mieszkaniowa</t>
  </si>
  <si>
    <t>Gospodarka gruntami i nieruchomościami</t>
  </si>
  <si>
    <t>Wydział Gospodarowania Mieniem Komunalnym</t>
  </si>
  <si>
    <t>podatek od nieruchomości</t>
  </si>
  <si>
    <t>koszty postępowania sądowego i prokuratorskiego</t>
  </si>
  <si>
    <t>Gospodarowanie mieszkaniowym zasobem gminy</t>
  </si>
  <si>
    <t>Administracja Zasobów Komunalnych</t>
  </si>
  <si>
    <t>wpłaty na Państwowy Fundusz Rehabilitacji Osób Niepełnosprawnych</t>
  </si>
  <si>
    <t>wynagrodzenia bezosobowe</t>
  </si>
  <si>
    <t>zakup usług pozostałych</t>
  </si>
  <si>
    <t>wpłaty na PPK finansowane przez podmiot zatrudniający</t>
  </si>
  <si>
    <t>Cmentarze - zadania realizowane na podstawie porozumień</t>
  </si>
  <si>
    <t xml:space="preserve">Wydział Nadzoru Właścicielskiego, Gospodarki </t>
  </si>
  <si>
    <t>Komunalnej i Informatyzacji</t>
  </si>
  <si>
    <t>zakup usług remontowych</t>
  </si>
  <si>
    <t>75095</t>
  </si>
  <si>
    <t xml:space="preserve">Wydział Kultury, Promocji i Komunikacji Społecznej - Projekt pn. "WŁOCŁAWEK - MIASTO NOWYCH MOŻLIWOŚCI. Tutaj mieszkam, pracuję, inwestuję i tu wypoczywam" </t>
  </si>
  <si>
    <t>4216</t>
  </si>
  <si>
    <t>4217</t>
  </si>
  <si>
    <t xml:space="preserve">Wydział Finansów - Projekt pn. "WŁOCŁAWEK - MIASTO NOWYCH MOŻLIWOŚCI. Tutaj mieszkam, pracuję, inwestuję i tu wypoczywam" </t>
  </si>
  <si>
    <t xml:space="preserve">szkolenia pracowników  niebędących członkami korpusu służby cywilnej </t>
  </si>
  <si>
    <t>Bezpieczeństwo publiczne i ochrona</t>
  </si>
  <si>
    <t>75421</t>
  </si>
  <si>
    <t>Zarządzanie kryzysowe</t>
  </si>
  <si>
    <t>Wydział Zarządzania Kryzysowego i Bezpieczeństwa</t>
  </si>
  <si>
    <t>zakup usług związanych z pomocą obywatelom Ukrainy</t>
  </si>
  <si>
    <t>zakup energii</t>
  </si>
  <si>
    <t>4350</t>
  </si>
  <si>
    <t>zakup towarów (w szczególności materiałów, leków, żywności) w związku z pomocą obywatelom Ukrainy</t>
  </si>
  <si>
    <t>różne opłaty i składki</t>
  </si>
  <si>
    <t>pozostałe wydatki bieżące na zadania związane z pomocą obywatelom Ukrainy</t>
  </si>
  <si>
    <t>Miejski Zakład Zieleni i Usług Komunalnych</t>
  </si>
  <si>
    <t>Jednostki oświatowe zbiorczo</t>
  </si>
  <si>
    <t>wydatki osobowe niezaliczone do wynagrodzeń</t>
  </si>
  <si>
    <t>wynagrodzenia osobowe pracowników</t>
  </si>
  <si>
    <t>dodatkowe wynagrodzenie roczne</t>
  </si>
  <si>
    <t>zakup środków żywności</t>
  </si>
  <si>
    <t>zakup środków dydaktycznych i książek</t>
  </si>
  <si>
    <t>Jednostki oświatowe zbiorczo - Fundusz Pomocy (realizacja dodatkowych zadań oświatowych)</t>
  </si>
  <si>
    <t>wynagrodzenia i uposażenia wypłacane w związku z pomocą obywatelom Ukrainy</t>
  </si>
  <si>
    <t>wynagrodzenia nauczycieli wypłacane w związku z pomocą obywatelom Ukrainy</t>
  </si>
  <si>
    <t>składki i inne pochodne od wynagrodzeń pracowników wypłacanych w związku z pomocą obywatelom Ukrainy</t>
  </si>
  <si>
    <t>Szkoły podstawowe specjalne</t>
  </si>
  <si>
    <t>Przedszkola</t>
  </si>
  <si>
    <t>wynagrodzenie osobowe nauczycieli</t>
  </si>
  <si>
    <t>dodatkowe wynagrodzenie roczne nauczycieli</t>
  </si>
  <si>
    <t>Świetlice szkolne</t>
  </si>
  <si>
    <t>80113</t>
  </si>
  <si>
    <t>Dowożenie uczniów do szkół</t>
  </si>
  <si>
    <t>Technika</t>
  </si>
  <si>
    <t>Szkoły policealne</t>
  </si>
  <si>
    <t>Wydział Edukacji</t>
  </si>
  <si>
    <t>dotacja podmiotowa z budżetu dla niepublicznej jednostki systemu oświaty</t>
  </si>
  <si>
    <t>Szkoły artystyczne</t>
  </si>
  <si>
    <t>Szkoły zawodowe specjalne</t>
  </si>
  <si>
    <t>Ośrodki szkolenia, dokształcania i doskonalenia kadr</t>
  </si>
  <si>
    <t>Inne formy kształcenia osobno niewymienione</t>
  </si>
  <si>
    <t xml:space="preserve">składki na ubezpieczenia społeczne </t>
  </si>
  <si>
    <t xml:space="preserve">składki na Fundusz Pracy oraz Fundusz Solidarnościowy </t>
  </si>
  <si>
    <t>Stołówki szkolne i przedszkolne</t>
  </si>
  <si>
    <t xml:space="preserve">Realizacja zadań wymagających stosowania specjalnej </t>
  </si>
  <si>
    <t>organizacji nauki i metod pracy dla dzieci w przedszkolach,</t>
  </si>
  <si>
    <t xml:space="preserve">oddziałach przedszkolnych w szkołach podstawowych </t>
  </si>
  <si>
    <t>i innych formach wychowania przedszkolnego</t>
  </si>
  <si>
    <t>organizacji nauki i metod pracy dla dzieci i młodzieży</t>
  </si>
  <si>
    <t>w szkołach podstawowych</t>
  </si>
  <si>
    <t>Kwalifikacyjne kursy zawodowe</t>
  </si>
  <si>
    <t>w gimnazjach, klasach dotychczasowego gimnazjum</t>
  </si>
  <si>
    <t>prowadzonych w szkołach innego typu, liceach</t>
  </si>
  <si>
    <t xml:space="preserve">ogólnokształcących, technikach, szkołach policealnych, </t>
  </si>
  <si>
    <t>branżowych szkołach I i II stopnia i klasach dotychczasowej</t>
  </si>
  <si>
    <t>zasadniczej szkoły zawodowej prowadzonych w branżowych</t>
  </si>
  <si>
    <t>szkołach I stopnia oraz szkołach artystycznych</t>
  </si>
  <si>
    <t>dotacja podmiotowa z budżetu dla publicznej jednostki systemu oświaty prowadzonej przez osobę prawną inną niż jednostka samorządu terytorialnego lub przez osobę fizyczną</t>
  </si>
  <si>
    <t>Jednostki oświatowe zbiorczo (projekty z grantów Lokalnej</t>
  </si>
  <si>
    <t>Grupy Działania Miasta Włocławek)</t>
  </si>
  <si>
    <t xml:space="preserve">wynagrodzenia osobowe pracowników </t>
  </si>
  <si>
    <t>składki na ubezpieczenia społeczne</t>
  </si>
  <si>
    <t>składki na Fundusz Pracy oraz Fundusz Solidarnościowy</t>
  </si>
  <si>
    <t xml:space="preserve">zakup materiałów i wyposażenia </t>
  </si>
  <si>
    <t xml:space="preserve">składki na ubezpieczenie społeczne </t>
  </si>
  <si>
    <t>składki na Fundusz Pracy oraz  Fundusz Solidarnościowy</t>
  </si>
  <si>
    <t>Szkoła Podstawowa Nr 23 - program: Erasmus+  Akcja KA2 pn. "Cegiełki pokoju - Bricks of Peace"</t>
  </si>
  <si>
    <t xml:space="preserve">podróże służbowe zagraniczne </t>
  </si>
  <si>
    <t>851</t>
  </si>
  <si>
    <t>Ochrona zdrowia</t>
  </si>
  <si>
    <t>Przeciwdziałanie alkoholizmowi</t>
  </si>
  <si>
    <t>Miejski Ośrodek Pomocy Rodzinie</t>
  </si>
  <si>
    <t>Wydział Polityki Społecznej i Zdrowia Publicznego</t>
  </si>
  <si>
    <t xml:space="preserve">Placówka Opiekuńczo - Wychowawcza Nr 1 "Maluch" </t>
  </si>
  <si>
    <t>852</t>
  </si>
  <si>
    <t>Domy pomocy społecznej</t>
  </si>
  <si>
    <t xml:space="preserve">Dom Pomocy Społecznej ul. Nowomiejska 19 </t>
  </si>
  <si>
    <t xml:space="preserve">różne opłaty i składki </t>
  </si>
  <si>
    <t>Ośrodki pomocy społecznej</t>
  </si>
  <si>
    <t>pozostałe odsetki</t>
  </si>
  <si>
    <t>Jednostki specjalistycznego poradnictwa, mieszkania</t>
  </si>
  <si>
    <t>chronione i ośrodki interwencji kryzysowej</t>
  </si>
  <si>
    <t>MOPR - Sekcja Interwencji Kryzysowej i Poradnictwa</t>
  </si>
  <si>
    <t>Specjalistycznego</t>
  </si>
  <si>
    <t>świadczenia społeczne</t>
  </si>
  <si>
    <t>Miejski Ośrodek Pomocy Rodzinie - Fundusz Pomocy (zapewnienie posiłku dzieciom i młodzieży)</t>
  </si>
  <si>
    <t>świadczenia społeczne wypłacane obywatelom Ukrainy przebywającym na terytorium RP</t>
  </si>
  <si>
    <t>Miejska Jadłodajnia "U Świętego Antoniego"</t>
  </si>
  <si>
    <t>podatek od towarów i usług (VAT)</t>
  </si>
  <si>
    <t>Edukacyjna opieka wychowawcza</t>
  </si>
  <si>
    <t>Specjalne ośrodki wychowawcze</t>
  </si>
  <si>
    <t xml:space="preserve">Wydział Edukacji </t>
  </si>
  <si>
    <t>Wczesne wspomaganie rozwoju dziecka</t>
  </si>
  <si>
    <t>Poradnie psychologiczno - pedagogiczne, w tym</t>
  </si>
  <si>
    <t>poradnie specjalistyczne</t>
  </si>
  <si>
    <t>Internaty i bursy szkolne</t>
  </si>
  <si>
    <t>Szkolne schroniska młodzieżowe</t>
  </si>
  <si>
    <t>Młodzieżowe ośrodki wychowawcze</t>
  </si>
  <si>
    <t>Miejski Ośrodek Pomocy Rodzinie - Fundusz Pomocy (świadczenia rodzinne)</t>
  </si>
  <si>
    <t>Wspieranie rodziny</t>
  </si>
  <si>
    <t>Miejski Ośrodek Pomocy Rodzinie - placówki wsparcia</t>
  </si>
  <si>
    <t>dziennego</t>
  </si>
  <si>
    <t>Miejski Ośrodek Pomocy Rodzinie - asystent rodziny</t>
  </si>
  <si>
    <t>Rodziny zastępcze</t>
  </si>
  <si>
    <t>Miejski Ośrodek Pomocy Rodzinie - rodziny zastępcze</t>
  </si>
  <si>
    <t>Miejski Ośrodek Pomocy Rodzinie - Zespół ds. pieczy</t>
  </si>
  <si>
    <t>zastępczej</t>
  </si>
  <si>
    <t>Działalność placówek opiekuńczo - wychowawczych</t>
  </si>
  <si>
    <t>4330</t>
  </si>
  <si>
    <t xml:space="preserve">zakup usług przez jednostki samorządu terytorialnego od innych jednostek samorządu terytorialnego </t>
  </si>
  <si>
    <t>Miejski Ośrodek Pomocy Rodzinie - projekt pn. "JESTEM"</t>
  </si>
  <si>
    <t>Gospodarka komunalna i ochrona środowiska</t>
  </si>
  <si>
    <t>Oczyszczanie miast i wsi</t>
  </si>
  <si>
    <t>Utrzymanie zieleni w miastach i gminach</t>
  </si>
  <si>
    <t>Schroniska dla zwierząt</t>
  </si>
  <si>
    <t>Schronisko dla Zwierząt</t>
  </si>
  <si>
    <t xml:space="preserve">Kultura i ochrona dziedzictwa narodowego </t>
  </si>
  <si>
    <t>Wydział Kultury, Promocji i Komunikacji Społecznej</t>
  </si>
  <si>
    <t>2800</t>
  </si>
  <si>
    <t>dotacja celowa z budżetu dla pozostałych jednostek zaliczanych do sektora finansów publicznych</t>
  </si>
  <si>
    <t>dotacja celowa z budżetu na finansowanie lub dofinansowanie zadań zleconych do realizacji fundacjom</t>
  </si>
  <si>
    <t>2820</t>
  </si>
  <si>
    <t>dotacja celowa z budżetu na finansowanie lub dofinansowanie zadań zleconych do realizacji stowarzyszeniom</t>
  </si>
  <si>
    <t>Wydatki na zadania zlecone:</t>
  </si>
  <si>
    <t>Wydział Organizacyjno - Prawny i Kadr - Fundusz Pomocy (nadanie numeru PESEL)</t>
  </si>
  <si>
    <t>Miejski Ośrodek Pomocy Rodzinie - Fundusz Pomocy (świadczenie pieniężne - 40 zł za osobę dziennie)</t>
  </si>
  <si>
    <t>świadczenia związane z udzielaniem pomocy obywatelom Ukrainy</t>
  </si>
  <si>
    <t>Wydział Zarządzania Kryzysowego i Bezpieczeństwa - Fundusz Pomocy (zapewnienie zakwaterowania i wyżywienia obywatelom Ukrainy)</t>
  </si>
  <si>
    <t>Administracja Zasobów Komunalnych - Fundusz Pomocy (zapewnienie zakwaterowania i wyżywienia obywatelom Ukrainy)</t>
  </si>
  <si>
    <t>Miejski Zakład Zieleni i Usług Komunalnych - Fundusz Pomocy (zapewnienie zakwaterowania i wyżywienia obywatelom Ukrainy)</t>
  </si>
  <si>
    <t>dotacja celowa z budżetu na finansowanie lub dofinansowanie</t>
  </si>
  <si>
    <t>zadań zleconych do realizacji pozostałym jednostkom</t>
  </si>
  <si>
    <t>niezaliczanym do sektora finansów publicznych</t>
  </si>
  <si>
    <t>Środowiskowy Dom Samopomocy</t>
  </si>
  <si>
    <t xml:space="preserve">zakup usług pozostałych </t>
  </si>
  <si>
    <t>Środowiskowy Dom Samopomocy - Klub Samopomocy</t>
  </si>
  <si>
    <t>"Rozumiem i wspieram"</t>
  </si>
  <si>
    <t xml:space="preserve">Miejski Ośrodek Pomocy Rodzinie </t>
  </si>
  <si>
    <t>Miejski Ośrodek Pomocy Rodzinie - Fundusz Pomocy (świadczenie pieniężne w wysokości 300 zł)</t>
  </si>
  <si>
    <t>odpisy na zakładowy fundusz świadczeń socjalnych</t>
  </si>
  <si>
    <t xml:space="preserve">składki na ubezpieczenie zdrowotne </t>
  </si>
  <si>
    <t>Wydatki na zadania rządowe:</t>
  </si>
  <si>
    <t>Wydział Spraw Obywatelskich</t>
  </si>
  <si>
    <t xml:space="preserve">wynagrodzenia bezosobowe </t>
  </si>
  <si>
    <t>4230</t>
  </si>
  <si>
    <t>zakup leków, wyrobów medycznych i produktów biobójczych</t>
  </si>
  <si>
    <r>
      <t xml:space="preserve">Komendy powiatowe Państwowej Straży Pożarnej </t>
    </r>
    <r>
      <rPr>
        <i/>
        <sz val="9"/>
        <rFont val="Arial CE"/>
        <charset val="238"/>
      </rPr>
      <t/>
    </r>
  </si>
  <si>
    <t>Komenda Miejska Państwowej Straży Pożarnej</t>
  </si>
  <si>
    <t>wydatki osobowe niezaliczone do uposażeń wypłacane żołnierzom i funkcjonariuszom</t>
  </si>
  <si>
    <t>uposażenia żołnierzy zawodowych oraz funkcjonariuszy</t>
  </si>
  <si>
    <t>inne należności żołnierzy zawodowych oraz funkcjonariuszy zaliczane do wynagrodzeń</t>
  </si>
  <si>
    <t>równoważniki pieniężne i ekwiwalenty dla żołnierzy  i funkcjonariuszy oraz pozostałe należności</t>
  </si>
  <si>
    <t>do Zarządzenia NR 313/2022</t>
  </si>
  <si>
    <t>z dnia 31 sierpnia 2022 r.</t>
  </si>
  <si>
    <t>Załącznik Nr 2</t>
  </si>
  <si>
    <t>Zmiana wydatków na programy i projekty realizowane ze środków pochodzących z funduszy strukturalnych i Funduszu Spójności</t>
  </si>
  <si>
    <t xml:space="preserve">
</t>
  </si>
  <si>
    <t xml:space="preserve">Wydatki
</t>
  </si>
  <si>
    <t>w tym:</t>
  </si>
  <si>
    <t>Planowane wydatki</t>
  </si>
  <si>
    <t>w okresie</t>
  </si>
  <si>
    <t>2022 rok</t>
  </si>
  <si>
    <t>Klasyfikacja</t>
  </si>
  <si>
    <t>realizacji</t>
  </si>
  <si>
    <t>Lp.</t>
  </si>
  <si>
    <t>Program/Projekt</t>
  </si>
  <si>
    <t xml:space="preserve"> (dział, </t>
  </si>
  <si>
    <t>Projektu</t>
  </si>
  <si>
    <t>rozdział)</t>
  </si>
  <si>
    <t>(całkowita wartość Projektu)</t>
  </si>
  <si>
    <t>Środki z budżetu krajowego</t>
  </si>
  <si>
    <t>Środki z budżetu UE</t>
  </si>
  <si>
    <t>Wydatki razem (8+9)</t>
  </si>
  <si>
    <t>Środki z budżetu krajowego*</t>
  </si>
  <si>
    <t>(5 + 6)</t>
  </si>
  <si>
    <t>Wydatki ogółem:</t>
  </si>
  <si>
    <t>wydatki bieżące</t>
  </si>
  <si>
    <t>wydatki majątkowe</t>
  </si>
  <si>
    <t>1</t>
  </si>
  <si>
    <t>REGIONALNY PROGRAM OPERACYJNY WOJEWÓDZTWA KUJAWSKO - POMORSKIEGO</t>
  </si>
  <si>
    <t>1.29</t>
  </si>
  <si>
    <t>Szlifujemy języki, wiedzę pogłębiamy, z geografią i biologią również radę damy</t>
  </si>
  <si>
    <t>w tym: /Szkoła Podstawowa Nr 2/</t>
  </si>
  <si>
    <t>dz. 801</t>
  </si>
  <si>
    <t>rozdz. 80195</t>
  </si>
  <si>
    <t>1.30</t>
  </si>
  <si>
    <t>Mała akademia emocji</t>
  </si>
  <si>
    <t>1.31</t>
  </si>
  <si>
    <t>Zintegrowani - sukces z SP-23</t>
  </si>
  <si>
    <t>w tym: /Szkoła Podstawowa Nr 23/</t>
  </si>
  <si>
    <t>1.32</t>
  </si>
  <si>
    <t>Zaangażowani - sukces z SP-23</t>
  </si>
  <si>
    <t>* środki własne jst, współfinansowanie z budżetu państwa oraz inne</t>
  </si>
  <si>
    <t>Załącznik Nr 3</t>
  </si>
  <si>
    <t>Dochody i wydatki związane z realizacją zadań z zakresu administracji rządowej wykonywanych na podstawie porozumień z organami administracji rządowej na 2022 rok</t>
  </si>
  <si>
    <t>z tego:</t>
  </si>
  <si>
    <t>Dział</t>
  </si>
  <si>
    <t>Rozdział</t>
  </si>
  <si>
    <t>Dotacje
ogółem</t>
  </si>
  <si>
    <t>Wydatki
ogółem
(6+9)</t>
  </si>
  <si>
    <t>Wydatki
bieżące</t>
  </si>
  <si>
    <t>wynagrodzenia i składki od nich naliczane</t>
  </si>
  <si>
    <t>świadczenia na rzecz osób fizycznych</t>
  </si>
  <si>
    <t>Wydatki
majątkowe</t>
  </si>
  <si>
    <t>Ogółem:</t>
  </si>
  <si>
    <t>Załącznik Nr 4</t>
  </si>
  <si>
    <t xml:space="preserve">Dotacje udzielane z budżetu jednostki samorządu terytorialnego </t>
  </si>
  <si>
    <t>dla jednostek sektora finansów publicznych na 2022 rok</t>
  </si>
  <si>
    <t>Nazwa zadania</t>
  </si>
  <si>
    <t>Kwota dotacji</t>
  </si>
  <si>
    <t>dotacje celowe</t>
  </si>
  <si>
    <t>Urzędy gmin (miast i miast na prawach powiatu) - realizacja projektu "Infostrada Kujaw i Pomorza 2.0"</t>
  </si>
  <si>
    <t>Działalność informacyjna i kulturalna prowadzona za granicą  - realizacja projektu "Invest in Bit CITY 2 - Promocja potencjału gospodarczego oraz promocja atrakcyjności inwestycyjnej miast prezydenckich województwa Kujawsko - Pomorskiego"</t>
  </si>
  <si>
    <t>Pozostała działalność (kształcenie praktyczne uczniów)</t>
  </si>
  <si>
    <t>Programy polityki zdrowotnej</t>
  </si>
  <si>
    <t>Przeciwdziałanie alkoholizmowi (dofinansowanie "Niebieskiej linii")</t>
  </si>
  <si>
    <t xml:space="preserve">Powiatowe urzędy pracy </t>
  </si>
  <si>
    <t>Pozostała działalność - realizacja projektu „Dotacja na start – wsparcie przedsiębiorczości i samozatrudnienia w województwie kujawsko – pomorskim”</t>
  </si>
  <si>
    <t>Galerie i biura wystaw artystycznych (dotacja na inwestycje)</t>
  </si>
  <si>
    <t xml:space="preserve"> - Galeria Sztuki Współczesnej</t>
  </si>
  <si>
    <t>Centra kultury i sztuki</t>
  </si>
  <si>
    <t xml:space="preserve"> - Centrum Kultury Browar B - realizacja projektu pn. "WŁOCŁAWEK - MIASTO NOWYCH MOŻLIWOŚCI. Tutaj mieszkam, pracuję, inwestuję i tu wypoczywam" </t>
  </si>
  <si>
    <t>Pozostałe instytucje kultury (dotacja na inwestycje)</t>
  </si>
  <si>
    <t xml:space="preserve"> - Teatr Impresaryjny</t>
  </si>
  <si>
    <t>Biblioteki (dotacja na inwestycje)</t>
  </si>
  <si>
    <t xml:space="preserve"> - Miejska Biblioteka Publiczna</t>
  </si>
  <si>
    <t>Biblioteki</t>
  </si>
  <si>
    <t>Razem</t>
  </si>
  <si>
    <t>dotacje podmiotowe</t>
  </si>
  <si>
    <t xml:space="preserve"> - Zakład Aktywności Zawodowej</t>
  </si>
  <si>
    <t>Galerie i biura wystaw artystycznych</t>
  </si>
  <si>
    <t xml:space="preserve"> - Centrum Kultury Browar B</t>
  </si>
  <si>
    <t>Pozostałe instytucje kultury</t>
  </si>
  <si>
    <t>Załącznik Nr 5</t>
  </si>
  <si>
    <t>dla jednostek spoza sektora finansów publicznych na 2022 rok</t>
  </si>
  <si>
    <t>Dotacje do prac budowlanych w ramach rewitalizacji</t>
  </si>
  <si>
    <t>Pozostała działalność (prowadzenie Kawiarni Obywatelskiej "Śródmieście Cafe")</t>
  </si>
  <si>
    <t>Nieodpłatna pomoc prawna - zadanie rządowe</t>
  </si>
  <si>
    <t>Publiczna Szkoła Podstawowa im. Ks. J. Długosza</t>
  </si>
  <si>
    <t>Szkoła Podstawowa z oddziałami dwujęzycznymi Monttessori-     Schule</t>
  </si>
  <si>
    <t>Prywatna Szkoła Podstawowa Zespołu Edukacji "Wiedza"</t>
  </si>
  <si>
    <t>Publiczne Liceum Ogólnokształcące im. Ks. J. Długosza</t>
  </si>
  <si>
    <t>Zapewnienie uczniom prawa do bezpłatnego dostępu do podręczników, materiałów edukacyjnych lub materiałów ćwiczeniowych - zadanie zlecone (zakup podręczników dla uczniów)</t>
  </si>
  <si>
    <t>Zespół Szkół Katolickich im. Ks. J. Długosza</t>
  </si>
  <si>
    <t xml:space="preserve">Zespół Szkół Akademickich im. Obrońców Wisły 1920 roku </t>
  </si>
  <si>
    <t>Realizacja projektu unijnego  "Zawodowcy z Włocławka"- podniesienie jakości nauczania i zwiększenie szans na zatrudnienie uczniów ZSS we Włocławku"</t>
  </si>
  <si>
    <t>Zwalczanie narkomanii</t>
  </si>
  <si>
    <t>Dofinansowanie programów dotyczących uzależnień, pozalekcyjnych zajęć sportowych (przeciwdzialanie alkoholizmowi)</t>
  </si>
  <si>
    <t>Pozostala działalność (promocja i ochrona zdrowia oraz działania na rzecz osób niepełnosprawnych)</t>
  </si>
  <si>
    <t>Usługi opiekuńcze i specjalistyczne usługi opiekuńcze - zadania własne</t>
  </si>
  <si>
    <t>Usługi opiekuńcze i specjalistyczne usługi opiekuńcze - zadania zlecone</t>
  </si>
  <si>
    <t>Zapewnienie schronienia oraz pomocy rzeczowej osobom bezdomnym (pozostała działalność)</t>
  </si>
  <si>
    <t>Realizacja projektu unijnego "Reintegracja społeczna mieszkańców Włocławka, w tym w obszarze rewitalizacji"</t>
  </si>
  <si>
    <t>Pozostała działalność (aktywizacja społeczna seniorów, poprawa warunków funkcjonowania seniorów)</t>
  </si>
  <si>
    <t xml:space="preserve">Pozostała działalność - realizacja projektu pn. "WŁOCŁAWEK - MIASTO NOWYCH MOŻLIWOŚCI. Tutaj mieszkam, pracuję, inwestuję i tu wypoczywam" </t>
  </si>
  <si>
    <t>Utylizacja wyrobów zawierających azbest (dotacja na inwestycje)</t>
  </si>
  <si>
    <t>Wymiana źródeł ciepła zasilanych paliwami stałymi - program dla osób fizycznych (dotacja na inwestycje)</t>
  </si>
  <si>
    <t>Wymiana źródeł ciepła zasilanych paliwami stałymi w budynkach wielorodzinnych (dotacja na inwestycje)</t>
  </si>
  <si>
    <t>Ochrona zabytków i opieka nad zabytkami</t>
  </si>
  <si>
    <t>Upowszechnianie kultury, sztuki, ochrony dóbr kultury i tradycji przez organizacje prowadzące działalność pożytku publicznego (pozostała działalność)</t>
  </si>
  <si>
    <t>Zadania w zakresie kultury fizycznej</t>
  </si>
  <si>
    <t xml:space="preserve">Zadania w zakresie kultury fizycznej - realizacja projektu pn. "WŁOCŁAWEK - MIASTO NOWYCH MOŻLIWOŚCI. Tutaj mieszkam, pracuję, inwestuję i tu wypoczywam" </t>
  </si>
  <si>
    <t>Nazwa placówki/nazwa podmiotu</t>
  </si>
  <si>
    <t xml:space="preserve">Szkoła Podstawowa Nr 24 w Zespole Szkół WSO "Cogito" </t>
  </si>
  <si>
    <t>Szkoła Podstawowa dla dorosłych (WSO "Cogito")</t>
  </si>
  <si>
    <t>Akademicka Szkoła Podstawowa Nr 1 im. Obrońców Wisły 1920 roku we Włocławku</t>
  </si>
  <si>
    <t>Akademicka Szkoła Podstawowa Mistrzostwa Sportowego Nr 1 im. Obrońców Wisły 1920 roku we Włocławku</t>
  </si>
  <si>
    <t>Szkoła Podstawowa Szkoła Mistrzostwa Sportowego ("Kar" Sp. z o.o.)</t>
  </si>
  <si>
    <t>Szkoła Podstawowa przy Państwowej Uczelni Zawodowej we Włocławku</t>
  </si>
  <si>
    <t>Oddziały przedszkolne w szkołach podstawowych</t>
  </si>
  <si>
    <t>Niepubliczne Przedszkole "Skakanka"</t>
  </si>
  <si>
    <t>Przedszkole Niepubliczne "Chatka Puchatka"</t>
  </si>
  <si>
    <t>Niepubliczne Przedszkole "Smerfna Chata"</t>
  </si>
  <si>
    <t>Przedszkole Akademickie przy Państwowej Uczelni Zawodowej we Włocławku</t>
  </si>
  <si>
    <t>Przedszkole Niepubliczne "Tęczowa Kraina"</t>
  </si>
  <si>
    <t>Niepubliczne Przedszkole "Na Wspólnej"</t>
  </si>
  <si>
    <t>Centrum Malucha - "Piotruś Pan"- Przedszkole Niepubliczne</t>
  </si>
  <si>
    <t>Niepubliczne Przedszkole "Domowe Przedszkole"</t>
  </si>
  <si>
    <t>Niepubliczne Przedszkole "Bajeczka"</t>
  </si>
  <si>
    <t>Przedszkole Niepubliczne "Happy Kids"</t>
  </si>
  <si>
    <t>Przedszkole Niepubliczne "Kujawiaczek"</t>
  </si>
  <si>
    <t>Niepubliczne Przedszkole "Wesoła Biedronka"</t>
  </si>
  <si>
    <t>Przedszkole Niepubliczne Megamocni we Włocławku</t>
  </si>
  <si>
    <t xml:space="preserve">Przedszkole Publiczne Nr 1 </t>
  </si>
  <si>
    <t>Katolickie Publiczne Przedszkole "Pod Aniołem Stróżem"</t>
  </si>
  <si>
    <t>Inne formy wychowania przedszkolnego - punkty przedszkolne</t>
  </si>
  <si>
    <t>Niepubliczny Punkt Przedszkolny "Kraina Bajek"</t>
  </si>
  <si>
    <t>Akademickie Technikum Wojskowe im. Obrońców Wisły 1920 roku we Włocławku</t>
  </si>
  <si>
    <t>Policealna Szkoła dla dorosłych "Cosinus Plus" we Włocławku</t>
  </si>
  <si>
    <t>Policealna Szkoła Techników Ochrony Fizycznej Osób i Mienia Elitarne Studium Służb Ochrony "Delta"</t>
  </si>
  <si>
    <t>Akademicka Szkoła Policealna przy Państwowej Uczelni Zawodowej we Włocławku</t>
  </si>
  <si>
    <t>Policealna Szkoła "Edicus"</t>
  </si>
  <si>
    <t>Zaoczna Policealna Szkoła Zawodowa "Pascal" we Włocławku</t>
  </si>
  <si>
    <t>Zaoczna Policealna Szkoła Zawodowa Kosmetyczna "Pascal" we Włocławku</t>
  </si>
  <si>
    <t>Stacjonarna Policealna Szkoła Medyczna "Pascal" we Włocławku</t>
  </si>
  <si>
    <t>Zaoczna Policealna Szkoła Medyczna "Pascal" we Włocławku</t>
  </si>
  <si>
    <t>Prywatna Szkoła Policealna (CE "Zenit")</t>
  </si>
  <si>
    <t>Policealna Szkoła Centrum Nauki I Biznesu "Żak"</t>
  </si>
  <si>
    <t>Szkoła Policealna "Spectrum" dla dorosłych</t>
  </si>
  <si>
    <t>Policealna Szkoła dla dorosłych Futuro</t>
  </si>
  <si>
    <t>Szkoła Policealna Opieki Medycznej dla Dorosłych "Żak"</t>
  </si>
  <si>
    <t>Akademicka Szkoła Policealna przy Kujawskiej Szkole Wyższej we Włocławku</t>
  </si>
  <si>
    <t xml:space="preserve">Branżowa Szkoła I Stopnia Start we Włocławku </t>
  </si>
  <si>
    <t xml:space="preserve">Branżowa Szkoła II Stopnia Start we Włocławku </t>
  </si>
  <si>
    <t>Branżowa Szkoła I Stopnia (Stowarzyszenie Szkoła dla Włocławka)</t>
  </si>
  <si>
    <t>Akademicka Szkoła Branżowa I stopnia im. Obrońców Wisły 1920 roku</t>
  </si>
  <si>
    <t xml:space="preserve">Branżowa Szkoła I Stopnia nr 9 w Zespole Szkół Włocławskiego Stowarzyszenia Oświatowego "Cogito" </t>
  </si>
  <si>
    <t>Liceum Ogólnokształcące "Edicus" dla Dorosłych</t>
  </si>
  <si>
    <t>Liceum Ogólnokształcące dla Dorosłych Futuro</t>
  </si>
  <si>
    <t xml:space="preserve">Liceum Ogólnokształcące Szkoła Mistrzostwa Sportowego </t>
  </si>
  <si>
    <t>Zaoczne Liceum Ogólnokształcące dla Dorosłych "Cosinus Plus" we Włocławku</t>
  </si>
  <si>
    <t>Prywatne Liceum Ogólnokształcące dla Dorosłych (Katarzyna Balcer)</t>
  </si>
  <si>
    <t>Liceum Ogólnokształcące dla Dorosłych "Pascal' we Włocławku</t>
  </si>
  <si>
    <t xml:space="preserve">Liceum Ogólnokształcące "Spectrum" dla Dorosłych we Włocławku </t>
  </si>
  <si>
    <t>Akademickie Liceum Ogólnokształcące nr 1 im. Obrońców Wisły 1920 roku we Włocławku</t>
  </si>
  <si>
    <t>Akademickie Liceum Ogólnokształcące Mistrzostwa Sportowego nr 1 im. Obrońców Wisły 1920 roku we Włocławku</t>
  </si>
  <si>
    <t>Liceum Ogólnokształcące dla Dorosłych "Żak"</t>
  </si>
  <si>
    <t>Realizacja zadań wymagających stosowania specjalnej organizacji nauki i metod pracy dla dzieci w przedszkolach, oddziałach przedszkolnych w szkołach podstawowych i innych formach wychowania przedszkolnego</t>
  </si>
  <si>
    <t>Terapeutyczny Punkt Przedszkolny Neuromind</t>
  </si>
  <si>
    <t>Terapeutyczny Punkt Przedszkolny "Synapsik"</t>
  </si>
  <si>
    <t>Terapeutyczny Punkt Przedszkolny "Zielony Słonik"</t>
  </si>
  <si>
    <t>Realizacja zadań wymagających stosowania specjalnej organizacji nauki i metod pracy dla dzieci i młodzieży w szkołach podstawowych</t>
  </si>
  <si>
    <t>Szkoła Podstawowa z oddziałami dwujęzycznymi Monttessori-      Schule</t>
  </si>
  <si>
    <t>Szkoła Policealna dla dorosłych "Cosinus Plus" we Włocławku</t>
  </si>
  <si>
    <t>Realizacja zadań wymagających stosowania specjalnej organizacji nauki i metod pracy dla dzieci i młodzieży w gimnazjach, klasach dotychczasowego gimnazjum prowadzonych w szkołach innego typu, liceach ogólnokształcących, technikach, szkołach policealnych, branżowych szkołach I i II  stopnia i klasach dotychczasowej zasadniczej szkoły zawodowej prowadzonych w branżowych szkołach I stopnia oraz szkołach artystycznych</t>
  </si>
  <si>
    <t>Rehabilitacja zawodowa i społeczna osób niepełnosprawnych</t>
  </si>
  <si>
    <t>Warsztaty Terapii Zajęciowej</t>
  </si>
  <si>
    <t>Specjalny Ośrodek Wychowawczy Zgromadzenia Sióstr Orionistek</t>
  </si>
  <si>
    <t>Poradnie psychologiczno - pedagogiczne, w tym poradnie specjalistyczne</t>
  </si>
  <si>
    <t>Poradnia Psychologiczno - Pedagogiczna "Vitamed"</t>
  </si>
  <si>
    <t>Niepubliczna Poradania Psychologiczno - Pedagogiczna "Centrum Diagnozy, Terapii i Wspomagania Rozwoju" (Elżbieta Złowodzka Jetter)</t>
  </si>
  <si>
    <t>Internat Zespołu Szkół Katolickich im. Ks. J. Długosza</t>
  </si>
  <si>
    <t>Załącznik Nr 6</t>
  </si>
  <si>
    <t xml:space="preserve">Plan </t>
  </si>
  <si>
    <t xml:space="preserve"> dochodów i wydatków wydzielonych rachunków dochodów oświatowych jednostek budżetowych na 2022 rok</t>
  </si>
  <si>
    <t>(zbiorczo)</t>
  </si>
  <si>
    <t xml:space="preserve">Stan środków </t>
  </si>
  <si>
    <t>pieniężnych</t>
  </si>
  <si>
    <t xml:space="preserve">pieniężnych </t>
  </si>
  <si>
    <t>Wyszczególnienie</t>
  </si>
  <si>
    <t xml:space="preserve">na początek </t>
  </si>
  <si>
    <t>Dochody</t>
  </si>
  <si>
    <t>Wydatki</t>
  </si>
  <si>
    <t xml:space="preserve">na koniec </t>
  </si>
  <si>
    <t>roku</t>
  </si>
  <si>
    <t>1.</t>
  </si>
  <si>
    <t>2.</t>
  </si>
  <si>
    <t>3.</t>
  </si>
  <si>
    <t>4.</t>
  </si>
  <si>
    <t>5.</t>
  </si>
  <si>
    <t>6.</t>
  </si>
  <si>
    <t xml:space="preserve">Szkoły artystyczne </t>
  </si>
  <si>
    <t>7.</t>
  </si>
  <si>
    <t>8.</t>
  </si>
  <si>
    <t>Placówki kształcenia ustawicznego i centra kształcenia zawodowego</t>
  </si>
  <si>
    <t>9.</t>
  </si>
  <si>
    <t>10.</t>
  </si>
  <si>
    <t xml:space="preserve">Inne formy kształcenia osobno niewymienione </t>
  </si>
  <si>
    <t>11.</t>
  </si>
  <si>
    <t>Kolonie i obozy oraz inne formy wypoczynku dzieci</t>
  </si>
  <si>
    <t xml:space="preserve">i młodzieży szkolnej, a także szkolenia młodzieży </t>
  </si>
  <si>
    <t xml:space="preserve">Ogółem </t>
  </si>
  <si>
    <t>Załącznik Nr 7</t>
  </si>
  <si>
    <t>Plan dochodów i wydatków na wydzielonym rachunku Funduszu Pomocy</t>
  </si>
  <si>
    <t>dotyczącym realizacji zadań na rzecz pomocy Ukrainie</t>
  </si>
  <si>
    <t xml:space="preserve">Dział </t>
  </si>
  <si>
    <t>Dochody na 2022 rok</t>
  </si>
  <si>
    <t>Wydatki na 2022 rok</t>
  </si>
  <si>
    <t>x</t>
  </si>
  <si>
    <t>Zapewnienie posiłku dzieciom i młodzieży</t>
  </si>
  <si>
    <t>85230</t>
  </si>
  <si>
    <t>3290</t>
  </si>
  <si>
    <t>4370</t>
  </si>
  <si>
    <t>Świadczenia rodzinne</t>
  </si>
  <si>
    <t>855</t>
  </si>
  <si>
    <t>85502</t>
  </si>
  <si>
    <t>4740</t>
  </si>
  <si>
    <t>4850</t>
  </si>
  <si>
    <t>Świadczenie pieniężne w wysokości          300 zł</t>
  </si>
  <si>
    <t>853</t>
  </si>
  <si>
    <t>85395</t>
  </si>
  <si>
    <t>758</t>
  </si>
  <si>
    <t>Realizacja dodatkowych zadań oświatowych</t>
  </si>
  <si>
    <t>801</t>
  </si>
  <si>
    <t>80101</t>
  </si>
  <si>
    <t>4750</t>
  </si>
  <si>
    <t>80102</t>
  </si>
  <si>
    <t>80104</t>
  </si>
  <si>
    <t>80105</t>
  </si>
  <si>
    <t>80115</t>
  </si>
  <si>
    <t>80117</t>
  </si>
  <si>
    <t>80120</t>
  </si>
  <si>
    <t>80132</t>
  </si>
  <si>
    <t>Nadanie numeru PESEL</t>
  </si>
  <si>
    <t>750</t>
  </si>
  <si>
    <t>75011</t>
  </si>
  <si>
    <t>Wydział Organizacyjno - Prawny i Kadr</t>
  </si>
  <si>
    <t>Świadczenie pieniężne - 40 zł za osobę dziennie</t>
  </si>
  <si>
    <t>754</t>
  </si>
  <si>
    <t>75495</t>
  </si>
  <si>
    <t>3280</t>
  </si>
  <si>
    <t>Zapewnienie zakwaterowania i wyżywienia obywatelom Ukrainy</t>
  </si>
  <si>
    <t>4860</t>
  </si>
  <si>
    <t>Zapewnienie transportu obywatelom Ukrainy</t>
  </si>
  <si>
    <t>600</t>
  </si>
  <si>
    <t>60095</t>
  </si>
  <si>
    <t>Straż Miejska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</si>
</sst>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3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name val="Arial CE"/>
      <family val="2"/>
      <charset val="238"/>
    </font>
    <font>
      <b/>
      <sz val="10"/>
      <name val="Arial CE"/>
      <charset val="238"/>
    </font>
    <font>
      <b/>
      <sz val="10"/>
      <name val="Arial CE"/>
      <family val="2"/>
      <charset val="238"/>
    </font>
    <font>
      <b/>
      <sz val="8"/>
      <name val="Arial CE"/>
      <family val="2"/>
      <charset val="238"/>
    </font>
    <font>
      <sz val="7"/>
      <name val="Arial CE"/>
      <family val="2"/>
      <charset val="238"/>
    </font>
    <font>
      <sz val="8"/>
      <color theme="1"/>
      <name val="Calibri"/>
      <family val="2"/>
      <charset val="238"/>
      <scheme val="minor"/>
    </font>
    <font>
      <sz val="8"/>
      <name val="Arial CE"/>
      <charset val="238"/>
    </font>
    <font>
      <sz val="8"/>
      <color theme="1"/>
      <name val="Arial"/>
      <family val="2"/>
      <charset val="238"/>
    </font>
    <font>
      <sz val="9"/>
      <name val="Arial CE"/>
      <charset val="238"/>
    </font>
    <font>
      <sz val="8"/>
      <name val="Arial"/>
      <family val="2"/>
      <charset val="238"/>
    </font>
    <font>
      <sz val="8"/>
      <color theme="1"/>
      <name val="Arial CE"/>
      <charset val="238"/>
    </font>
    <font>
      <b/>
      <sz val="8"/>
      <name val="Arial CE"/>
      <charset val="238"/>
    </font>
    <font>
      <i/>
      <sz val="9"/>
      <name val="Arial CE"/>
      <charset val="238"/>
    </font>
    <font>
      <sz val="11"/>
      <name val="Arial"/>
      <family val="2"/>
      <charset val="238"/>
    </font>
    <font>
      <sz val="11"/>
      <color theme="1"/>
      <name val="Calibri"/>
      <family val="2"/>
      <scheme val="minor"/>
    </font>
    <font>
      <b/>
      <sz val="10"/>
      <name val="Arial"/>
      <family val="2"/>
      <charset val="238"/>
    </font>
    <font>
      <b/>
      <sz val="8"/>
      <name val="Arial"/>
      <family val="2"/>
      <charset val="238"/>
    </font>
    <font>
      <b/>
      <sz val="7.5"/>
      <name val="Arial"/>
      <family val="2"/>
      <charset val="238"/>
    </font>
    <font>
      <sz val="6"/>
      <name val="Arial"/>
      <family val="2"/>
      <charset val="238"/>
    </font>
    <font>
      <sz val="10"/>
      <name val="Arial"/>
      <family val="2"/>
      <charset val="238"/>
    </font>
    <font>
      <sz val="9"/>
      <name val="Arial CE"/>
      <family val="2"/>
      <charset val="238"/>
    </font>
    <font>
      <b/>
      <sz val="9"/>
      <name val="Arial CE"/>
      <family val="2"/>
      <charset val="238"/>
    </font>
    <font>
      <sz val="6"/>
      <name val="Arial CE"/>
      <family val="2"/>
      <charset val="238"/>
    </font>
    <font>
      <b/>
      <sz val="14"/>
      <name val="Arial CE"/>
      <family val="2"/>
      <charset val="238"/>
    </font>
    <font>
      <sz val="10"/>
      <name val="Arial CE"/>
      <family val="2"/>
      <charset val="238"/>
    </font>
    <font>
      <sz val="9"/>
      <name val="Arial"/>
      <family val="2"/>
      <charset val="238"/>
    </font>
    <font>
      <sz val="10"/>
      <name val="Arial CE"/>
      <charset val="238"/>
    </font>
    <font>
      <b/>
      <sz val="8"/>
      <color rgb="FFFF0000"/>
      <name val="Arial"/>
      <family val="2"/>
      <charset val="238"/>
    </font>
    <font>
      <sz val="8"/>
      <color rgb="FFFF0000"/>
      <name val="Arial"/>
      <family val="2"/>
      <charset val="238"/>
    </font>
    <font>
      <b/>
      <sz val="12"/>
      <name val="Arial CE"/>
      <family val="2"/>
      <charset val="238"/>
    </font>
    <font>
      <sz val="7"/>
      <name val="Arial"/>
      <family val="2"/>
      <charset val="238"/>
    </font>
    <font>
      <b/>
      <sz val="9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u/>
      <sz val="9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DashDotDot">
        <color indexed="64"/>
      </bottom>
      <diagonal/>
    </border>
    <border>
      <left style="thin">
        <color indexed="64"/>
      </left>
      <right style="thin">
        <color indexed="64"/>
      </right>
      <top/>
      <bottom style="mediumDashDot">
        <color indexed="64"/>
      </bottom>
      <diagonal/>
    </border>
    <border>
      <left/>
      <right/>
      <top/>
      <bottom style="mediumDashDot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DashDot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15" fillId="0" borderId="0"/>
    <xf numFmtId="0" fontId="16" fillId="0" borderId="0"/>
    <xf numFmtId="0" fontId="21" fillId="0" borderId="0"/>
    <xf numFmtId="0" fontId="21" fillId="0" borderId="0"/>
    <xf numFmtId="0" fontId="21" fillId="0" borderId="0"/>
  </cellStyleXfs>
  <cellXfs count="469">
    <xf numFmtId="0" fontId="0" fillId="0" borderId="0" xfId="0"/>
    <xf numFmtId="0" fontId="2" fillId="0" borderId="0" xfId="0" applyFont="1"/>
    <xf numFmtId="49" fontId="2" fillId="0" borderId="0" xfId="0" applyNumberFormat="1" applyFo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Continuous"/>
    </xf>
    <xf numFmtId="49" fontId="3" fillId="0" borderId="0" xfId="0" applyNumberFormat="1" applyFont="1" applyAlignment="1">
      <alignment horizontal="centerContinuous"/>
    </xf>
    <xf numFmtId="0" fontId="4" fillId="0" borderId="0" xfId="0" applyFont="1" applyAlignment="1">
      <alignment horizontal="centerContinuous"/>
    </xf>
    <xf numFmtId="0" fontId="5" fillId="0" borderId="0" xfId="0" applyFont="1"/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2" fillId="0" borderId="1" xfId="0" applyFont="1" applyBorder="1"/>
    <xf numFmtId="49" fontId="2" fillId="0" borderId="1" xfId="0" applyNumberFormat="1" applyFont="1" applyBorder="1"/>
    <xf numFmtId="0" fontId="5" fillId="0" borderId="2" xfId="0" applyFont="1" applyBorder="1"/>
    <xf numFmtId="0" fontId="5" fillId="0" borderId="1" xfId="0" applyFont="1" applyBorder="1" applyAlignment="1">
      <alignment horizontal="center"/>
    </xf>
    <xf numFmtId="3" fontId="2" fillId="0" borderId="1" xfId="0" applyNumberFormat="1" applyFont="1" applyBorder="1"/>
    <xf numFmtId="0" fontId="2" fillId="0" borderId="1" xfId="0" applyFont="1" applyBorder="1" applyAlignment="1">
      <alignment horizontal="center"/>
    </xf>
    <xf numFmtId="4" fontId="7" fillId="0" borderId="0" xfId="0" applyNumberFormat="1" applyFont="1"/>
    <xf numFmtId="0" fontId="7" fillId="0" borderId="0" xfId="0" applyFont="1"/>
    <xf numFmtId="0" fontId="5" fillId="0" borderId="3" xfId="0" applyFont="1" applyBorder="1" applyAlignment="1">
      <alignment horizontal="center"/>
    </xf>
    <xf numFmtId="49" fontId="5" fillId="0" borderId="3" xfId="0" applyNumberFormat="1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3" fontId="5" fillId="0" borderId="3" xfId="0" applyNumberFormat="1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49" fontId="5" fillId="0" borderId="5" xfId="0" applyNumberFormat="1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3" fontId="5" fillId="0" borderId="5" xfId="0" applyNumberFormat="1" applyFont="1" applyBorder="1" applyAlignment="1">
      <alignment horizontal="center"/>
    </xf>
    <xf numFmtId="3" fontId="2" fillId="0" borderId="3" xfId="0" applyNumberFormat="1" applyFont="1" applyBorder="1"/>
    <xf numFmtId="49" fontId="2" fillId="0" borderId="3" xfId="0" applyNumberFormat="1" applyFont="1" applyBorder="1" applyAlignment="1">
      <alignment horizontal="right"/>
    </xf>
    <xf numFmtId="0" fontId="5" fillId="0" borderId="7" xfId="0" applyFont="1" applyBorder="1"/>
    <xf numFmtId="4" fontId="5" fillId="0" borderId="8" xfId="0" applyNumberFormat="1" applyFont="1" applyBorder="1"/>
    <xf numFmtId="0" fontId="5" fillId="0" borderId="9" xfId="0" applyFont="1" applyBorder="1"/>
    <xf numFmtId="4" fontId="5" fillId="0" borderId="10" xfId="0" applyNumberFormat="1" applyFont="1" applyBorder="1"/>
    <xf numFmtId="3" fontId="5" fillId="0" borderId="3" xfId="0" applyNumberFormat="1" applyFont="1" applyBorder="1" applyAlignment="1">
      <alignment horizontal="right"/>
    </xf>
    <xf numFmtId="3" fontId="5" fillId="0" borderId="3" xfId="0" applyNumberFormat="1" applyFont="1" applyBorder="1"/>
    <xf numFmtId="49" fontId="5" fillId="0" borderId="3" xfId="0" applyNumberFormat="1" applyFont="1" applyBorder="1" applyAlignment="1">
      <alignment horizontal="right"/>
    </xf>
    <xf numFmtId="3" fontId="5" fillId="0" borderId="4" xfId="0" applyNumberFormat="1" applyFont="1" applyBorder="1"/>
    <xf numFmtId="4" fontId="5" fillId="0" borderId="10" xfId="0" applyNumberFormat="1" applyFont="1" applyBorder="1" applyAlignment="1">
      <alignment horizontal="right"/>
    </xf>
    <xf numFmtId="0" fontId="2" fillId="0" borderId="3" xfId="0" applyFont="1" applyBorder="1" applyAlignment="1">
      <alignment horizontal="center"/>
    </xf>
    <xf numFmtId="0" fontId="2" fillId="0" borderId="6" xfId="0" applyFont="1" applyBorder="1"/>
    <xf numFmtId="4" fontId="2" fillId="0" borderId="5" xfId="0" applyNumberFormat="1" applyFont="1" applyBorder="1"/>
    <xf numFmtId="4" fontId="2" fillId="0" borderId="5" xfId="0" applyNumberFormat="1" applyFont="1" applyBorder="1" applyAlignment="1">
      <alignment horizontal="right"/>
    </xf>
    <xf numFmtId="49" fontId="2" fillId="0" borderId="3" xfId="0" applyNumberFormat="1" applyFont="1" applyBorder="1" applyAlignment="1">
      <alignment horizontal="right" vertical="top"/>
    </xf>
    <xf numFmtId="0" fontId="2" fillId="0" borderId="3" xfId="0" applyFont="1" applyBorder="1" applyAlignment="1">
      <alignment wrapText="1"/>
    </xf>
    <xf numFmtId="4" fontId="2" fillId="0" borderId="3" xfId="0" applyNumberFormat="1" applyFont="1" applyBorder="1"/>
    <xf numFmtId="4" fontId="2" fillId="0" borderId="3" xfId="0" applyNumberFormat="1" applyFont="1" applyBorder="1" applyAlignment="1">
      <alignment horizontal="right"/>
    </xf>
    <xf numFmtId="4" fontId="2" fillId="0" borderId="3" xfId="0" applyNumberFormat="1" applyFont="1" applyBorder="1" applyAlignment="1">
      <alignment horizontal="center"/>
    </xf>
    <xf numFmtId="0" fontId="5" fillId="0" borderId="3" xfId="0" applyFont="1" applyBorder="1"/>
    <xf numFmtId="0" fontId="5" fillId="0" borderId="4" xfId="0" applyFont="1" applyBorder="1"/>
    <xf numFmtId="49" fontId="2" fillId="0" borderId="3" xfId="0" applyNumberFormat="1" applyFont="1" applyBorder="1" applyAlignment="1">
      <alignment horizontal="center"/>
    </xf>
    <xf numFmtId="0" fontId="2" fillId="0" borderId="4" xfId="0" applyFont="1" applyBorder="1" applyAlignment="1">
      <alignment vertical="top" wrapText="1"/>
    </xf>
    <xf numFmtId="4" fontId="8" fillId="0" borderId="3" xfId="0" applyNumberFormat="1" applyFont="1" applyBorder="1" applyAlignment="1">
      <alignment horizontal="right"/>
    </xf>
    <xf numFmtId="4" fontId="8" fillId="0" borderId="3" xfId="0" applyNumberFormat="1" applyFont="1" applyBorder="1"/>
    <xf numFmtId="0" fontId="2" fillId="0" borderId="3" xfId="0" applyFont="1" applyBorder="1"/>
    <xf numFmtId="0" fontId="10" fillId="0" borderId="3" xfId="0" applyFont="1" applyBorder="1" applyAlignment="1">
      <alignment horizontal="right"/>
    </xf>
    <xf numFmtId="49" fontId="10" fillId="0" borderId="3" xfId="0" applyNumberFormat="1" applyFont="1" applyBorder="1" applyAlignment="1">
      <alignment horizontal="right"/>
    </xf>
    <xf numFmtId="0" fontId="8" fillId="0" borderId="3" xfId="0" applyFont="1" applyBorder="1" applyAlignment="1">
      <alignment horizontal="right"/>
    </xf>
    <xf numFmtId="49" fontId="8" fillId="0" borderId="3" xfId="0" applyNumberFormat="1" applyFont="1" applyBorder="1" applyAlignment="1">
      <alignment horizontal="center"/>
    </xf>
    <xf numFmtId="0" fontId="8" fillId="0" borderId="5" xfId="0" applyFont="1" applyBorder="1"/>
    <xf numFmtId="0" fontId="10" fillId="0" borderId="3" xfId="0" applyFont="1" applyBorder="1"/>
    <xf numFmtId="0" fontId="8" fillId="0" borderId="3" xfId="0" applyFont="1" applyBorder="1"/>
    <xf numFmtId="49" fontId="8" fillId="0" borderId="3" xfId="0" applyNumberFormat="1" applyFont="1" applyBorder="1" applyAlignment="1">
      <alignment horizontal="right"/>
    </xf>
    <xf numFmtId="3" fontId="5" fillId="0" borderId="5" xfId="0" applyNumberFormat="1" applyFont="1" applyBorder="1" applyAlignment="1">
      <alignment horizontal="right"/>
    </xf>
    <xf numFmtId="0" fontId="2" fillId="0" borderId="5" xfId="0" applyFont="1" applyBorder="1" applyAlignment="1">
      <alignment vertical="top"/>
    </xf>
    <xf numFmtId="49" fontId="2" fillId="0" borderId="5" xfId="0" applyNumberFormat="1" applyFont="1" applyBorder="1" applyAlignment="1">
      <alignment horizontal="right" vertical="top"/>
    </xf>
    <xf numFmtId="0" fontId="2" fillId="0" borderId="6" xfId="0" applyFont="1" applyBorder="1" applyAlignment="1">
      <alignment vertical="top" wrapText="1"/>
    </xf>
    <xf numFmtId="0" fontId="2" fillId="0" borderId="3" xfId="0" applyFont="1" applyBorder="1" applyAlignment="1">
      <alignment horizontal="right"/>
    </xf>
    <xf numFmtId="0" fontId="2" fillId="0" borderId="3" xfId="0" applyFont="1" applyBorder="1" applyAlignment="1">
      <alignment horizontal="right" vertical="top"/>
    </xf>
    <xf numFmtId="0" fontId="2" fillId="0" borderId="6" xfId="0" applyFont="1" applyBorder="1" applyAlignment="1">
      <alignment wrapText="1"/>
    </xf>
    <xf numFmtId="3" fontId="2" fillId="0" borderId="3" xfId="0" applyNumberFormat="1" applyFont="1" applyBorder="1" applyAlignment="1">
      <alignment horizontal="right"/>
    </xf>
    <xf numFmtId="0" fontId="8" fillId="0" borderId="6" xfId="0" applyFont="1" applyBorder="1" applyAlignment="1">
      <alignment horizontal="left"/>
    </xf>
    <xf numFmtId="3" fontId="2" fillId="0" borderId="5" xfId="0" applyNumberFormat="1" applyFont="1" applyBorder="1"/>
    <xf numFmtId="0" fontId="8" fillId="0" borderId="4" xfId="0" applyFont="1" applyBorder="1"/>
    <xf numFmtId="4" fontId="5" fillId="0" borderId="3" xfId="0" applyNumberFormat="1" applyFont="1" applyBorder="1"/>
    <xf numFmtId="0" fontId="2" fillId="0" borderId="3" xfId="0" applyFont="1" applyBorder="1" applyAlignment="1">
      <alignment vertical="top" wrapText="1"/>
    </xf>
    <xf numFmtId="3" fontId="2" fillId="0" borderId="6" xfId="0" applyNumberFormat="1" applyFont="1" applyBorder="1"/>
    <xf numFmtId="3" fontId="8" fillId="0" borderId="4" xfId="0" applyNumberFormat="1" applyFont="1" applyBorder="1"/>
    <xf numFmtId="4" fontId="5" fillId="0" borderId="3" xfId="0" applyNumberFormat="1" applyFont="1" applyBorder="1" applyAlignment="1">
      <alignment horizontal="right"/>
    </xf>
    <xf numFmtId="3" fontId="8" fillId="0" borderId="6" xfId="0" applyNumberFormat="1" applyFont="1" applyBorder="1"/>
    <xf numFmtId="3" fontId="2" fillId="0" borderId="4" xfId="0" applyNumberFormat="1" applyFont="1" applyBorder="1"/>
    <xf numFmtId="3" fontId="5" fillId="0" borderId="5" xfId="0" applyNumberFormat="1" applyFont="1" applyBorder="1"/>
    <xf numFmtId="0" fontId="2" fillId="0" borderId="5" xfId="0" applyFont="1" applyBorder="1" applyAlignment="1">
      <alignment vertical="top" wrapText="1"/>
    </xf>
    <xf numFmtId="4" fontId="8" fillId="0" borderId="5" xfId="0" applyNumberFormat="1" applyFont="1" applyBorder="1" applyAlignment="1">
      <alignment horizontal="right"/>
    </xf>
    <xf numFmtId="0" fontId="2" fillId="0" borderId="4" xfId="0" applyFont="1" applyBorder="1" applyAlignment="1">
      <alignment wrapText="1"/>
    </xf>
    <xf numFmtId="4" fontId="5" fillId="0" borderId="13" xfId="0" applyNumberFormat="1" applyFont="1" applyBorder="1"/>
    <xf numFmtId="4" fontId="8" fillId="0" borderId="5" xfId="0" applyNumberFormat="1" applyFont="1" applyBorder="1"/>
    <xf numFmtId="0" fontId="2" fillId="0" borderId="4" xfId="0" applyFont="1" applyBorder="1" applyAlignment="1">
      <alignment horizontal="right"/>
    </xf>
    <xf numFmtId="0" fontId="2" fillId="0" borderId="4" xfId="0" applyFont="1" applyBorder="1"/>
    <xf numFmtId="0" fontId="11" fillId="0" borderId="3" xfId="0" applyFont="1" applyBorder="1"/>
    <xf numFmtId="0" fontId="8" fillId="0" borderId="3" xfId="0" applyFont="1" applyBorder="1" applyAlignment="1">
      <alignment horizontal="center"/>
    </xf>
    <xf numFmtId="0" fontId="8" fillId="0" borderId="3" xfId="0" applyFont="1" applyBorder="1" applyAlignment="1">
      <alignment horizontal="right" vertical="top"/>
    </xf>
    <xf numFmtId="0" fontId="8" fillId="0" borderId="4" xfId="0" applyFont="1" applyBorder="1" applyAlignment="1">
      <alignment wrapText="1"/>
    </xf>
    <xf numFmtId="4" fontId="12" fillId="0" borderId="3" xfId="0" applyNumberFormat="1" applyFont="1" applyBorder="1" applyAlignment="1">
      <alignment horizontal="right"/>
    </xf>
    <xf numFmtId="0" fontId="2" fillId="0" borderId="5" xfId="0" applyFont="1" applyBorder="1" applyAlignment="1">
      <alignment horizontal="right"/>
    </xf>
    <xf numFmtId="4" fontId="8" fillId="0" borderId="3" xfId="0" applyNumberFormat="1" applyFont="1" applyBorder="1" applyAlignment="1">
      <alignment horizontal="right" vertical="top"/>
    </xf>
    <xf numFmtId="3" fontId="13" fillId="0" borderId="3" xfId="0" applyNumberFormat="1" applyFont="1" applyBorder="1" applyAlignment="1">
      <alignment horizontal="right"/>
    </xf>
    <xf numFmtId="0" fontId="13" fillId="0" borderId="3" xfId="0" applyFont="1" applyBorder="1"/>
    <xf numFmtId="0" fontId="13" fillId="0" borderId="3" xfId="0" applyFont="1" applyBorder="1" applyAlignment="1">
      <alignment horizontal="right"/>
    </xf>
    <xf numFmtId="0" fontId="13" fillId="0" borderId="4" xfId="0" applyFont="1" applyBorder="1"/>
    <xf numFmtId="49" fontId="8" fillId="0" borderId="3" xfId="0" applyNumberFormat="1" applyFont="1" applyBorder="1" applyAlignment="1">
      <alignment horizontal="right" vertical="top"/>
    </xf>
    <xf numFmtId="0" fontId="2" fillId="0" borderId="5" xfId="0" applyFont="1" applyBorder="1"/>
    <xf numFmtId="0" fontId="2" fillId="0" borderId="5" xfId="0" applyFont="1" applyBorder="1" applyAlignment="1">
      <alignment horizontal="right" vertical="top"/>
    </xf>
    <xf numFmtId="0" fontId="9" fillId="0" borderId="0" xfId="0" applyFont="1"/>
    <xf numFmtId="0" fontId="2" fillId="0" borderId="6" xfId="0" applyFont="1" applyBorder="1" applyAlignment="1">
      <alignment vertical="center" wrapText="1"/>
    </xf>
    <xf numFmtId="0" fontId="2" fillId="0" borderId="3" xfId="0" applyFont="1" applyBorder="1" applyAlignment="1">
      <alignment vertical="top"/>
    </xf>
    <xf numFmtId="0" fontId="2" fillId="0" borderId="4" xfId="0" applyFont="1" applyBorder="1" applyAlignment="1">
      <alignment vertical="center" wrapText="1"/>
    </xf>
    <xf numFmtId="0" fontId="8" fillId="0" borderId="5" xfId="0" applyFont="1" applyBorder="1" applyAlignment="1">
      <alignment horizontal="right"/>
    </xf>
    <xf numFmtId="0" fontId="5" fillId="0" borderId="3" xfId="0" applyFont="1" applyBorder="1" applyAlignment="1">
      <alignment horizontal="right"/>
    </xf>
    <xf numFmtId="49" fontId="5" fillId="0" borderId="5" xfId="0" applyNumberFormat="1" applyFont="1" applyBorder="1" applyAlignment="1">
      <alignment horizontal="right"/>
    </xf>
    <xf numFmtId="4" fontId="2" fillId="0" borderId="12" xfId="0" applyNumberFormat="1" applyFont="1" applyBorder="1"/>
    <xf numFmtId="4" fontId="8" fillId="0" borderId="15" xfId="0" applyNumberFormat="1" applyFont="1" applyBorder="1"/>
    <xf numFmtId="0" fontId="8" fillId="0" borderId="5" xfId="0" applyFont="1" applyBorder="1" applyAlignment="1">
      <alignment horizontal="left"/>
    </xf>
    <xf numFmtId="0" fontId="8" fillId="0" borderId="5" xfId="1" applyNumberFormat="1" applyFont="1" applyBorder="1" applyAlignment="1">
      <alignment horizontal="left"/>
    </xf>
    <xf numFmtId="3" fontId="2" fillId="0" borderId="4" xfId="0" applyNumberFormat="1" applyFont="1" applyBorder="1" applyAlignment="1">
      <alignment wrapText="1"/>
    </xf>
    <xf numFmtId="3" fontId="8" fillId="0" borderId="3" xfId="0" applyNumberFormat="1" applyFont="1" applyBorder="1"/>
    <xf numFmtId="0" fontId="8" fillId="0" borderId="6" xfId="0" applyFont="1" applyBorder="1"/>
    <xf numFmtId="4" fontId="8" fillId="0" borderId="12" xfId="0" applyNumberFormat="1" applyFont="1" applyBorder="1"/>
    <xf numFmtId="49" fontId="8" fillId="0" borderId="5" xfId="0" applyNumberFormat="1" applyFont="1" applyBorder="1" applyAlignment="1">
      <alignment horizontal="right" vertical="top"/>
    </xf>
    <xf numFmtId="0" fontId="8" fillId="0" borderId="6" xfId="0" applyFont="1" applyBorder="1" applyAlignment="1">
      <alignment wrapText="1"/>
    </xf>
    <xf numFmtId="49" fontId="5" fillId="0" borderId="3" xfId="0" applyNumberFormat="1" applyFont="1" applyBorder="1"/>
    <xf numFmtId="4" fontId="8" fillId="0" borderId="3" xfId="0" applyNumberFormat="1" applyFont="1" applyBorder="1" applyAlignment="1">
      <alignment horizontal="center"/>
    </xf>
    <xf numFmtId="3" fontId="13" fillId="0" borderId="3" xfId="0" applyNumberFormat="1" applyFont="1" applyBorder="1"/>
    <xf numFmtId="49" fontId="13" fillId="0" borderId="3" xfId="0" applyNumberFormat="1" applyFont="1" applyBorder="1" applyAlignment="1">
      <alignment horizontal="right"/>
    </xf>
    <xf numFmtId="3" fontId="13" fillId="0" borderId="4" xfId="0" applyNumberFormat="1" applyFont="1" applyBorder="1"/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 wrapText="1"/>
    </xf>
    <xf numFmtId="0" fontId="8" fillId="0" borderId="3" xfId="0" applyFont="1" applyBorder="1" applyAlignment="1">
      <alignment wrapText="1"/>
    </xf>
    <xf numFmtId="0" fontId="7" fillId="0" borderId="5" xfId="0" applyFont="1" applyBorder="1"/>
    <xf numFmtId="49" fontId="7" fillId="0" borderId="5" xfId="0" applyNumberFormat="1" applyFont="1" applyBorder="1" applyAlignment="1">
      <alignment horizontal="right"/>
    </xf>
    <xf numFmtId="0" fontId="7" fillId="0" borderId="6" xfId="0" applyFont="1" applyBorder="1"/>
    <xf numFmtId="0" fontId="11" fillId="0" borderId="0" xfId="2" applyFont="1"/>
    <xf numFmtId="0" fontId="2" fillId="0" borderId="0" xfId="3" applyFont="1"/>
    <xf numFmtId="0" fontId="2" fillId="0" borderId="0" xfId="3" applyFont="1" applyAlignment="1">
      <alignment horizontal="left"/>
    </xf>
    <xf numFmtId="0" fontId="17" fillId="0" borderId="0" xfId="2" applyFont="1" applyAlignment="1">
      <alignment horizontal="centerContinuous" vertical="center"/>
    </xf>
    <xf numFmtId="0" fontId="18" fillId="0" borderId="1" xfId="2" applyFont="1" applyBorder="1" applyAlignment="1">
      <alignment horizontal="center" vertical="center"/>
    </xf>
    <xf numFmtId="0" fontId="18" fillId="0" borderId="1" xfId="2" applyFont="1" applyBorder="1" applyAlignment="1">
      <alignment horizontal="center" vertical="center" wrapText="1"/>
    </xf>
    <xf numFmtId="0" fontId="19" fillId="0" borderId="1" xfId="2" applyFont="1" applyBorder="1" applyAlignment="1">
      <alignment horizontal="center" vertical="top" wrapText="1"/>
    </xf>
    <xf numFmtId="0" fontId="18" fillId="0" borderId="17" xfId="2" applyFont="1" applyBorder="1" applyAlignment="1">
      <alignment horizontal="centerContinuous" vertical="center"/>
    </xf>
    <xf numFmtId="0" fontId="18" fillId="0" borderId="18" xfId="2" applyFont="1" applyBorder="1" applyAlignment="1">
      <alignment horizontal="centerContinuous" vertical="center"/>
    </xf>
    <xf numFmtId="0" fontId="18" fillId="0" borderId="19" xfId="2" applyFont="1" applyBorder="1" applyAlignment="1">
      <alignment horizontal="centerContinuous" vertical="center"/>
    </xf>
    <xf numFmtId="0" fontId="18" fillId="0" borderId="3" xfId="2" applyFont="1" applyBorder="1" applyAlignment="1">
      <alignment horizontal="center" vertical="center"/>
    </xf>
    <xf numFmtId="0" fontId="18" fillId="0" borderId="3" xfId="2" applyFont="1" applyBorder="1" applyAlignment="1">
      <alignment horizontal="center" vertical="center" wrapText="1"/>
    </xf>
    <xf numFmtId="0" fontId="19" fillId="0" borderId="3" xfId="2" applyFont="1" applyBorder="1" applyAlignment="1">
      <alignment horizontal="center" vertical="center" wrapText="1"/>
    </xf>
    <xf numFmtId="0" fontId="18" fillId="0" borderId="5" xfId="2" applyFont="1" applyBorder="1" applyAlignment="1">
      <alignment horizontal="center" vertical="center"/>
    </xf>
    <xf numFmtId="0" fontId="19" fillId="0" borderId="5" xfId="2" applyFont="1" applyBorder="1" applyAlignment="1">
      <alignment horizontal="center" vertical="center" wrapText="1"/>
    </xf>
    <xf numFmtId="0" fontId="18" fillId="0" borderId="5" xfId="2" applyFont="1" applyBorder="1" applyAlignment="1">
      <alignment horizontal="center" vertical="center" wrapText="1"/>
    </xf>
    <xf numFmtId="0" fontId="20" fillId="0" borderId="20" xfId="2" applyFont="1" applyBorder="1" applyAlignment="1">
      <alignment horizontal="center" vertical="center"/>
    </xf>
    <xf numFmtId="0" fontId="20" fillId="0" borderId="18" xfId="2" applyFont="1" applyBorder="1" applyAlignment="1">
      <alignment horizontal="center" vertical="center"/>
    </xf>
    <xf numFmtId="0" fontId="17" fillId="0" borderId="1" xfId="2" applyFont="1" applyBorder="1" applyAlignment="1">
      <alignment horizontal="center" vertical="center"/>
    </xf>
    <xf numFmtId="0" fontId="17" fillId="0" borderId="20" xfId="2" applyFont="1" applyBorder="1" applyAlignment="1">
      <alignment vertical="center"/>
    </xf>
    <xf numFmtId="4" fontId="18" fillId="0" borderId="18" xfId="2" applyNumberFormat="1" applyFont="1" applyBorder="1" applyAlignment="1">
      <alignment horizontal="center" vertical="center"/>
    </xf>
    <xf numFmtId="4" fontId="18" fillId="0" borderId="20" xfId="2" applyNumberFormat="1" applyFont="1" applyBorder="1" applyAlignment="1">
      <alignment vertical="center"/>
    </xf>
    <xf numFmtId="4" fontId="18" fillId="0" borderId="18" xfId="2" applyNumberFormat="1" applyFont="1" applyBorder="1" applyAlignment="1">
      <alignment vertical="center"/>
    </xf>
    <xf numFmtId="4" fontId="18" fillId="0" borderId="0" xfId="2" applyNumberFormat="1" applyFont="1"/>
    <xf numFmtId="0" fontId="18" fillId="0" borderId="0" xfId="2" applyFont="1"/>
    <xf numFmtId="0" fontId="17" fillId="0" borderId="3" xfId="2" applyFont="1" applyBorder="1" applyAlignment="1">
      <alignment horizontal="center" vertical="center"/>
    </xf>
    <xf numFmtId="3" fontId="18" fillId="0" borderId="0" xfId="2" applyNumberFormat="1" applyFont="1"/>
    <xf numFmtId="49" fontId="18" fillId="0" borderId="23" xfId="2" applyNumberFormat="1" applyFont="1" applyBorder="1" applyAlignment="1">
      <alignment horizontal="center" vertical="center"/>
    </xf>
    <xf numFmtId="0" fontId="18" fillId="0" borderId="24" xfId="2" applyFont="1" applyBorder="1" applyAlignment="1">
      <alignment vertical="center" wrapText="1"/>
    </xf>
    <xf numFmtId="4" fontId="17" fillId="0" borderId="25" xfId="3" applyNumberFormat="1" applyFont="1" applyBorder="1" applyAlignment="1">
      <alignment horizontal="center" vertical="center"/>
    </xf>
    <xf numFmtId="4" fontId="18" fillId="0" borderId="26" xfId="3" applyNumberFormat="1" applyFont="1" applyBorder="1" applyAlignment="1">
      <alignment horizontal="right" vertical="center"/>
    </xf>
    <xf numFmtId="3" fontId="11" fillId="0" borderId="0" xfId="2" applyNumberFormat="1" applyFont="1"/>
    <xf numFmtId="49" fontId="11" fillId="0" borderId="3" xfId="2" applyNumberFormat="1" applyFont="1" applyBorder="1" applyAlignment="1">
      <alignment horizontal="center" vertical="center"/>
    </xf>
    <xf numFmtId="0" fontId="18" fillId="0" borderId="3" xfId="2" applyFont="1" applyBorder="1" applyAlignment="1">
      <alignment vertical="center" wrapText="1"/>
    </xf>
    <xf numFmtId="4" fontId="11" fillId="0" borderId="4" xfId="2" applyNumberFormat="1" applyFont="1" applyBorder="1" applyAlignment="1">
      <alignment horizontal="center"/>
    </xf>
    <xf numFmtId="4" fontId="11" fillId="0" borderId="0" xfId="2" applyNumberFormat="1" applyFont="1"/>
    <xf numFmtId="4" fontId="11" fillId="0" borderId="27" xfId="2" applyNumberFormat="1" applyFont="1" applyBorder="1"/>
    <xf numFmtId="0" fontId="11" fillId="0" borderId="28" xfId="2" applyFont="1" applyBorder="1" applyAlignment="1">
      <alignment vertical="top" wrapText="1"/>
    </xf>
    <xf numFmtId="4" fontId="11" fillId="0" borderId="29" xfId="2" applyNumberFormat="1" applyFont="1" applyBorder="1" applyAlignment="1">
      <alignment horizontal="center"/>
    </xf>
    <xf numFmtId="4" fontId="11" fillId="0" borderId="30" xfId="2" applyNumberFormat="1" applyFont="1" applyBorder="1"/>
    <xf numFmtId="4" fontId="11" fillId="0" borderId="31" xfId="2" applyNumberFormat="1" applyFont="1" applyBorder="1"/>
    <xf numFmtId="4" fontId="11" fillId="0" borderId="28" xfId="2" applyNumberFormat="1" applyFont="1" applyBorder="1" applyAlignment="1">
      <alignment horizontal="center"/>
    </xf>
    <xf numFmtId="4" fontId="11" fillId="0" borderId="28" xfId="2" applyNumberFormat="1" applyFont="1" applyBorder="1"/>
    <xf numFmtId="4" fontId="11" fillId="0" borderId="22" xfId="2" applyNumberFormat="1" applyFont="1" applyBorder="1" applyAlignment="1">
      <alignment horizontal="center"/>
    </xf>
    <xf numFmtId="4" fontId="11" fillId="0" borderId="22" xfId="2" applyNumberFormat="1" applyFont="1" applyBorder="1"/>
    <xf numFmtId="4" fontId="11" fillId="0" borderId="32" xfId="2" applyNumberFormat="1" applyFont="1" applyBorder="1"/>
    <xf numFmtId="4" fontId="11" fillId="0" borderId="33" xfId="2" applyNumberFormat="1" applyFont="1" applyBorder="1"/>
    <xf numFmtId="0" fontId="18" fillId="0" borderId="3" xfId="2" applyFont="1" applyBorder="1" applyAlignment="1">
      <alignment vertical="center"/>
    </xf>
    <xf numFmtId="4" fontId="11" fillId="0" borderId="34" xfId="2" applyNumberFormat="1" applyFont="1" applyBorder="1"/>
    <xf numFmtId="4" fontId="11" fillId="0" borderId="5" xfId="2" applyNumberFormat="1" applyFont="1" applyBorder="1"/>
    <xf numFmtId="4" fontId="11" fillId="0" borderId="35" xfId="2" applyNumberFormat="1" applyFont="1" applyBorder="1"/>
    <xf numFmtId="49" fontId="11" fillId="0" borderId="5" xfId="2" applyNumberFormat="1" applyFont="1" applyBorder="1" applyAlignment="1">
      <alignment horizontal="center" vertical="center"/>
    </xf>
    <xf numFmtId="0" fontId="11" fillId="0" borderId="0" xfId="2" applyFont="1" applyAlignment="1">
      <alignment horizontal="center" vertical="center"/>
    </xf>
    <xf numFmtId="4" fontId="11" fillId="0" borderId="0" xfId="2" applyNumberFormat="1" applyFont="1" applyAlignment="1">
      <alignment horizontal="center"/>
    </xf>
    <xf numFmtId="4" fontId="11" fillId="0" borderId="0" xfId="2" applyNumberFormat="1" applyFont="1" applyAlignment="1">
      <alignment horizontal="right"/>
    </xf>
    <xf numFmtId="0" fontId="11" fillId="0" borderId="0" xfId="2" applyFont="1" applyAlignment="1">
      <alignment horizontal="center"/>
    </xf>
    <xf numFmtId="3" fontId="11" fillId="0" borderId="0" xfId="2" applyNumberFormat="1" applyFont="1" applyAlignment="1">
      <alignment horizontal="right"/>
    </xf>
    <xf numFmtId="0" fontId="2" fillId="0" borderId="0" xfId="4" applyFont="1"/>
    <xf numFmtId="0" fontId="22" fillId="0" borderId="0" xfId="4" applyFont="1"/>
    <xf numFmtId="0" fontId="4" fillId="0" borderId="0" xfId="4" applyFont="1" applyAlignment="1">
      <alignment horizontal="centerContinuous" vertical="center" wrapText="1"/>
    </xf>
    <xf numFmtId="0" fontId="4" fillId="0" borderId="0" xfId="4" applyFont="1" applyAlignment="1">
      <alignment horizontal="center" vertical="center" wrapText="1"/>
    </xf>
    <xf numFmtId="0" fontId="11" fillId="0" borderId="0" xfId="4" applyFont="1" applyAlignment="1">
      <alignment horizontal="center" vertical="center"/>
    </xf>
    <xf numFmtId="0" fontId="23" fillId="2" borderId="1" xfId="4" applyFont="1" applyFill="1" applyBorder="1" applyAlignment="1">
      <alignment horizontal="center" vertical="center"/>
    </xf>
    <xf numFmtId="0" fontId="23" fillId="2" borderId="1" xfId="4" applyFont="1" applyFill="1" applyBorder="1" applyAlignment="1">
      <alignment horizontal="center" vertical="center" wrapText="1"/>
    </xf>
    <xf numFmtId="0" fontId="23" fillId="2" borderId="17" xfId="4" applyFont="1" applyFill="1" applyBorder="1" applyAlignment="1">
      <alignment horizontal="centerContinuous" vertical="center" wrapText="1"/>
    </xf>
    <xf numFmtId="0" fontId="23" fillId="2" borderId="19" xfId="4" applyFont="1" applyFill="1" applyBorder="1" applyAlignment="1">
      <alignment horizontal="centerContinuous" vertical="center" wrapText="1"/>
    </xf>
    <xf numFmtId="0" fontId="23" fillId="2" borderId="18" xfId="4" applyFont="1" applyFill="1" applyBorder="1" applyAlignment="1">
      <alignment horizontal="centerContinuous" vertical="center" wrapText="1"/>
    </xf>
    <xf numFmtId="0" fontId="23" fillId="2" borderId="3" xfId="4" applyFont="1" applyFill="1" applyBorder="1" applyAlignment="1">
      <alignment horizontal="center" vertical="center"/>
    </xf>
    <xf numFmtId="0" fontId="23" fillId="2" borderId="3" xfId="4" applyFont="1" applyFill="1" applyBorder="1" applyAlignment="1">
      <alignment horizontal="center" vertical="center" wrapText="1"/>
    </xf>
    <xf numFmtId="0" fontId="23" fillId="2" borderId="5" xfId="4" applyFont="1" applyFill="1" applyBorder="1" applyAlignment="1">
      <alignment horizontal="center" vertical="center"/>
    </xf>
    <xf numFmtId="0" fontId="23" fillId="2" borderId="5" xfId="4" applyFont="1" applyFill="1" applyBorder="1" applyAlignment="1">
      <alignment horizontal="center" vertical="center" wrapText="1"/>
    </xf>
    <xf numFmtId="0" fontId="23" fillId="2" borderId="5" xfId="4" applyFont="1" applyFill="1" applyBorder="1" applyAlignment="1">
      <alignment horizontal="center" vertical="top" wrapText="1"/>
    </xf>
    <xf numFmtId="0" fontId="23" fillId="2" borderId="20" xfId="4" applyFont="1" applyFill="1" applyBorder="1" applyAlignment="1">
      <alignment horizontal="center" vertical="center" wrapText="1"/>
    </xf>
    <xf numFmtId="0" fontId="24" fillId="0" borderId="20" xfId="4" applyFont="1" applyBorder="1" applyAlignment="1">
      <alignment horizontal="center" vertical="center"/>
    </xf>
    <xf numFmtId="4" fontId="11" fillId="0" borderId="0" xfId="4" applyNumberFormat="1" applyFont="1"/>
    <xf numFmtId="0" fontId="11" fillId="0" borderId="0" xfId="5" applyFont="1"/>
    <xf numFmtId="0" fontId="2" fillId="0" borderId="0" xfId="5" applyFont="1" applyAlignment="1">
      <alignment horizontal="left"/>
    </xf>
    <xf numFmtId="0" fontId="4" fillId="0" borderId="0" xfId="5" applyFont="1" applyAlignment="1">
      <alignment horizontal="centerContinuous" vertical="center" wrapText="1"/>
    </xf>
    <xf numFmtId="0" fontId="25" fillId="0" borderId="0" xfId="5" applyFont="1" applyAlignment="1">
      <alignment horizontal="center" vertical="center"/>
    </xf>
    <xf numFmtId="0" fontId="2" fillId="0" borderId="0" xfId="5" applyFont="1" applyAlignment="1">
      <alignment horizontal="centerContinuous"/>
    </xf>
    <xf numFmtId="0" fontId="4" fillId="2" borderId="20" xfId="5" applyFont="1" applyFill="1" applyBorder="1" applyAlignment="1">
      <alignment horizontal="center" vertical="center"/>
    </xf>
    <xf numFmtId="0" fontId="24" fillId="0" borderId="20" xfId="5" applyFont="1" applyBorder="1" applyAlignment="1">
      <alignment horizontal="center" vertical="center"/>
    </xf>
    <xf numFmtId="0" fontId="24" fillId="0" borderId="0" xfId="5" applyFont="1"/>
    <xf numFmtId="0" fontId="2" fillId="0" borderId="0" xfId="5" applyFont="1"/>
    <xf numFmtId="0" fontId="3" fillId="0" borderId="17" xfId="5" applyFont="1" applyBorder="1" applyAlignment="1">
      <alignment horizontal="left" vertical="center"/>
    </xf>
    <xf numFmtId="0" fontId="3" fillId="0" borderId="19" xfId="5" applyFont="1" applyBorder="1" applyAlignment="1">
      <alignment horizontal="left" vertical="center"/>
    </xf>
    <xf numFmtId="0" fontId="3" fillId="0" borderId="18" xfId="5" applyFont="1" applyBorder="1" applyAlignment="1">
      <alignment horizontal="left" vertical="center"/>
    </xf>
    <xf numFmtId="0" fontId="26" fillId="0" borderId="20" xfId="5" applyFont="1" applyBorder="1" applyAlignment="1">
      <alignment vertical="top"/>
    </xf>
    <xf numFmtId="0" fontId="26" fillId="0" borderId="20" xfId="5" applyFont="1" applyBorder="1" applyAlignment="1">
      <alignment vertical="top" wrapText="1"/>
    </xf>
    <xf numFmtId="4" fontId="26" fillId="0" borderId="20" xfId="5" applyNumberFormat="1" applyFont="1" applyBorder="1" applyAlignment="1">
      <alignment vertical="center"/>
    </xf>
    <xf numFmtId="4" fontId="11" fillId="0" borderId="0" xfId="5" applyNumberFormat="1" applyFont="1"/>
    <xf numFmtId="0" fontId="26" fillId="0" borderId="34" xfId="5" applyFont="1" applyBorder="1" applyAlignment="1">
      <alignment vertical="top" wrapText="1"/>
    </xf>
    <xf numFmtId="0" fontId="26" fillId="0" borderId="1" xfId="5" applyFont="1" applyBorder="1" applyAlignment="1">
      <alignment vertical="top"/>
    </xf>
    <xf numFmtId="0" fontId="26" fillId="0" borderId="1" xfId="5" applyFont="1" applyBorder="1"/>
    <xf numFmtId="0" fontId="26" fillId="0" borderId="20" xfId="5" applyFont="1" applyBorder="1"/>
    <xf numFmtId="4" fontId="26" fillId="0" borderId="20" xfId="5" applyNumberFormat="1" applyFont="1" applyBorder="1"/>
    <xf numFmtId="0" fontId="26" fillId="0" borderId="20" xfId="5" applyFont="1" applyBorder="1" applyAlignment="1">
      <alignment wrapText="1"/>
    </xf>
    <xf numFmtId="0" fontId="26" fillId="0" borderId="6" xfId="5" applyFont="1" applyBorder="1"/>
    <xf numFmtId="0" fontId="26" fillId="0" borderId="34" xfId="5" applyFont="1" applyBorder="1"/>
    <xf numFmtId="0" fontId="26" fillId="0" borderId="18" xfId="5" applyFont="1" applyBorder="1"/>
    <xf numFmtId="0" fontId="22" fillId="0" borderId="34" xfId="5" applyFont="1" applyBorder="1"/>
    <xf numFmtId="4" fontId="26" fillId="0" borderId="35" xfId="5" applyNumberFormat="1" applyFont="1" applyBorder="1"/>
    <xf numFmtId="0" fontId="22" fillId="0" borderId="20" xfId="5" applyFont="1" applyBorder="1" applyAlignment="1">
      <alignment wrapText="1"/>
    </xf>
    <xf numFmtId="0" fontId="22" fillId="0" borderId="20" xfId="5" applyFont="1" applyBorder="1"/>
    <xf numFmtId="0" fontId="22" fillId="0" borderId="17" xfId="5" applyFont="1" applyBorder="1"/>
    <xf numFmtId="0" fontId="22" fillId="0" borderId="19" xfId="5" applyFont="1" applyBorder="1"/>
    <xf numFmtId="4" fontId="22" fillId="0" borderId="20" xfId="5" applyNumberFormat="1" applyFont="1" applyBorder="1"/>
    <xf numFmtId="0" fontId="4" fillId="0" borderId="17" xfId="5" applyFont="1" applyBorder="1" applyAlignment="1">
      <alignment horizontal="centerContinuous" vertical="center"/>
    </xf>
    <xf numFmtId="0" fontId="4" fillId="0" borderId="19" xfId="5" applyFont="1" applyBorder="1" applyAlignment="1">
      <alignment horizontal="centerContinuous" vertical="center"/>
    </xf>
    <xf numFmtId="0" fontId="4" fillId="0" borderId="18" xfId="5" applyFont="1" applyBorder="1" applyAlignment="1">
      <alignment horizontal="centerContinuous" vertical="center"/>
    </xf>
    <xf numFmtId="4" fontId="3" fillId="0" borderId="20" xfId="5" applyNumberFormat="1" applyFont="1" applyBorder="1" applyAlignment="1">
      <alignment vertical="center"/>
    </xf>
    <xf numFmtId="0" fontId="27" fillId="0" borderId="0" xfId="5" applyFont="1"/>
    <xf numFmtId="0" fontId="6" fillId="0" borderId="0" xfId="5" applyFont="1" applyAlignment="1">
      <alignment horizontal="center"/>
    </xf>
    <xf numFmtId="0" fontId="4" fillId="2" borderId="17" xfId="5" applyFont="1" applyFill="1" applyBorder="1" applyAlignment="1">
      <alignment horizontal="centerContinuous" vertical="center"/>
    </xf>
    <xf numFmtId="0" fontId="24" fillId="0" borderId="17" xfId="5" applyFont="1" applyBorder="1" applyAlignment="1">
      <alignment horizontal="centerContinuous" vertical="center"/>
    </xf>
    <xf numFmtId="0" fontId="22" fillId="0" borderId="0" xfId="5" applyFont="1"/>
    <xf numFmtId="0" fontId="26" fillId="0" borderId="20" xfId="5" applyFont="1" applyBorder="1" applyAlignment="1">
      <alignment vertical="center"/>
    </xf>
    <xf numFmtId="0" fontId="28" fillId="0" borderId="20" xfId="5" applyFont="1" applyBorder="1" applyAlignment="1">
      <alignment horizontal="left" vertical="center"/>
    </xf>
    <xf numFmtId="0" fontId="29" fillId="0" borderId="0" xfId="5" applyFont="1"/>
    <xf numFmtId="0" fontId="26" fillId="0" borderId="17" xfId="5" applyFont="1" applyBorder="1" applyAlignment="1">
      <alignment vertical="top" wrapText="1"/>
    </xf>
    <xf numFmtId="4" fontId="27" fillId="0" borderId="0" xfId="5" applyNumberFormat="1" applyFont="1"/>
    <xf numFmtId="0" fontId="26" fillId="0" borderId="17" xfId="5" applyFont="1" applyBorder="1"/>
    <xf numFmtId="0" fontId="26" fillId="0" borderId="2" xfId="5" applyFont="1" applyBorder="1"/>
    <xf numFmtId="0" fontId="26" fillId="0" borderId="36" xfId="5" applyFont="1" applyBorder="1"/>
    <xf numFmtId="0" fontId="26" fillId="0" borderId="37" xfId="5" applyFont="1" applyBorder="1"/>
    <xf numFmtId="0" fontId="22" fillId="0" borderId="16" xfId="5" applyFont="1" applyBorder="1" applyAlignment="1">
      <alignment vertical="center" wrapText="1"/>
    </xf>
    <xf numFmtId="4" fontId="26" fillId="0" borderId="14" xfId="5" applyNumberFormat="1" applyFont="1" applyBorder="1"/>
    <xf numFmtId="0" fontId="26" fillId="0" borderId="4" xfId="5" applyFont="1" applyBorder="1"/>
    <xf numFmtId="0" fontId="26" fillId="0" borderId="0" xfId="5" applyFont="1"/>
    <xf numFmtId="0" fontId="26" fillId="0" borderId="27" xfId="5" applyFont="1" applyBorder="1"/>
    <xf numFmtId="0" fontId="22" fillId="0" borderId="38" xfId="5" applyFont="1" applyBorder="1" applyAlignment="1">
      <alignment horizontal="left" wrapText="1"/>
    </xf>
    <xf numFmtId="4" fontId="26" fillId="0" borderId="12" xfId="5" applyNumberFormat="1" applyFont="1" applyBorder="1"/>
    <xf numFmtId="0" fontId="26" fillId="0" borderId="35" xfId="5" applyFont="1" applyBorder="1"/>
    <xf numFmtId="0" fontId="22" fillId="0" borderId="6" xfId="5" applyFont="1" applyBorder="1" applyAlignment="1">
      <alignment vertical="center" wrapText="1"/>
    </xf>
    <xf numFmtId="4" fontId="26" fillId="0" borderId="5" xfId="5" applyNumberFormat="1" applyFont="1" applyBorder="1"/>
    <xf numFmtId="0" fontId="26" fillId="0" borderId="19" xfId="5" applyFont="1" applyBorder="1"/>
    <xf numFmtId="0" fontId="22" fillId="0" borderId="20" xfId="5" applyFont="1" applyBorder="1" applyAlignment="1">
      <alignment vertical="center" wrapText="1"/>
    </xf>
    <xf numFmtId="0" fontId="28" fillId="0" borderId="20" xfId="6" applyFont="1" applyBorder="1" applyAlignment="1">
      <alignment vertical="center"/>
    </xf>
    <xf numFmtId="0" fontId="26" fillId="0" borderId="17" xfId="6" applyFont="1" applyBorder="1" applyAlignment="1">
      <alignment vertical="top" wrapText="1"/>
    </xf>
    <xf numFmtId="4" fontId="26" fillId="0" borderId="20" xfId="6" applyNumberFormat="1" applyFont="1" applyBorder="1"/>
    <xf numFmtId="0" fontId="22" fillId="0" borderId="1" xfId="6" applyFont="1" applyBorder="1" applyAlignment="1">
      <alignment vertical="top"/>
    </xf>
    <xf numFmtId="0" fontId="22" fillId="0" borderId="16" xfId="6" applyFont="1" applyBorder="1" applyAlignment="1">
      <alignment vertical="center" wrapText="1"/>
    </xf>
    <xf numFmtId="3" fontId="22" fillId="0" borderId="14" xfId="6" applyNumberFormat="1" applyFont="1" applyBorder="1"/>
    <xf numFmtId="0" fontId="22" fillId="0" borderId="3" xfId="6" applyFont="1" applyBorder="1" applyAlignment="1">
      <alignment vertical="top"/>
    </xf>
    <xf numFmtId="0" fontId="22" fillId="0" borderId="39" xfId="6" applyFont="1" applyBorder="1" applyAlignment="1">
      <alignment vertical="center" wrapText="1"/>
    </xf>
    <xf numFmtId="3" fontId="22" fillId="0" borderId="38" xfId="6" applyNumberFormat="1" applyFont="1" applyBorder="1"/>
    <xf numFmtId="0" fontId="22" fillId="0" borderId="5" xfId="6" applyFont="1" applyBorder="1" applyAlignment="1">
      <alignment vertical="top"/>
    </xf>
    <xf numFmtId="0" fontId="22" fillId="0" borderId="40" xfId="6" applyFont="1" applyBorder="1" applyAlignment="1">
      <alignment vertical="center" wrapText="1"/>
    </xf>
    <xf numFmtId="3" fontId="22" fillId="0" borderId="41" xfId="6" applyNumberFormat="1" applyFont="1" applyBorder="1"/>
    <xf numFmtId="0" fontId="26" fillId="0" borderId="5" xfId="5" applyFont="1" applyBorder="1" applyAlignment="1">
      <alignment vertical="top"/>
    </xf>
    <xf numFmtId="0" fontId="26" fillId="0" borderId="6" xfId="5" applyFont="1" applyBorder="1" applyAlignment="1">
      <alignment vertical="center" wrapText="1"/>
    </xf>
    <xf numFmtId="4" fontId="26" fillId="0" borderId="5" xfId="5" applyNumberFormat="1" applyFont="1" applyBorder="1" applyAlignment="1">
      <alignment vertical="center"/>
    </xf>
    <xf numFmtId="0" fontId="26" fillId="0" borderId="37" xfId="5" applyFont="1" applyBorder="1" applyAlignment="1">
      <alignment vertical="top"/>
    </xf>
    <xf numFmtId="0" fontId="26" fillId="0" borderId="1" xfId="5" applyFont="1" applyBorder="1" applyAlignment="1">
      <alignment horizontal="right" vertical="center"/>
    </xf>
    <xf numFmtId="0" fontId="26" fillId="0" borderId="37" xfId="5" applyFont="1" applyBorder="1" applyAlignment="1">
      <alignment horizontal="right" vertical="center"/>
    </xf>
    <xf numFmtId="0" fontId="26" fillId="0" borderId="17" xfId="5" applyFont="1" applyBorder="1" applyAlignment="1">
      <alignment wrapText="1"/>
    </xf>
    <xf numFmtId="0" fontId="26" fillId="0" borderId="35" xfId="5" applyFont="1" applyBorder="1" applyAlignment="1">
      <alignment vertical="top"/>
    </xf>
    <xf numFmtId="0" fontId="26" fillId="0" borderId="6" xfId="5" applyFont="1" applyBorder="1" applyAlignment="1">
      <alignment wrapText="1"/>
    </xf>
    <xf numFmtId="0" fontId="22" fillId="0" borderId="39" xfId="5" applyFont="1" applyBorder="1" applyAlignment="1">
      <alignment horizontal="left" wrapText="1"/>
    </xf>
    <xf numFmtId="4" fontId="26" fillId="0" borderId="38" xfId="5" applyNumberFormat="1" applyFont="1" applyBorder="1"/>
    <xf numFmtId="0" fontId="30" fillId="0" borderId="0" xfId="5" applyFont="1"/>
    <xf numFmtId="0" fontId="22" fillId="0" borderId="11" xfId="5" applyFont="1" applyBorder="1" applyAlignment="1">
      <alignment horizontal="left" wrapText="1"/>
    </xf>
    <xf numFmtId="0" fontId="22" fillId="0" borderId="39" xfId="5" applyFont="1" applyBorder="1" applyAlignment="1">
      <alignment horizontal="left" vertical="center" wrapText="1"/>
    </xf>
    <xf numFmtId="0" fontId="22" fillId="0" borderId="11" xfId="5" applyFont="1" applyBorder="1" applyAlignment="1">
      <alignment horizontal="left" vertical="center" wrapText="1"/>
    </xf>
    <xf numFmtId="0" fontId="22" fillId="0" borderId="39" xfId="5" applyFont="1" applyBorder="1"/>
    <xf numFmtId="0" fontId="22" fillId="0" borderId="6" xfId="5" applyFont="1" applyBorder="1" applyAlignment="1">
      <alignment horizontal="left" wrapText="1"/>
    </xf>
    <xf numFmtId="0" fontId="22" fillId="0" borderId="16" xfId="5" applyFont="1" applyBorder="1" applyAlignment="1">
      <alignment horizontal="left" vertical="center" wrapText="1"/>
    </xf>
    <xf numFmtId="0" fontId="22" fillId="0" borderId="39" xfId="5" applyFont="1" applyBorder="1" applyAlignment="1">
      <alignment vertical="center" wrapText="1"/>
    </xf>
    <xf numFmtId="0" fontId="22" fillId="0" borderId="11" xfId="5" applyFont="1" applyBorder="1" applyAlignment="1">
      <alignment vertical="center" wrapText="1"/>
    </xf>
    <xf numFmtId="0" fontId="22" fillId="0" borderId="40" xfId="5" applyFont="1" applyBorder="1"/>
    <xf numFmtId="4" fontId="26" fillId="0" borderId="41" xfId="5" applyNumberFormat="1" applyFont="1" applyBorder="1"/>
    <xf numFmtId="0" fontId="22" fillId="0" borderId="11" xfId="5" applyFont="1" applyBorder="1"/>
    <xf numFmtId="0" fontId="22" fillId="0" borderId="17" xfId="5" applyFont="1" applyBorder="1" applyAlignment="1">
      <alignment vertical="center" wrapText="1"/>
    </xf>
    <xf numFmtId="0" fontId="22" fillId="0" borderId="17" xfId="5" applyFont="1" applyBorder="1" applyAlignment="1">
      <alignment horizontal="left" vertical="center" wrapText="1"/>
    </xf>
    <xf numFmtId="0" fontId="10" fillId="0" borderId="16" xfId="5" applyFont="1" applyBorder="1"/>
    <xf numFmtId="0" fontId="22" fillId="0" borderId="42" xfId="5" applyFont="1" applyBorder="1"/>
    <xf numFmtId="4" fontId="26" fillId="0" borderId="15" xfId="5" applyNumberFormat="1" applyFont="1" applyBorder="1"/>
    <xf numFmtId="0" fontId="10" fillId="0" borderId="11" xfId="5" applyFont="1" applyBorder="1"/>
    <xf numFmtId="0" fontId="10" fillId="0" borderId="39" xfId="5" applyFont="1" applyBorder="1"/>
    <xf numFmtId="0" fontId="22" fillId="0" borderId="14" xfId="5" applyFont="1" applyBorder="1" applyAlignment="1">
      <alignment horizontal="left" wrapText="1"/>
    </xf>
    <xf numFmtId="0" fontId="22" fillId="0" borderId="39" xfId="5" applyFont="1" applyBorder="1" applyAlignment="1">
      <alignment horizontal="left" vertical="top" wrapText="1"/>
    </xf>
    <xf numFmtId="4" fontId="26" fillId="0" borderId="43" xfId="5" applyNumberFormat="1" applyFont="1" applyBorder="1"/>
    <xf numFmtId="0" fontId="22" fillId="0" borderId="6" xfId="5" applyFont="1" applyBorder="1" applyAlignment="1">
      <alignment horizontal="left" vertical="center" wrapText="1"/>
    </xf>
    <xf numFmtId="0" fontId="10" fillId="0" borderId="17" xfId="5" applyFont="1" applyBorder="1"/>
    <xf numFmtId="0" fontId="22" fillId="0" borderId="6" xfId="5" applyFont="1" applyBorder="1" applyAlignment="1">
      <alignment vertical="top" wrapText="1"/>
    </xf>
    <xf numFmtId="0" fontId="22" fillId="0" borderId="16" xfId="5" applyFont="1" applyBorder="1" applyAlignment="1">
      <alignment horizontal="left" wrapText="1"/>
    </xf>
    <xf numFmtId="0" fontId="22" fillId="0" borderId="38" xfId="5" applyFont="1" applyBorder="1" applyAlignment="1">
      <alignment horizontal="left" vertical="center" wrapText="1"/>
    </xf>
    <xf numFmtId="0" fontId="26" fillId="0" borderId="5" xfId="5" applyFont="1" applyBorder="1"/>
    <xf numFmtId="0" fontId="22" fillId="0" borderId="17" xfId="5" applyFont="1" applyBorder="1" applyAlignment="1">
      <alignment vertical="top" wrapText="1"/>
    </xf>
    <xf numFmtId="0" fontId="22" fillId="0" borderId="16" xfId="5" applyFont="1" applyBorder="1"/>
    <xf numFmtId="0" fontId="22" fillId="0" borderId="40" xfId="5" applyFont="1" applyBorder="1" applyAlignment="1">
      <alignment horizontal="left" vertical="center" wrapText="1"/>
    </xf>
    <xf numFmtId="0" fontId="26" fillId="0" borderId="17" xfId="5" applyFont="1" applyBorder="1" applyAlignment="1">
      <alignment horizontal="left" vertical="top" wrapText="1"/>
    </xf>
    <xf numFmtId="0" fontId="22" fillId="0" borderId="34" xfId="5" applyFont="1" applyBorder="1" applyAlignment="1">
      <alignment vertical="top" wrapText="1"/>
    </xf>
    <xf numFmtId="0" fontId="4" fillId="0" borderId="17" xfId="5" applyFont="1" applyBorder="1" applyAlignment="1">
      <alignment horizontal="center" vertical="center"/>
    </xf>
    <xf numFmtId="0" fontId="4" fillId="0" borderId="19" xfId="5" applyFont="1" applyBorder="1" applyAlignment="1">
      <alignment horizontal="center" vertical="center"/>
    </xf>
    <xf numFmtId="0" fontId="4" fillId="0" borderId="0" xfId="0" applyFont="1" applyAlignment="1">
      <alignment horizontal="centerContinuous" vertical="center"/>
    </xf>
    <xf numFmtId="0" fontId="21" fillId="0" borderId="0" xfId="0" applyFont="1"/>
    <xf numFmtId="0" fontId="3" fillId="0" borderId="0" xfId="0" applyFont="1" applyAlignment="1">
      <alignment horizontal="centerContinuous" vertical="center"/>
    </xf>
    <xf numFmtId="0" fontId="2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24" fillId="2" borderId="20" xfId="0" applyFont="1" applyFill="1" applyBorder="1" applyAlignment="1">
      <alignment horizontal="center" vertical="center"/>
    </xf>
    <xf numFmtId="0" fontId="17" fillId="0" borderId="5" xfId="0" applyFont="1" applyBorder="1" applyAlignment="1">
      <alignment vertical="center"/>
    </xf>
    <xf numFmtId="0" fontId="17" fillId="0" borderId="5" xfId="0" applyFont="1" applyBorder="1" applyAlignment="1">
      <alignment horizontal="center" vertical="center"/>
    </xf>
    <xf numFmtId="0" fontId="21" fillId="0" borderId="3" xfId="0" applyFont="1" applyBorder="1" applyAlignment="1">
      <alignment vertical="center"/>
    </xf>
    <xf numFmtId="0" fontId="21" fillId="0" borderId="1" xfId="0" applyFont="1" applyBorder="1" applyAlignment="1">
      <alignment horizontal="left" vertical="center" indent="2"/>
    </xf>
    <xf numFmtId="0" fontId="21" fillId="0" borderId="3" xfId="0" applyFont="1" applyBorder="1" applyAlignment="1">
      <alignment horizontal="left" vertical="center" indent="2"/>
    </xf>
    <xf numFmtId="0" fontId="21" fillId="0" borderId="3" xfId="0" applyFont="1" applyBorder="1" applyAlignment="1">
      <alignment vertical="top"/>
    </xf>
    <xf numFmtId="0" fontId="21" fillId="0" borderId="3" xfId="0" applyFont="1" applyBorder="1" applyAlignment="1">
      <alignment horizontal="left" vertical="top" wrapText="1" indent="2"/>
    </xf>
    <xf numFmtId="0" fontId="21" fillId="0" borderId="5" xfId="0" applyFont="1" applyBorder="1" applyAlignment="1">
      <alignment vertical="top"/>
    </xf>
    <xf numFmtId="0" fontId="17" fillId="0" borderId="20" xfId="0" applyFont="1" applyBorder="1" applyAlignment="1">
      <alignment horizontal="center"/>
    </xf>
    <xf numFmtId="0" fontId="21" fillId="0" borderId="20" xfId="0" applyFont="1" applyBorder="1" applyAlignment="1">
      <alignment horizontal="left" vertical="center" indent="2"/>
    </xf>
    <xf numFmtId="0" fontId="21" fillId="0" borderId="3" xfId="0" applyFont="1" applyBorder="1" applyAlignment="1">
      <alignment horizontal="left" vertical="center" wrapText="1" indent="2"/>
    </xf>
    <xf numFmtId="0" fontId="21" fillId="0" borderId="5" xfId="0" applyFont="1" applyBorder="1" applyAlignment="1">
      <alignment vertical="center"/>
    </xf>
    <xf numFmtId="0" fontId="21" fillId="0" borderId="5" xfId="0" applyFont="1" applyBorder="1" applyAlignment="1">
      <alignment horizontal="left" vertical="center" indent="2"/>
    </xf>
    <xf numFmtId="0" fontId="11" fillId="0" borderId="0" xfId="0" applyFont="1"/>
    <xf numFmtId="0" fontId="21" fillId="0" borderId="0" xfId="0" applyFont="1" applyAlignment="1">
      <alignment vertical="center"/>
    </xf>
    <xf numFmtId="0" fontId="31" fillId="0" borderId="0" xfId="0" applyFont="1" applyAlignment="1">
      <alignment horizontal="centerContinuous" vertical="center" wrapText="1"/>
    </xf>
    <xf numFmtId="0" fontId="4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 wrapText="1"/>
    </xf>
    <xf numFmtId="0" fontId="32" fillId="0" borderId="0" xfId="0" applyFont="1" applyAlignment="1">
      <alignment horizontal="center" vertical="center"/>
    </xf>
    <xf numFmtId="0" fontId="23" fillId="0" borderId="20" xfId="0" applyFont="1" applyBorder="1" applyAlignment="1">
      <alignment horizontal="center" vertical="center"/>
    </xf>
    <xf numFmtId="0" fontId="23" fillId="0" borderId="20" xfId="0" applyFont="1" applyBorder="1" applyAlignment="1">
      <alignment horizontal="center" vertical="center" wrapText="1"/>
    </xf>
    <xf numFmtId="0" fontId="27" fillId="0" borderId="0" xfId="0" applyFont="1"/>
    <xf numFmtId="0" fontId="27" fillId="0" borderId="0" xfId="0" applyFont="1" applyAlignment="1">
      <alignment vertical="center"/>
    </xf>
    <xf numFmtId="0" fontId="6" fillId="0" borderId="20" xfId="0" applyFont="1" applyBorder="1" applyAlignment="1">
      <alignment horizontal="center" vertical="center"/>
    </xf>
    <xf numFmtId="0" fontId="32" fillId="0" borderId="0" xfId="0" applyFont="1"/>
    <xf numFmtId="0" fontId="32" fillId="0" borderId="0" xfId="0" applyFont="1" applyAlignment="1">
      <alignment vertical="center"/>
    </xf>
    <xf numFmtId="0" fontId="27" fillId="0" borderId="3" xfId="0" applyFont="1" applyBorder="1" applyAlignment="1">
      <alignment horizontal="center" vertical="center"/>
    </xf>
    <xf numFmtId="0" fontId="27" fillId="0" borderId="3" xfId="0" applyFont="1" applyBorder="1" applyAlignment="1">
      <alignment vertical="center"/>
    </xf>
    <xf numFmtId="49" fontId="27" fillId="0" borderId="3" xfId="0" applyNumberFormat="1" applyFont="1" applyBorder="1" applyAlignment="1">
      <alignment horizontal="center" vertical="center"/>
    </xf>
    <xf numFmtId="49" fontId="27" fillId="0" borderId="5" xfId="0" applyNumberFormat="1" applyFont="1" applyBorder="1" applyAlignment="1">
      <alignment horizontal="center" vertical="center"/>
    </xf>
    <xf numFmtId="4" fontId="33" fillId="0" borderId="5" xfId="0" applyNumberFormat="1" applyFont="1" applyBorder="1" applyAlignment="1">
      <alignment vertical="center"/>
    </xf>
    <xf numFmtId="4" fontId="27" fillId="0" borderId="5" xfId="0" applyNumberFormat="1" applyFont="1" applyBorder="1" applyAlignment="1">
      <alignment horizontal="center" vertical="center"/>
    </xf>
    <xf numFmtId="0" fontId="33" fillId="0" borderId="3" xfId="0" applyFont="1" applyBorder="1" applyAlignment="1">
      <alignment horizontal="center" vertical="center"/>
    </xf>
    <xf numFmtId="0" fontId="34" fillId="0" borderId="0" xfId="0" applyFont="1" applyAlignment="1">
      <alignment wrapText="1"/>
    </xf>
    <xf numFmtId="49" fontId="27" fillId="0" borderId="20" xfId="0" applyNumberFormat="1" applyFont="1" applyBorder="1" applyAlignment="1">
      <alignment horizontal="center" vertical="center"/>
    </xf>
    <xf numFmtId="4" fontId="27" fillId="0" borderId="20" xfId="0" applyNumberFormat="1" applyFont="1" applyBorder="1" applyAlignment="1">
      <alignment horizontal="center" vertical="center"/>
    </xf>
    <xf numFmtId="4" fontId="33" fillId="0" borderId="20" xfId="0" applyNumberFormat="1" applyFont="1" applyBorder="1" applyAlignment="1">
      <alignment vertical="center"/>
    </xf>
    <xf numFmtId="0" fontId="34" fillId="0" borderId="0" xfId="0" applyFont="1"/>
    <xf numFmtId="4" fontId="27" fillId="0" borderId="3" xfId="0" applyNumberFormat="1" applyFont="1" applyBorder="1" applyAlignment="1">
      <alignment horizontal="center" vertical="center"/>
    </xf>
    <xf numFmtId="4" fontId="27" fillId="0" borderId="3" xfId="0" applyNumberFormat="1" applyFont="1" applyBorder="1" applyAlignment="1">
      <alignment vertical="center"/>
    </xf>
    <xf numFmtId="0" fontId="27" fillId="0" borderId="5" xfId="0" applyFont="1" applyBorder="1" applyAlignment="1">
      <alignment horizontal="center" vertical="center"/>
    </xf>
    <xf numFmtId="0" fontId="27" fillId="0" borderId="5" xfId="0" applyFont="1" applyBorder="1" applyAlignment="1">
      <alignment vertical="center"/>
    </xf>
    <xf numFmtId="49" fontId="27" fillId="0" borderId="35" xfId="0" applyNumberFormat="1" applyFont="1" applyBorder="1" applyAlignment="1">
      <alignment horizontal="center" vertical="center"/>
    </xf>
    <xf numFmtId="4" fontId="27" fillId="0" borderId="5" xfId="0" applyNumberFormat="1" applyFont="1" applyBorder="1" applyAlignment="1">
      <alignment vertical="center"/>
    </xf>
    <xf numFmtId="0" fontId="34" fillId="0" borderId="0" xfId="0" applyFont="1" applyAlignment="1">
      <alignment vertical="center" wrapText="1"/>
    </xf>
    <xf numFmtId="49" fontId="27" fillId="0" borderId="27" xfId="0" applyNumberFormat="1" applyFont="1" applyBorder="1" applyAlignment="1">
      <alignment horizontal="center" vertical="center"/>
    </xf>
    <xf numFmtId="4" fontId="11" fillId="0" borderId="0" xfId="0" applyNumberFormat="1" applyFont="1"/>
    <xf numFmtId="4" fontId="27" fillId="0" borderId="3" xfId="0" applyNumberFormat="1" applyFont="1" applyBorder="1" applyAlignment="1">
      <alignment horizontal="right" vertical="center"/>
    </xf>
    <xf numFmtId="0" fontId="0" fillId="0" borderId="0" xfId="0" applyFont="1"/>
    <xf numFmtId="0" fontId="0" fillId="0" borderId="0" xfId="0" applyFont="1" applyAlignment="1">
      <alignment horizontal="centerContinuous"/>
    </xf>
    <xf numFmtId="0" fontId="8" fillId="0" borderId="11" xfId="0" applyFont="1" applyBorder="1" applyAlignment="1">
      <alignment vertical="center"/>
    </xf>
    <xf numFmtId="4" fontId="8" fillId="0" borderId="12" xfId="0" applyNumberFormat="1" applyFont="1" applyBorder="1" applyAlignment="1">
      <alignment horizontal="right"/>
    </xf>
    <xf numFmtId="0" fontId="8" fillId="0" borderId="11" xfId="0" applyFont="1" applyBorder="1" applyAlignment="1">
      <alignment vertical="center" wrapText="1"/>
    </xf>
    <xf numFmtId="0" fontId="8" fillId="0" borderId="12" xfId="0" applyFont="1" applyBorder="1" applyAlignment="1">
      <alignment vertical="center" wrapText="1"/>
    </xf>
    <xf numFmtId="0" fontId="2" fillId="0" borderId="11" xfId="0" applyFont="1" applyBorder="1"/>
    <xf numFmtId="0" fontId="8" fillId="0" borderId="12" xfId="0" applyFont="1" applyBorder="1"/>
    <xf numFmtId="0" fontId="2" fillId="0" borderId="11" xfId="0" applyFont="1" applyBorder="1" applyAlignment="1">
      <alignment wrapText="1"/>
    </xf>
    <xf numFmtId="0" fontId="8" fillId="0" borderId="11" xfId="0" applyFont="1" applyBorder="1"/>
    <xf numFmtId="4" fontId="2" fillId="0" borderId="12" xfId="0" applyNumberFormat="1" applyFont="1" applyBorder="1" applyAlignment="1">
      <alignment horizontal="right"/>
    </xf>
    <xf numFmtId="0" fontId="8" fillId="0" borderId="4" xfId="0" applyFont="1" applyBorder="1" applyAlignment="1">
      <alignment vertical="center"/>
    </xf>
    <xf numFmtId="4" fontId="8" fillId="0" borderId="14" xfId="0" applyNumberFormat="1" applyFont="1" applyBorder="1"/>
    <xf numFmtId="0" fontId="8" fillId="0" borderId="12" xfId="0" applyFont="1" applyBorder="1" applyAlignment="1">
      <alignment vertical="center"/>
    </xf>
    <xf numFmtId="0" fontId="2" fillId="0" borderId="12" xfId="0" applyFont="1" applyBorder="1"/>
    <xf numFmtId="0" fontId="8" fillId="0" borderId="2" xfId="0" applyFont="1" applyBorder="1"/>
    <xf numFmtId="3" fontId="2" fillId="0" borderId="11" xfId="0" applyNumberFormat="1" applyFont="1" applyBorder="1"/>
    <xf numFmtId="0" fontId="11" fillId="0" borderId="11" xfId="0" applyFont="1" applyBorder="1" applyAlignment="1">
      <alignment wrapText="1"/>
    </xf>
    <xf numFmtId="0" fontId="2" fillId="0" borderId="16" xfId="0" applyFont="1" applyBorder="1"/>
    <xf numFmtId="0" fontId="8" fillId="0" borderId="11" xfId="0" applyFont="1" applyBorder="1" applyAlignment="1">
      <alignment wrapText="1"/>
    </xf>
    <xf numFmtId="0" fontId="8" fillId="0" borderId="12" xfId="0" applyFont="1" applyBorder="1" applyAlignment="1">
      <alignment wrapText="1"/>
    </xf>
    <xf numFmtId="0" fontId="2" fillId="0" borderId="11" xfId="0" applyFont="1" applyBorder="1" applyAlignment="1">
      <alignment vertical="center" wrapText="1"/>
    </xf>
    <xf numFmtId="0" fontId="15" fillId="0" borderId="0" xfId="2" applyFont="1"/>
    <xf numFmtId="0" fontId="11" fillId="0" borderId="21" xfId="2" applyFont="1" applyBorder="1" applyAlignment="1">
      <alignment vertical="center"/>
    </xf>
    <xf numFmtId="4" fontId="11" fillId="0" borderId="21" xfId="2" applyNumberFormat="1" applyFont="1" applyBorder="1" applyAlignment="1">
      <alignment horizontal="center" vertical="center"/>
    </xf>
    <xf numFmtId="4" fontId="11" fillId="0" borderId="21" xfId="2" applyNumberFormat="1" applyFont="1" applyBorder="1" applyAlignment="1">
      <alignment vertical="center"/>
    </xf>
    <xf numFmtId="0" fontId="11" fillId="0" borderId="22" xfId="2" applyFont="1" applyBorder="1" applyAlignment="1">
      <alignment vertical="center"/>
    </xf>
    <xf numFmtId="4" fontId="11" fillId="0" borderId="22" xfId="2" applyNumberFormat="1" applyFont="1" applyBorder="1" applyAlignment="1">
      <alignment horizontal="center" vertical="center"/>
    </xf>
    <xf numFmtId="4" fontId="11" fillId="0" borderId="22" xfId="2" applyNumberFormat="1" applyFont="1" applyBorder="1" applyAlignment="1">
      <alignment vertical="center"/>
    </xf>
    <xf numFmtId="0" fontId="11" fillId="0" borderId="28" xfId="2" applyFont="1" applyBorder="1" applyAlignment="1">
      <alignment wrapText="1"/>
    </xf>
    <xf numFmtId="0" fontId="11" fillId="0" borderId="22" xfId="2" applyFont="1" applyBorder="1"/>
    <xf numFmtId="0" fontId="21" fillId="0" borderId="0" xfId="4" applyFont="1" applyAlignment="1">
      <alignment vertical="center"/>
    </xf>
    <xf numFmtId="0" fontId="21" fillId="0" borderId="0" xfId="4" applyFont="1"/>
    <xf numFmtId="0" fontId="21" fillId="0" borderId="20" xfId="4" applyFont="1" applyBorder="1" applyAlignment="1">
      <alignment vertical="center"/>
    </xf>
    <xf numFmtId="4" fontId="21" fillId="0" borderId="20" xfId="4" applyNumberFormat="1" applyFont="1" applyBorder="1" applyAlignment="1">
      <alignment vertical="center"/>
    </xf>
    <xf numFmtId="0" fontId="21" fillId="0" borderId="35" xfId="4" applyFont="1" applyBorder="1" applyAlignment="1">
      <alignment vertical="center"/>
    </xf>
    <xf numFmtId="4" fontId="21" fillId="0" borderId="5" xfId="4" applyNumberFormat="1" applyFont="1" applyBorder="1" applyAlignment="1">
      <alignment vertical="center"/>
    </xf>
    <xf numFmtId="0" fontId="17" fillId="0" borderId="6" xfId="4" applyFont="1" applyBorder="1" applyAlignment="1">
      <alignment horizontal="centerContinuous" vertical="center"/>
    </xf>
    <xf numFmtId="0" fontId="17" fillId="0" borderId="34" xfId="4" applyFont="1" applyBorder="1" applyAlignment="1">
      <alignment horizontal="centerContinuous" vertical="center"/>
    </xf>
    <xf numFmtId="0" fontId="17" fillId="0" borderId="35" xfId="4" applyFont="1" applyBorder="1" applyAlignment="1">
      <alignment horizontal="centerContinuous" vertical="center"/>
    </xf>
    <xf numFmtId="4" fontId="17" fillId="0" borderId="5" xfId="4" applyNumberFormat="1" applyFont="1" applyBorder="1" applyAlignment="1">
      <alignment vertical="center"/>
    </xf>
    <xf numFmtId="0" fontId="21" fillId="0" borderId="0" xfId="5" applyFont="1"/>
    <xf numFmtId="0" fontId="21" fillId="0" borderId="0" xfId="5" applyFont="1" applyAlignment="1">
      <alignment vertical="center"/>
    </xf>
    <xf numFmtId="0" fontId="10" fillId="0" borderId="17" xfId="5" applyFont="1" applyBorder="1" applyAlignment="1">
      <alignment horizontal="centerContinuous"/>
    </xf>
    <xf numFmtId="0" fontId="10" fillId="0" borderId="19" xfId="5" applyFont="1" applyBorder="1" applyAlignment="1">
      <alignment horizontal="centerContinuous"/>
    </xf>
    <xf numFmtId="0" fontId="21" fillId="0" borderId="18" xfId="5" applyFont="1" applyBorder="1" applyAlignment="1">
      <alignment horizontal="centerContinuous"/>
    </xf>
    <xf numFmtId="4" fontId="10" fillId="0" borderId="20" xfId="5" applyNumberFormat="1" applyFont="1" applyBorder="1"/>
    <xf numFmtId="0" fontId="28" fillId="0" borderId="0" xfId="5" applyFont="1" applyAlignment="1">
      <alignment vertical="center"/>
    </xf>
    <xf numFmtId="0" fontId="10" fillId="0" borderId="17" xfId="5" applyFont="1" applyBorder="1" applyAlignment="1">
      <alignment horizontal="center"/>
    </xf>
    <xf numFmtId="0" fontId="10" fillId="0" borderId="19" xfId="5" applyFont="1" applyBorder="1" applyAlignment="1">
      <alignment horizontal="center"/>
    </xf>
    <xf numFmtId="3" fontId="21" fillId="0" borderId="0" xfId="5" applyNumberFormat="1" applyFont="1"/>
    <xf numFmtId="4" fontId="21" fillId="0" borderId="0" xfId="5" applyNumberFormat="1" applyFont="1"/>
    <xf numFmtId="0" fontId="0" fillId="0" borderId="0" xfId="0" applyFont="1" applyAlignment="1">
      <alignment vertical="center"/>
    </xf>
    <xf numFmtId="0" fontId="17" fillId="0" borderId="43" xfId="0" applyFont="1" applyBorder="1" applyAlignment="1">
      <alignment vertical="center" wrapText="1"/>
    </xf>
    <xf numFmtId="3" fontId="0" fillId="0" borderId="43" xfId="0" applyNumberFormat="1" applyFont="1" applyBorder="1" applyAlignment="1">
      <alignment vertical="center"/>
    </xf>
    <xf numFmtId="0" fontId="0" fillId="0" borderId="3" xfId="0" applyFont="1" applyBorder="1" applyAlignment="1">
      <alignment horizontal="center" vertical="center"/>
    </xf>
    <xf numFmtId="4" fontId="0" fillId="0" borderId="1" xfId="0" applyNumberFormat="1" applyFont="1" applyBorder="1" applyAlignment="1">
      <alignment vertical="center"/>
    </xf>
    <xf numFmtId="4" fontId="0" fillId="0" borderId="3" xfId="0" applyNumberFormat="1" applyFont="1" applyBorder="1" applyAlignment="1">
      <alignment vertical="center"/>
    </xf>
    <xf numFmtId="4" fontId="0" fillId="0" borderId="3" xfId="0" applyNumberFormat="1" applyFont="1" applyBorder="1" applyAlignment="1">
      <alignment vertical="top"/>
    </xf>
    <xf numFmtId="4" fontId="0" fillId="0" borderId="3" xfId="0" applyNumberFormat="1" applyFont="1" applyBorder="1" applyAlignment="1">
      <alignment horizontal="right" vertical="center"/>
    </xf>
    <xf numFmtId="0" fontId="0" fillId="0" borderId="3" xfId="0" applyFont="1" applyBorder="1" applyAlignment="1">
      <alignment horizontal="center" vertical="top"/>
    </xf>
    <xf numFmtId="0" fontId="0" fillId="0" borderId="5" xfId="0" applyFont="1" applyBorder="1" applyAlignment="1">
      <alignment horizontal="center" vertical="top"/>
    </xf>
    <xf numFmtId="4" fontId="0" fillId="0" borderId="5" xfId="0" applyNumberFormat="1" applyFont="1" applyBorder="1" applyAlignment="1">
      <alignment vertical="top"/>
    </xf>
    <xf numFmtId="0" fontId="0" fillId="0" borderId="20" xfId="0" applyFont="1" applyBorder="1" applyAlignment="1">
      <alignment vertical="center"/>
    </xf>
    <xf numFmtId="4" fontId="0" fillId="0" borderId="20" xfId="0" applyNumberFormat="1" applyFont="1" applyBorder="1" applyAlignment="1">
      <alignment vertical="center"/>
    </xf>
    <xf numFmtId="0" fontId="0" fillId="0" borderId="5" xfId="0" applyFont="1" applyBorder="1" applyAlignment="1">
      <alignment horizontal="center" vertical="center"/>
    </xf>
    <xf numFmtId="4" fontId="0" fillId="0" borderId="5" xfId="0" applyNumberFormat="1" applyFont="1" applyBorder="1" applyAlignment="1">
      <alignment vertical="center"/>
    </xf>
    <xf numFmtId="4" fontId="0" fillId="0" borderId="5" xfId="0" applyNumberFormat="1" applyFont="1" applyBorder="1" applyAlignment="1">
      <alignment horizontal="right" vertical="center"/>
    </xf>
    <xf numFmtId="0" fontId="0" fillId="3" borderId="5" xfId="0" applyFont="1" applyFill="1" applyBorder="1" applyAlignment="1">
      <alignment vertical="center"/>
    </xf>
    <xf numFmtId="0" fontId="17" fillId="3" borderId="20" xfId="0" applyFont="1" applyFill="1" applyBorder="1" applyAlignment="1">
      <alignment horizontal="left" vertical="center" indent="2"/>
    </xf>
    <xf numFmtId="4" fontId="17" fillId="3" borderId="5" xfId="0" applyNumberFormat="1" applyFont="1" applyFill="1" applyBorder="1" applyAlignment="1">
      <alignment vertical="center"/>
    </xf>
    <xf numFmtId="0" fontId="0" fillId="3" borderId="0" xfId="0" applyFont="1" applyFill="1"/>
    <xf numFmtId="0" fontId="8" fillId="0" borderId="0" xfId="0" applyFont="1"/>
    <xf numFmtId="0" fontId="11" fillId="0" borderId="0" xfId="0" applyFont="1" applyAlignment="1">
      <alignment vertical="center"/>
    </xf>
    <xf numFmtId="4" fontId="36" fillId="0" borderId="3" xfId="0" applyNumberFormat="1" applyFont="1" applyBorder="1" applyAlignment="1">
      <alignment vertical="center"/>
    </xf>
    <xf numFmtId="0" fontId="27" fillId="0" borderId="3" xfId="0" applyFont="1" applyBorder="1"/>
    <xf numFmtId="0" fontId="27" fillId="0" borderId="3" xfId="0" applyFont="1" applyBorder="1" applyAlignment="1">
      <alignment wrapText="1"/>
    </xf>
    <xf numFmtId="0" fontId="23" fillId="0" borderId="17" xfId="0" applyFont="1" applyBorder="1" applyAlignment="1">
      <alignment horizontal="center" vertical="center"/>
    </xf>
    <xf numFmtId="0" fontId="35" fillId="0" borderId="19" xfId="0" applyFont="1" applyBorder="1" applyAlignment="1">
      <alignment horizontal="right" vertical="center"/>
    </xf>
    <xf numFmtId="0" fontId="0" fillId="0" borderId="19" xfId="0" applyFont="1" applyBorder="1" applyAlignment="1">
      <alignment horizontal="center" vertical="center"/>
    </xf>
    <xf numFmtId="4" fontId="23" fillId="0" borderId="18" xfId="0" applyNumberFormat="1" applyFont="1" applyBorder="1" applyAlignment="1">
      <alignment vertical="center"/>
    </xf>
    <xf numFmtId="4" fontId="23" fillId="0" borderId="20" xfId="0" applyNumberFormat="1" applyFont="1" applyBorder="1" applyAlignment="1">
      <alignment vertical="center"/>
    </xf>
    <xf numFmtId="0" fontId="28" fillId="0" borderId="0" xfId="0" applyFont="1" applyAlignment="1">
      <alignment vertical="center"/>
    </xf>
    <xf numFmtId="4" fontId="0" fillId="0" borderId="0" xfId="0" applyNumberFormat="1" applyFont="1"/>
  </cellXfs>
  <cellStyles count="7">
    <cellStyle name="Dziesiętny" xfId="1" builtinId="3"/>
    <cellStyle name="Normalny" xfId="0" builtinId="0"/>
    <cellStyle name="Normalny 2" xfId="3" xr:uid="{73F055AA-FD06-4D35-A762-82C7CDB1C66B}"/>
    <cellStyle name="Normalny 3" xfId="4" xr:uid="{448543A7-F0C4-4362-A698-C642A4A9FEF0}"/>
    <cellStyle name="Normalny 3 2" xfId="5" xr:uid="{0897664C-8547-4A3F-9654-D6DC30E0D388}"/>
    <cellStyle name="Normalny 5" xfId="6" xr:uid="{BD8904F7-96D4-45B9-A20A-74E24A33390D}"/>
    <cellStyle name="Normalny_zal_Szczecin" xfId="2" xr:uid="{932CE30B-2D2A-46E3-B029-F719F47F8A9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C4E07C-FC9B-4A4A-9897-D5649E3E4CBD}">
  <dimension ref="A1:I894"/>
  <sheetViews>
    <sheetView tabSelected="1" zoomScale="130" zoomScaleNormal="130" workbookViewId="0"/>
  </sheetViews>
  <sheetFormatPr defaultRowHeight="15" x14ac:dyDescent="0.25"/>
  <cols>
    <col min="1" max="1" width="4.140625" style="385" customWidth="1"/>
    <col min="2" max="2" width="6" style="385" customWidth="1"/>
    <col min="3" max="3" width="5" style="385" customWidth="1"/>
    <col min="4" max="4" width="39.5703125" style="385" customWidth="1"/>
    <col min="5" max="5" width="13" style="385" customWidth="1"/>
    <col min="6" max="6" width="10.5703125" style="385" customWidth="1"/>
    <col min="7" max="7" width="10.28515625" style="385" customWidth="1"/>
    <col min="8" max="8" width="13" style="385" customWidth="1"/>
    <col min="9" max="9" width="10.28515625" style="385" customWidth="1"/>
    <col min="10" max="16384" width="9.140625" style="385"/>
  </cols>
  <sheetData>
    <row r="1" spans="1:8" ht="12.75" customHeight="1" x14ac:dyDescent="0.25">
      <c r="A1" s="1"/>
      <c r="B1" s="1"/>
      <c r="C1" s="2"/>
      <c r="D1" s="3"/>
      <c r="E1" s="3"/>
      <c r="F1" s="3" t="s">
        <v>0</v>
      </c>
      <c r="G1" s="1"/>
      <c r="H1" s="1"/>
    </row>
    <row r="2" spans="1:8" ht="12.75" customHeight="1" x14ac:dyDescent="0.25">
      <c r="A2" s="1"/>
      <c r="B2" s="1"/>
      <c r="C2" s="2"/>
      <c r="D2" s="3"/>
      <c r="E2" s="3"/>
      <c r="F2" s="3" t="s">
        <v>258</v>
      </c>
      <c r="G2" s="1"/>
      <c r="H2" s="1"/>
    </row>
    <row r="3" spans="1:8" ht="12.75" customHeight="1" x14ac:dyDescent="0.25">
      <c r="A3" s="1"/>
      <c r="B3" s="1"/>
      <c r="C3" s="2"/>
      <c r="D3" s="3"/>
      <c r="E3" s="3"/>
      <c r="F3" s="3" t="s">
        <v>1</v>
      </c>
      <c r="G3" s="1"/>
      <c r="H3" s="1"/>
    </row>
    <row r="4" spans="1:8" ht="12.75" customHeight="1" x14ac:dyDescent="0.25">
      <c r="A4" s="1"/>
      <c r="B4" s="1"/>
      <c r="C4" s="2"/>
      <c r="D4" s="3"/>
      <c r="E4" s="3"/>
      <c r="F4" s="3" t="s">
        <v>259</v>
      </c>
      <c r="G4" s="1"/>
      <c r="H4" s="1"/>
    </row>
    <row r="5" spans="1:8" ht="36.75" customHeight="1" x14ac:dyDescent="0.25">
      <c r="A5" s="4" t="s">
        <v>2</v>
      </c>
      <c r="B5" s="386"/>
      <c r="C5" s="5"/>
      <c r="D5" s="5"/>
      <c r="E5" s="386"/>
      <c r="F5" s="386"/>
      <c r="G5" s="6"/>
      <c r="H5" s="386"/>
    </row>
    <row r="6" spans="1:8" ht="35.25" customHeight="1" x14ac:dyDescent="0.25">
      <c r="A6" s="1"/>
      <c r="B6" s="1"/>
      <c r="C6" s="2"/>
      <c r="D6" s="2"/>
      <c r="E6" s="7"/>
      <c r="F6" s="1"/>
      <c r="G6" s="8"/>
      <c r="H6" s="9" t="s">
        <v>3</v>
      </c>
    </row>
    <row r="7" spans="1:8" s="17" customFormat="1" ht="11.25" x14ac:dyDescent="0.2">
      <c r="A7" s="10"/>
      <c r="B7" s="10"/>
      <c r="C7" s="11"/>
      <c r="D7" s="12"/>
      <c r="E7" s="13" t="s">
        <v>4</v>
      </c>
      <c r="F7" s="14"/>
      <c r="G7" s="15"/>
      <c r="H7" s="13" t="s">
        <v>4</v>
      </c>
    </row>
    <row r="8" spans="1:8" s="17" customFormat="1" ht="11.25" x14ac:dyDescent="0.2">
      <c r="A8" s="18" t="s">
        <v>5</v>
      </c>
      <c r="B8" s="18" t="s">
        <v>6</v>
      </c>
      <c r="C8" s="19" t="s">
        <v>7</v>
      </c>
      <c r="D8" s="20" t="s">
        <v>8</v>
      </c>
      <c r="E8" s="18" t="s">
        <v>9</v>
      </c>
      <c r="F8" s="21" t="s">
        <v>10</v>
      </c>
      <c r="G8" s="18" t="s">
        <v>11</v>
      </c>
      <c r="H8" s="18" t="s">
        <v>12</v>
      </c>
    </row>
    <row r="9" spans="1:8" s="17" customFormat="1" ht="4.5" customHeight="1" x14ac:dyDescent="0.2">
      <c r="A9" s="22"/>
      <c r="B9" s="22"/>
      <c r="C9" s="23"/>
      <c r="D9" s="24"/>
      <c r="E9" s="22"/>
      <c r="F9" s="25"/>
      <c r="G9" s="25"/>
      <c r="H9" s="22"/>
    </row>
    <row r="10" spans="1:8" s="17" customFormat="1" ht="21" customHeight="1" thickBot="1" x14ac:dyDescent="0.25">
      <c r="A10" s="26"/>
      <c r="B10" s="26"/>
      <c r="C10" s="27"/>
      <c r="D10" s="28" t="s">
        <v>13</v>
      </c>
      <c r="E10" s="29">
        <v>808365739.38999975</v>
      </c>
      <c r="F10" s="29">
        <f>SUM(F11,F48,F100)</f>
        <v>6619247.1699999999</v>
      </c>
      <c r="G10" s="29">
        <f>SUM(G11,G48,G100)</f>
        <v>3072930.76</v>
      </c>
      <c r="H10" s="29">
        <f t="shared" ref="H10:H15" si="0">SUM(E10+F10-G10)</f>
        <v>811912055.79999971</v>
      </c>
    </row>
    <row r="11" spans="1:8" s="17" customFormat="1" ht="21.75" customHeight="1" thickBot="1" x14ac:dyDescent="0.25">
      <c r="A11" s="26"/>
      <c r="B11" s="26"/>
      <c r="C11" s="27"/>
      <c r="D11" s="30" t="s">
        <v>14</v>
      </c>
      <c r="E11" s="31">
        <v>706236541.9799999</v>
      </c>
      <c r="F11" s="31">
        <f>SUM(F12,F16,F21,F38,F43)</f>
        <v>1575194</v>
      </c>
      <c r="G11" s="31">
        <f>SUM(G12,G16,G21,G38,G43)</f>
        <v>924022</v>
      </c>
      <c r="H11" s="31">
        <f t="shared" si="0"/>
        <v>706887713.9799999</v>
      </c>
    </row>
    <row r="12" spans="1:8" s="17" customFormat="1" ht="21.75" customHeight="1" thickTop="1" thickBot="1" x14ac:dyDescent="0.25">
      <c r="A12" s="32">
        <v>710</v>
      </c>
      <c r="B12" s="33"/>
      <c r="C12" s="34"/>
      <c r="D12" s="35" t="s">
        <v>15</v>
      </c>
      <c r="E12" s="31">
        <v>2597100</v>
      </c>
      <c r="F12" s="36">
        <f>SUM(F13)</f>
        <v>10000</v>
      </c>
      <c r="G12" s="36">
        <f>SUM(G13)</f>
        <v>0</v>
      </c>
      <c r="H12" s="31">
        <f t="shared" si="0"/>
        <v>2607100</v>
      </c>
    </row>
    <row r="13" spans="1:8" s="17" customFormat="1" ht="12" customHeight="1" thickTop="1" x14ac:dyDescent="0.2">
      <c r="A13" s="21"/>
      <c r="B13" s="27" t="s">
        <v>16</v>
      </c>
      <c r="C13" s="37"/>
      <c r="D13" s="38" t="s">
        <v>17</v>
      </c>
      <c r="E13" s="39">
        <v>2209000</v>
      </c>
      <c r="F13" s="40">
        <f>SUM(F15)</f>
        <v>10000</v>
      </c>
      <c r="G13" s="40">
        <f>SUM(G15)</f>
        <v>0</v>
      </c>
      <c r="H13" s="39">
        <f t="shared" si="0"/>
        <v>2219000</v>
      </c>
    </row>
    <row r="14" spans="1:8" s="17" customFormat="1" ht="12" customHeight="1" x14ac:dyDescent="0.2">
      <c r="A14" s="26"/>
      <c r="B14" s="26"/>
      <c r="C14" s="27"/>
      <c r="D14" s="387" t="s">
        <v>18</v>
      </c>
      <c r="E14" s="115">
        <v>9000</v>
      </c>
      <c r="F14" s="388">
        <f>SUM(F15:F15)</f>
        <v>10000</v>
      </c>
      <c r="G14" s="388">
        <f>SUM(G15:G15)</f>
        <v>0</v>
      </c>
      <c r="H14" s="115">
        <f t="shared" si="0"/>
        <v>19000</v>
      </c>
    </row>
    <row r="15" spans="1:8" s="17" customFormat="1" ht="33.75" customHeight="1" x14ac:dyDescent="0.2">
      <c r="A15" s="26"/>
      <c r="B15" s="26"/>
      <c r="C15" s="41" t="s">
        <v>19</v>
      </c>
      <c r="D15" s="42" t="s">
        <v>20</v>
      </c>
      <c r="E15" s="43">
        <v>9000</v>
      </c>
      <c r="F15" s="44">
        <v>10000</v>
      </c>
      <c r="G15" s="45"/>
      <c r="H15" s="43">
        <f t="shared" si="0"/>
        <v>19000</v>
      </c>
    </row>
    <row r="16" spans="1:8" s="17" customFormat="1" ht="12" customHeight="1" thickBot="1" x14ac:dyDescent="0.25">
      <c r="A16" s="46">
        <v>758</v>
      </c>
      <c r="B16" s="18"/>
      <c r="C16" s="18"/>
      <c r="D16" s="47" t="s">
        <v>21</v>
      </c>
      <c r="E16" s="31">
        <v>196926673.31</v>
      </c>
      <c r="F16" s="36">
        <f>SUM(F17)</f>
        <v>1046690</v>
      </c>
      <c r="G16" s="36">
        <f t="shared" ref="F16:G17" si="1">SUM(G17)</f>
        <v>832551</v>
      </c>
      <c r="H16" s="31">
        <f t="shared" ref="H16:H20" si="2">SUM(E16+F16-G16)</f>
        <v>197140812.31</v>
      </c>
    </row>
    <row r="17" spans="1:8" s="17" customFormat="1" ht="12" customHeight="1" thickTop="1" x14ac:dyDescent="0.2">
      <c r="A17" s="46"/>
      <c r="B17" s="27" t="s">
        <v>22</v>
      </c>
      <c r="C17" s="37"/>
      <c r="D17" s="38" t="s">
        <v>23</v>
      </c>
      <c r="E17" s="39">
        <v>1623106.31</v>
      </c>
      <c r="F17" s="40">
        <f t="shared" si="1"/>
        <v>1046690</v>
      </c>
      <c r="G17" s="40">
        <f t="shared" si="1"/>
        <v>832551</v>
      </c>
      <c r="H17" s="39">
        <f t="shared" si="2"/>
        <v>1837245.31</v>
      </c>
    </row>
    <row r="18" spans="1:8" s="17" customFormat="1" ht="21.75" customHeight="1" x14ac:dyDescent="0.2">
      <c r="A18" s="26"/>
      <c r="B18" s="48"/>
      <c r="C18" s="27"/>
      <c r="D18" s="389" t="s">
        <v>24</v>
      </c>
      <c r="E18" s="115">
        <v>832551</v>
      </c>
      <c r="F18" s="388">
        <f>SUM(F19:F20)</f>
        <v>1046690</v>
      </c>
      <c r="G18" s="388">
        <f>SUM(G19:G20)</f>
        <v>832551</v>
      </c>
      <c r="H18" s="115">
        <f t="shared" si="2"/>
        <v>1046690</v>
      </c>
    </row>
    <row r="19" spans="1:8" s="17" customFormat="1" ht="33.75" customHeight="1" x14ac:dyDescent="0.2">
      <c r="A19" s="26"/>
      <c r="B19" s="48"/>
      <c r="C19" s="41" t="s">
        <v>25</v>
      </c>
      <c r="D19" s="49" t="s">
        <v>26</v>
      </c>
      <c r="E19" s="43">
        <v>0</v>
      </c>
      <c r="F19" s="43">
        <f>19787+194352+832551</f>
        <v>1046690</v>
      </c>
      <c r="G19" s="44"/>
      <c r="H19" s="43">
        <f t="shared" ref="H19" si="3">SUM(E19+F19-G19)</f>
        <v>1046690</v>
      </c>
    </row>
    <row r="20" spans="1:8" s="17" customFormat="1" ht="45.75" customHeight="1" x14ac:dyDescent="0.2">
      <c r="A20" s="26"/>
      <c r="B20" s="37"/>
      <c r="C20" s="41" t="s">
        <v>27</v>
      </c>
      <c r="D20" s="49" t="s">
        <v>28</v>
      </c>
      <c r="E20" s="50">
        <v>832551</v>
      </c>
      <c r="F20" s="50"/>
      <c r="G20" s="50">
        <v>832551</v>
      </c>
      <c r="H20" s="51">
        <f t="shared" si="2"/>
        <v>0</v>
      </c>
    </row>
    <row r="21" spans="1:8" s="17" customFormat="1" ht="12" customHeight="1" thickBot="1" x14ac:dyDescent="0.25">
      <c r="A21" s="32">
        <v>801</v>
      </c>
      <c r="B21" s="33"/>
      <c r="C21" s="34"/>
      <c r="D21" s="35" t="s">
        <v>29</v>
      </c>
      <c r="E21" s="31">
        <v>24376953.59</v>
      </c>
      <c r="F21" s="36">
        <f>SUM(F22,F25,F28,F31,F35)</f>
        <v>431007</v>
      </c>
      <c r="G21" s="36">
        <f>SUM(G22,G25,G28,G31,G35)</f>
        <v>9551</v>
      </c>
      <c r="H21" s="31">
        <f t="shared" ref="H21:H37" si="4">SUM(E21+F21-G21)</f>
        <v>24798409.59</v>
      </c>
    </row>
    <row r="22" spans="1:8" s="17" customFormat="1" ht="12" customHeight="1" thickTop="1" x14ac:dyDescent="0.2">
      <c r="A22" s="32"/>
      <c r="B22" s="52">
        <v>80101</v>
      </c>
      <c r="C22" s="27"/>
      <c r="D22" s="38" t="s">
        <v>30</v>
      </c>
      <c r="E22" s="39">
        <v>59814.99</v>
      </c>
      <c r="F22" s="40">
        <f t="shared" ref="F22:G22" si="5">SUM(F23)</f>
        <v>175000</v>
      </c>
      <c r="G22" s="40">
        <f t="shared" si="5"/>
        <v>0</v>
      </c>
      <c r="H22" s="39">
        <f>SUM(E22+F22-G22)</f>
        <v>234814.99</v>
      </c>
    </row>
    <row r="23" spans="1:8" s="17" customFormat="1" ht="12" customHeight="1" x14ac:dyDescent="0.2">
      <c r="A23" s="32"/>
      <c r="B23" s="53"/>
      <c r="C23" s="54"/>
      <c r="D23" s="390" t="s">
        <v>18</v>
      </c>
      <c r="E23" s="115">
        <v>0</v>
      </c>
      <c r="F23" s="388">
        <f>SUM(F24:F24)</f>
        <v>175000</v>
      </c>
      <c r="G23" s="388">
        <f>SUM(G24:G24)</f>
        <v>0</v>
      </c>
      <c r="H23" s="115">
        <f>SUM(E23+F23-G23)</f>
        <v>175000</v>
      </c>
    </row>
    <row r="24" spans="1:8" s="17" customFormat="1" ht="35.25" customHeight="1" x14ac:dyDescent="0.2">
      <c r="A24" s="32"/>
      <c r="B24" s="32"/>
      <c r="C24" s="41" t="s">
        <v>31</v>
      </c>
      <c r="D24" s="49" t="s">
        <v>32</v>
      </c>
      <c r="E24" s="43">
        <v>0</v>
      </c>
      <c r="F24" s="43">
        <v>175000</v>
      </c>
      <c r="G24" s="44"/>
      <c r="H24" s="43">
        <f t="shared" ref="H24" si="6">SUM(E24+F24-G24)</f>
        <v>175000</v>
      </c>
    </row>
    <row r="25" spans="1:8" s="17" customFormat="1" ht="12" customHeight="1" x14ac:dyDescent="0.2">
      <c r="A25" s="32"/>
      <c r="B25" s="52">
        <v>80117</v>
      </c>
      <c r="C25" s="27"/>
      <c r="D25" s="38" t="s">
        <v>33</v>
      </c>
      <c r="E25" s="39">
        <v>0</v>
      </c>
      <c r="F25" s="40">
        <f t="shared" ref="F25:G25" si="7">SUM(F26)</f>
        <v>42000</v>
      </c>
      <c r="G25" s="40">
        <f t="shared" si="7"/>
        <v>0</v>
      </c>
      <c r="H25" s="39">
        <f>SUM(E25+F25-G25)</f>
        <v>42000</v>
      </c>
    </row>
    <row r="26" spans="1:8" s="17" customFormat="1" ht="12" customHeight="1" x14ac:dyDescent="0.2">
      <c r="A26" s="32"/>
      <c r="B26" s="53"/>
      <c r="C26" s="54"/>
      <c r="D26" s="390" t="s">
        <v>18</v>
      </c>
      <c r="E26" s="115">
        <v>0</v>
      </c>
      <c r="F26" s="388">
        <f>SUM(F27:F27)</f>
        <v>42000</v>
      </c>
      <c r="G26" s="388">
        <f>SUM(G27:G27)</f>
        <v>0</v>
      </c>
      <c r="H26" s="115">
        <f>SUM(E26+F26-G26)</f>
        <v>42000</v>
      </c>
    </row>
    <row r="27" spans="1:8" s="17" customFormat="1" ht="21.75" customHeight="1" x14ac:dyDescent="0.2">
      <c r="A27" s="32"/>
      <c r="B27" s="32"/>
      <c r="C27" s="41" t="s">
        <v>34</v>
      </c>
      <c r="D27" s="42" t="s">
        <v>35</v>
      </c>
      <c r="E27" s="43">
        <v>0</v>
      </c>
      <c r="F27" s="43">
        <v>42000</v>
      </c>
      <c r="G27" s="44"/>
      <c r="H27" s="43">
        <f t="shared" ref="H27" si="8">SUM(E27+F27-G27)</f>
        <v>42000</v>
      </c>
    </row>
    <row r="28" spans="1:8" s="17" customFormat="1" ht="12" customHeight="1" x14ac:dyDescent="0.2">
      <c r="A28" s="32"/>
      <c r="B28" s="55">
        <v>80120</v>
      </c>
      <c r="C28" s="56"/>
      <c r="D28" s="57" t="s">
        <v>36</v>
      </c>
      <c r="E28" s="39">
        <v>24316.55</v>
      </c>
      <c r="F28" s="40">
        <f t="shared" ref="F28:G28" si="9">SUM(F29)</f>
        <v>14000</v>
      </c>
      <c r="G28" s="40">
        <f t="shared" si="9"/>
        <v>0</v>
      </c>
      <c r="H28" s="39">
        <f>SUM(E28+F28-G28)</f>
        <v>38316.550000000003</v>
      </c>
    </row>
    <row r="29" spans="1:8" s="17" customFormat="1" ht="12" customHeight="1" x14ac:dyDescent="0.2">
      <c r="A29" s="32"/>
      <c r="B29" s="58"/>
      <c r="C29" s="54"/>
      <c r="D29" s="390" t="s">
        <v>18</v>
      </c>
      <c r="E29" s="115">
        <v>12000</v>
      </c>
      <c r="F29" s="388">
        <f>SUM(F30:F30)</f>
        <v>14000</v>
      </c>
      <c r="G29" s="388">
        <f>SUM(G30:G30)</f>
        <v>0</v>
      </c>
      <c r="H29" s="115">
        <f>SUM(E29+F29-G29)</f>
        <v>26000</v>
      </c>
    </row>
    <row r="30" spans="1:8" s="17" customFormat="1" ht="23.25" customHeight="1" x14ac:dyDescent="0.2">
      <c r="A30" s="32"/>
      <c r="B30" s="33"/>
      <c r="C30" s="41" t="s">
        <v>34</v>
      </c>
      <c r="D30" s="42" t="s">
        <v>35</v>
      </c>
      <c r="E30" s="43">
        <v>12000</v>
      </c>
      <c r="F30" s="43">
        <v>14000</v>
      </c>
      <c r="G30" s="44"/>
      <c r="H30" s="43">
        <f t="shared" ref="H30" si="10">SUM(E30+F30-G30)</f>
        <v>26000</v>
      </c>
    </row>
    <row r="31" spans="1:8" s="17" customFormat="1" ht="12" customHeight="1" x14ac:dyDescent="0.2">
      <c r="A31" s="32"/>
      <c r="B31" s="59">
        <v>80146</v>
      </c>
      <c r="C31" s="60"/>
      <c r="D31" s="38" t="s">
        <v>37</v>
      </c>
      <c r="E31" s="39">
        <v>316233</v>
      </c>
      <c r="F31" s="40">
        <f t="shared" ref="F31:G31" si="11">SUM(F32)</f>
        <v>7</v>
      </c>
      <c r="G31" s="40">
        <f t="shared" si="11"/>
        <v>9551</v>
      </c>
      <c r="H31" s="39">
        <f>SUM(E31+F31-G31)</f>
        <v>306689</v>
      </c>
    </row>
    <row r="32" spans="1:8" s="17" customFormat="1" ht="12" customHeight="1" x14ac:dyDescent="0.2">
      <c r="A32" s="32"/>
      <c r="B32" s="58"/>
      <c r="C32" s="54"/>
      <c r="D32" s="390" t="s">
        <v>18</v>
      </c>
      <c r="E32" s="115">
        <v>316233</v>
      </c>
      <c r="F32" s="388">
        <f>SUM(F33:F34)</f>
        <v>7</v>
      </c>
      <c r="G32" s="388">
        <f>SUM(G33:G34)</f>
        <v>9551</v>
      </c>
      <c r="H32" s="115">
        <f>SUM(E32+F32-G32)</f>
        <v>306689</v>
      </c>
    </row>
    <row r="33" spans="1:8" s="17" customFormat="1" ht="33.75" customHeight="1" x14ac:dyDescent="0.2">
      <c r="A33" s="32"/>
      <c r="B33" s="33"/>
      <c r="C33" s="41" t="s">
        <v>19</v>
      </c>
      <c r="D33" s="42" t="s">
        <v>20</v>
      </c>
      <c r="E33" s="43">
        <v>13423</v>
      </c>
      <c r="F33" s="43">
        <v>7</v>
      </c>
      <c r="G33" s="44"/>
      <c r="H33" s="43">
        <f t="shared" ref="H33:H34" si="12">SUM(E33+F33-G33)</f>
        <v>13430</v>
      </c>
    </row>
    <row r="34" spans="1:8" s="17" customFormat="1" ht="33.75" customHeight="1" x14ac:dyDescent="0.2">
      <c r="A34" s="32"/>
      <c r="B34" s="33"/>
      <c r="C34" s="41" t="s">
        <v>38</v>
      </c>
      <c r="D34" s="42" t="s">
        <v>39</v>
      </c>
      <c r="E34" s="43">
        <v>302810</v>
      </c>
      <c r="F34" s="43"/>
      <c r="G34" s="44">
        <v>9551</v>
      </c>
      <c r="H34" s="43">
        <f t="shared" si="12"/>
        <v>293259</v>
      </c>
    </row>
    <row r="35" spans="1:8" s="17" customFormat="1" ht="12" customHeight="1" x14ac:dyDescent="0.2">
      <c r="A35" s="32"/>
      <c r="B35" s="52">
        <v>80195</v>
      </c>
      <c r="C35" s="27"/>
      <c r="D35" s="38" t="s">
        <v>40</v>
      </c>
      <c r="E35" s="39">
        <v>17886631.509999998</v>
      </c>
      <c r="F35" s="40">
        <f>SUM(F36)</f>
        <v>200000</v>
      </c>
      <c r="G35" s="40">
        <f>SUM(G36)</f>
        <v>0</v>
      </c>
      <c r="H35" s="39">
        <f t="shared" si="4"/>
        <v>18086631.509999998</v>
      </c>
    </row>
    <row r="36" spans="1:8" s="17" customFormat="1" ht="21.75" customHeight="1" x14ac:dyDescent="0.2">
      <c r="A36" s="32"/>
      <c r="B36" s="52"/>
      <c r="C36" s="60"/>
      <c r="D36" s="390" t="s">
        <v>41</v>
      </c>
      <c r="E36" s="115">
        <v>248915</v>
      </c>
      <c r="F36" s="388">
        <f>SUM(F37:F37)</f>
        <v>200000</v>
      </c>
      <c r="G36" s="388">
        <f>SUM(G37:G37)</f>
        <v>0</v>
      </c>
      <c r="H36" s="115">
        <f t="shared" si="4"/>
        <v>448915</v>
      </c>
    </row>
    <row r="37" spans="1:8" s="17" customFormat="1" ht="56.25" customHeight="1" x14ac:dyDescent="0.2">
      <c r="A37" s="61"/>
      <c r="B37" s="62"/>
      <c r="C37" s="63" t="s">
        <v>42</v>
      </c>
      <c r="D37" s="64" t="s">
        <v>43</v>
      </c>
      <c r="E37" s="39">
        <v>248915</v>
      </c>
      <c r="F37" s="39">
        <v>200000</v>
      </c>
      <c r="G37" s="40"/>
      <c r="H37" s="39">
        <f t="shared" si="4"/>
        <v>448915</v>
      </c>
    </row>
    <row r="38" spans="1:8" s="17" customFormat="1" ht="12" customHeight="1" thickBot="1" x14ac:dyDescent="0.25">
      <c r="A38" s="33">
        <v>852</v>
      </c>
      <c r="B38" s="33"/>
      <c r="C38" s="34"/>
      <c r="D38" s="35" t="s">
        <v>44</v>
      </c>
      <c r="E38" s="31">
        <v>23957305.02</v>
      </c>
      <c r="F38" s="36">
        <f>SUM(F39)</f>
        <v>51125</v>
      </c>
      <c r="G38" s="36">
        <f>SUM(G39)</f>
        <v>51125</v>
      </c>
      <c r="H38" s="31">
        <f t="shared" ref="H38" si="13">SUM(E38+F38-G38)</f>
        <v>23957305.02</v>
      </c>
    </row>
    <row r="39" spans="1:8" s="17" customFormat="1" ht="12" customHeight="1" thickTop="1" x14ac:dyDescent="0.2">
      <c r="A39" s="33"/>
      <c r="B39" s="52">
        <v>85230</v>
      </c>
      <c r="C39" s="27"/>
      <c r="D39" s="38" t="s">
        <v>45</v>
      </c>
      <c r="E39" s="39">
        <v>4506848</v>
      </c>
      <c r="F39" s="40">
        <f t="shared" ref="F39:G39" si="14">SUM(F40)</f>
        <v>51125</v>
      </c>
      <c r="G39" s="40">
        <f t="shared" si="14"/>
        <v>51125</v>
      </c>
      <c r="H39" s="39">
        <f>SUM(E39+F39-G39)</f>
        <v>4506848</v>
      </c>
    </row>
    <row r="40" spans="1:8" s="17" customFormat="1" ht="21" customHeight="1" x14ac:dyDescent="0.2">
      <c r="A40" s="33"/>
      <c r="B40" s="33"/>
      <c r="C40" s="60"/>
      <c r="D40" s="390" t="s">
        <v>46</v>
      </c>
      <c r="E40" s="115">
        <v>51125</v>
      </c>
      <c r="F40" s="388">
        <f>SUM(F41:F42)</f>
        <v>51125</v>
      </c>
      <c r="G40" s="388">
        <f>SUM(G41:G42)</f>
        <v>51125</v>
      </c>
      <c r="H40" s="115">
        <f t="shared" ref="H40:H42" si="15">SUM(E40+F40-G40)</f>
        <v>51125</v>
      </c>
    </row>
    <row r="41" spans="1:8" s="17" customFormat="1" ht="33" customHeight="1" x14ac:dyDescent="0.2">
      <c r="A41" s="33"/>
      <c r="B41" s="33"/>
      <c r="C41" s="41" t="s">
        <v>25</v>
      </c>
      <c r="D41" s="49" t="s">
        <v>26</v>
      </c>
      <c r="E41" s="43">
        <v>0</v>
      </c>
      <c r="F41" s="43">
        <v>51125</v>
      </c>
      <c r="G41" s="44"/>
      <c r="H41" s="43">
        <f t="shared" si="15"/>
        <v>51125</v>
      </c>
    </row>
    <row r="42" spans="1:8" s="17" customFormat="1" ht="44.25" customHeight="1" x14ac:dyDescent="0.2">
      <c r="A42" s="33"/>
      <c r="B42" s="33"/>
      <c r="C42" s="41" t="s">
        <v>27</v>
      </c>
      <c r="D42" s="49" t="s">
        <v>28</v>
      </c>
      <c r="E42" s="43">
        <v>51125</v>
      </c>
      <c r="F42" s="43"/>
      <c r="G42" s="44">
        <v>51125</v>
      </c>
      <c r="H42" s="43">
        <f t="shared" si="15"/>
        <v>0</v>
      </c>
    </row>
    <row r="43" spans="1:8" s="17" customFormat="1" ht="12" customHeight="1" thickBot="1" x14ac:dyDescent="0.25">
      <c r="A43" s="33">
        <v>855</v>
      </c>
      <c r="B43" s="33"/>
      <c r="C43" s="34"/>
      <c r="D43" s="35" t="s">
        <v>47</v>
      </c>
      <c r="E43" s="36">
        <v>1991233</v>
      </c>
      <c r="F43" s="36">
        <f>SUM(F44)</f>
        <v>36372</v>
      </c>
      <c r="G43" s="36">
        <f>SUM(G44)</f>
        <v>30795</v>
      </c>
      <c r="H43" s="36">
        <f>SUM(E43+F43-G43)</f>
        <v>1996810</v>
      </c>
    </row>
    <row r="44" spans="1:8" s="17" customFormat="1" ht="31.9" customHeight="1" thickTop="1" x14ac:dyDescent="0.2">
      <c r="A44" s="65"/>
      <c r="B44" s="66">
        <v>85502</v>
      </c>
      <c r="C44" s="27"/>
      <c r="D44" s="67" t="s">
        <v>48</v>
      </c>
      <c r="E44" s="39">
        <v>456548</v>
      </c>
      <c r="F44" s="40">
        <f t="shared" ref="F44:G44" si="16">SUM(F45)</f>
        <v>36372</v>
      </c>
      <c r="G44" s="40">
        <f t="shared" si="16"/>
        <v>30795</v>
      </c>
      <c r="H44" s="39">
        <f>SUM(E44+F44-G44)</f>
        <v>462125</v>
      </c>
    </row>
    <row r="45" spans="1:8" s="17" customFormat="1" ht="12" customHeight="1" x14ac:dyDescent="0.2">
      <c r="A45" s="68"/>
      <c r="B45" s="33"/>
      <c r="C45" s="60"/>
      <c r="D45" s="390" t="s">
        <v>49</v>
      </c>
      <c r="E45" s="115">
        <v>25218</v>
      </c>
      <c r="F45" s="388">
        <f>SUM(F46:F47)</f>
        <v>36372</v>
      </c>
      <c r="G45" s="388">
        <f>SUM(G46:G47)</f>
        <v>30795</v>
      </c>
      <c r="H45" s="115">
        <f t="shared" ref="H45:H47" si="17">SUM(E45+F45-G45)</f>
        <v>30795</v>
      </c>
    </row>
    <row r="46" spans="1:8" s="17" customFormat="1" ht="33" customHeight="1" x14ac:dyDescent="0.2">
      <c r="A46" s="68"/>
      <c r="B46" s="33"/>
      <c r="C46" s="41" t="s">
        <v>25</v>
      </c>
      <c r="D46" s="49" t="s">
        <v>26</v>
      </c>
      <c r="E46" s="43">
        <v>0</v>
      </c>
      <c r="F46" s="43">
        <v>30795</v>
      </c>
      <c r="G46" s="44"/>
      <c r="H46" s="43">
        <f t="shared" si="17"/>
        <v>30795</v>
      </c>
    </row>
    <row r="47" spans="1:8" s="17" customFormat="1" ht="45.75" customHeight="1" x14ac:dyDescent="0.2">
      <c r="A47" s="68"/>
      <c r="B47" s="33"/>
      <c r="C47" s="41" t="s">
        <v>27</v>
      </c>
      <c r="D47" s="49" t="s">
        <v>28</v>
      </c>
      <c r="E47" s="43">
        <v>25218</v>
      </c>
      <c r="F47" s="43">
        <f>1281+4296</f>
        <v>5577</v>
      </c>
      <c r="G47" s="44">
        <v>30795</v>
      </c>
      <c r="H47" s="43">
        <f t="shared" si="17"/>
        <v>0</v>
      </c>
    </row>
    <row r="48" spans="1:8" s="17" customFormat="1" ht="21" customHeight="1" thickBot="1" x14ac:dyDescent="0.25">
      <c r="A48" s="26"/>
      <c r="B48" s="26"/>
      <c r="C48" s="27"/>
      <c r="D48" s="30" t="s">
        <v>50</v>
      </c>
      <c r="E48" s="31">
        <v>83016620.700000003</v>
      </c>
      <c r="F48" s="36">
        <f>SUM(F49,F54,F60,F68,F74,F81,F86)</f>
        <v>3816751.36</v>
      </c>
      <c r="G48" s="36">
        <f>SUM(G49,G54,G60,G68,G74,G81,G86)</f>
        <v>2142063.7599999998</v>
      </c>
      <c r="H48" s="31">
        <f t="shared" ref="H48:H117" si="18">SUM(E48+F48-G48)</f>
        <v>84691308.299999997</v>
      </c>
    </row>
    <row r="49" spans="1:8" s="17" customFormat="1" ht="20.45" customHeight="1" thickTop="1" thickBot="1" x14ac:dyDescent="0.25">
      <c r="A49" s="33">
        <v>600</v>
      </c>
      <c r="B49" s="33"/>
      <c r="C49" s="34"/>
      <c r="D49" s="35" t="s">
        <v>51</v>
      </c>
      <c r="E49" s="36">
        <v>295.87</v>
      </c>
      <c r="F49" s="36">
        <f t="shared" ref="F49:G50" si="19">SUM(F50)</f>
        <v>295.87</v>
      </c>
      <c r="G49" s="36">
        <f t="shared" si="19"/>
        <v>295.87</v>
      </c>
      <c r="H49" s="36">
        <f t="shared" ref="H49:H53" si="20">SUM(E49+F49-G49)</f>
        <v>295.87</v>
      </c>
    </row>
    <row r="50" spans="1:8" s="17" customFormat="1" ht="12" customHeight="1" thickTop="1" x14ac:dyDescent="0.2">
      <c r="A50" s="33"/>
      <c r="B50" s="37">
        <v>60095</v>
      </c>
      <c r="C50" s="37"/>
      <c r="D50" s="38" t="s">
        <v>40</v>
      </c>
      <c r="E50" s="39">
        <v>295.87</v>
      </c>
      <c r="F50" s="40">
        <f t="shared" si="19"/>
        <v>295.87</v>
      </c>
      <c r="G50" s="40">
        <f t="shared" si="19"/>
        <v>295.87</v>
      </c>
      <c r="H50" s="39">
        <f t="shared" si="20"/>
        <v>295.87</v>
      </c>
    </row>
    <row r="51" spans="1:8" s="17" customFormat="1" ht="21" customHeight="1" x14ac:dyDescent="0.2">
      <c r="A51" s="33"/>
      <c r="B51" s="52"/>
      <c r="C51" s="27"/>
      <c r="D51" s="390" t="s">
        <v>52</v>
      </c>
      <c r="E51" s="115">
        <v>295.87</v>
      </c>
      <c r="F51" s="388">
        <f>SUM(F52:F53)</f>
        <v>295.87</v>
      </c>
      <c r="G51" s="388">
        <f>SUM(G52:G53)</f>
        <v>295.87</v>
      </c>
      <c r="H51" s="115">
        <f t="shared" si="20"/>
        <v>295.87</v>
      </c>
    </row>
    <row r="52" spans="1:8" s="17" customFormat="1" ht="33" customHeight="1" x14ac:dyDescent="0.2">
      <c r="A52" s="33"/>
      <c r="B52" s="52"/>
      <c r="C52" s="41" t="s">
        <v>25</v>
      </c>
      <c r="D52" s="49" t="s">
        <v>26</v>
      </c>
      <c r="E52" s="43">
        <v>0</v>
      </c>
      <c r="F52" s="43">
        <v>295.87</v>
      </c>
      <c r="G52" s="44"/>
      <c r="H52" s="43">
        <f t="shared" si="20"/>
        <v>295.87</v>
      </c>
    </row>
    <row r="53" spans="1:8" s="17" customFormat="1" ht="45.75" customHeight="1" x14ac:dyDescent="0.2">
      <c r="A53" s="33"/>
      <c r="B53" s="33"/>
      <c r="C53" s="41" t="s">
        <v>27</v>
      </c>
      <c r="D53" s="49" t="s">
        <v>28</v>
      </c>
      <c r="E53" s="50">
        <v>295.87</v>
      </c>
      <c r="F53" s="43"/>
      <c r="G53" s="43">
        <v>295.87</v>
      </c>
      <c r="H53" s="50">
        <f t="shared" si="20"/>
        <v>0</v>
      </c>
    </row>
    <row r="54" spans="1:8" s="17" customFormat="1" ht="12" customHeight="1" thickBot="1" x14ac:dyDescent="0.25">
      <c r="A54" s="33">
        <v>750</v>
      </c>
      <c r="B54" s="33"/>
      <c r="C54" s="34"/>
      <c r="D54" s="35" t="s">
        <v>53</v>
      </c>
      <c r="E54" s="36">
        <v>1677049.8899999997</v>
      </c>
      <c r="F54" s="36">
        <f t="shared" ref="F54:G55" si="21">SUM(F55)</f>
        <v>14649.89</v>
      </c>
      <c r="G54" s="36">
        <f t="shared" si="21"/>
        <v>14649.89</v>
      </c>
      <c r="H54" s="36">
        <f t="shared" si="18"/>
        <v>1677049.8899999997</v>
      </c>
    </row>
    <row r="55" spans="1:8" s="17" customFormat="1" ht="12" customHeight="1" thickTop="1" x14ac:dyDescent="0.2">
      <c r="A55" s="33"/>
      <c r="B55" s="37">
        <v>75011</v>
      </c>
      <c r="C55" s="37"/>
      <c r="D55" s="69" t="s">
        <v>54</v>
      </c>
      <c r="E55" s="39">
        <v>1677049.8899999997</v>
      </c>
      <c r="F55" s="40">
        <f t="shared" si="21"/>
        <v>14649.89</v>
      </c>
      <c r="G55" s="40">
        <f t="shared" si="21"/>
        <v>14649.89</v>
      </c>
      <c r="H55" s="39">
        <f t="shared" si="18"/>
        <v>1677049.8899999997</v>
      </c>
    </row>
    <row r="56" spans="1:8" s="17" customFormat="1" ht="12" customHeight="1" x14ac:dyDescent="0.2">
      <c r="A56" s="33"/>
      <c r="B56" s="52"/>
      <c r="C56" s="27"/>
      <c r="D56" s="390" t="s">
        <v>55</v>
      </c>
      <c r="E56" s="115">
        <v>14649.89</v>
      </c>
      <c r="F56" s="388">
        <f>SUM(F57:F58)</f>
        <v>14649.89</v>
      </c>
      <c r="G56" s="388">
        <f>SUM(G57:G58)</f>
        <v>14649.89</v>
      </c>
      <c r="H56" s="115">
        <f t="shared" si="18"/>
        <v>14649.89</v>
      </c>
    </row>
    <row r="57" spans="1:8" s="17" customFormat="1" ht="32.25" customHeight="1" x14ac:dyDescent="0.2">
      <c r="A57" s="33"/>
      <c r="B57" s="52"/>
      <c r="C57" s="41" t="s">
        <v>25</v>
      </c>
      <c r="D57" s="49" t="s">
        <v>26</v>
      </c>
      <c r="E57" s="43">
        <v>0</v>
      </c>
      <c r="F57" s="43">
        <v>14649.89</v>
      </c>
      <c r="G57" s="44"/>
      <c r="H57" s="43">
        <f t="shared" si="18"/>
        <v>14649.89</v>
      </c>
    </row>
    <row r="58" spans="1:8" s="17" customFormat="1" ht="47.25" customHeight="1" x14ac:dyDescent="0.2">
      <c r="A58" s="33"/>
      <c r="B58" s="33"/>
      <c r="C58" s="41" t="s">
        <v>27</v>
      </c>
      <c r="D58" s="49" t="s">
        <v>28</v>
      </c>
      <c r="E58" s="50">
        <v>14649.89</v>
      </c>
      <c r="F58" s="43"/>
      <c r="G58" s="43">
        <v>14649.89</v>
      </c>
      <c r="H58" s="50">
        <f t="shared" si="18"/>
        <v>0</v>
      </c>
    </row>
    <row r="59" spans="1:8" s="17" customFormat="1" ht="12" customHeight="1" x14ac:dyDescent="0.2">
      <c r="A59" s="33">
        <v>754</v>
      </c>
      <c r="B59" s="33"/>
      <c r="C59" s="34"/>
      <c r="D59" s="35" t="s">
        <v>56</v>
      </c>
      <c r="E59" s="50"/>
      <c r="F59" s="43"/>
      <c r="G59" s="43"/>
      <c r="H59" s="50"/>
    </row>
    <row r="60" spans="1:8" s="17" customFormat="1" ht="12" customHeight="1" thickBot="1" x14ac:dyDescent="0.25">
      <c r="A60" s="33"/>
      <c r="B60" s="33"/>
      <c r="C60" s="34"/>
      <c r="D60" s="35" t="s">
        <v>57</v>
      </c>
      <c r="E60" s="36">
        <v>1807248</v>
      </c>
      <c r="F60" s="36">
        <f>SUM(F61)</f>
        <v>2110516</v>
      </c>
      <c r="G60" s="36">
        <f>SUM(G61)</f>
        <v>1811632</v>
      </c>
      <c r="H60" s="36">
        <f>SUM(E60+F60-G60)</f>
        <v>2106132</v>
      </c>
    </row>
    <row r="61" spans="1:8" s="17" customFormat="1" ht="12" customHeight="1" thickTop="1" x14ac:dyDescent="0.2">
      <c r="A61" s="52"/>
      <c r="B61" s="52">
        <v>75495</v>
      </c>
      <c r="C61" s="27"/>
      <c r="D61" s="38" t="s">
        <v>40</v>
      </c>
      <c r="E61" s="39">
        <v>1807248</v>
      </c>
      <c r="F61" s="40">
        <f>SUM(F62,F65)</f>
        <v>2110516</v>
      </c>
      <c r="G61" s="40">
        <f>SUM(G62,G65)</f>
        <v>1811632</v>
      </c>
      <c r="H61" s="39">
        <f>SUM(E61+F61-G61)</f>
        <v>2106132</v>
      </c>
    </row>
    <row r="62" spans="1:8" s="17" customFormat="1" ht="21" customHeight="1" x14ac:dyDescent="0.2">
      <c r="A62" s="52"/>
      <c r="B62" s="52"/>
      <c r="C62" s="60"/>
      <c r="D62" s="390" t="s">
        <v>58</v>
      </c>
      <c r="E62" s="115">
        <v>748440</v>
      </c>
      <c r="F62" s="388">
        <f>SUM(F63:F64)</f>
        <v>992940</v>
      </c>
      <c r="G62" s="388">
        <f>SUM(G63:G64)</f>
        <v>748440</v>
      </c>
      <c r="H62" s="115">
        <f t="shared" ref="H62:H67" si="22">SUM(E62+F62-G62)</f>
        <v>992940</v>
      </c>
    </row>
    <row r="63" spans="1:8" s="17" customFormat="1" ht="12" customHeight="1" x14ac:dyDescent="0.2">
      <c r="A63" s="52"/>
      <c r="B63" s="52"/>
      <c r="C63" s="41" t="s">
        <v>59</v>
      </c>
      <c r="D63" s="49" t="s">
        <v>60</v>
      </c>
      <c r="E63" s="43">
        <v>748440</v>
      </c>
      <c r="F63" s="43"/>
      <c r="G63" s="44">
        <v>748440</v>
      </c>
      <c r="H63" s="43">
        <f t="shared" si="22"/>
        <v>0</v>
      </c>
    </row>
    <row r="64" spans="1:8" s="17" customFormat="1" ht="33" customHeight="1" x14ac:dyDescent="0.2">
      <c r="A64" s="52"/>
      <c r="B64" s="52"/>
      <c r="C64" s="41" t="s">
        <v>25</v>
      </c>
      <c r="D64" s="49" t="s">
        <v>26</v>
      </c>
      <c r="E64" s="43">
        <v>0</v>
      </c>
      <c r="F64" s="43">
        <f>748440+244500</f>
        <v>992940</v>
      </c>
      <c r="G64" s="44"/>
      <c r="H64" s="43">
        <f t="shared" si="22"/>
        <v>992940</v>
      </c>
    </row>
    <row r="65" spans="1:8" s="17" customFormat="1" ht="21" customHeight="1" x14ac:dyDescent="0.2">
      <c r="A65" s="26"/>
      <c r="B65" s="26"/>
      <c r="C65" s="60"/>
      <c r="D65" s="390" t="s">
        <v>61</v>
      </c>
      <c r="E65" s="115">
        <v>1058808</v>
      </c>
      <c r="F65" s="388">
        <f>SUM(F66:F67)</f>
        <v>1117576</v>
      </c>
      <c r="G65" s="388">
        <f>SUM(G66:G67)</f>
        <v>1063192</v>
      </c>
      <c r="H65" s="115">
        <f t="shared" si="22"/>
        <v>1113192</v>
      </c>
    </row>
    <row r="66" spans="1:8" s="17" customFormat="1" ht="12" customHeight="1" x14ac:dyDescent="0.2">
      <c r="A66" s="26"/>
      <c r="B66" s="26"/>
      <c r="C66" s="41" t="s">
        <v>59</v>
      </c>
      <c r="D66" s="49" t="s">
        <v>60</v>
      </c>
      <c r="E66" s="43">
        <v>1058808</v>
      </c>
      <c r="F66" s="43">
        <v>4384</v>
      </c>
      <c r="G66" s="44">
        <v>1063192</v>
      </c>
      <c r="H66" s="43">
        <f t="shared" si="22"/>
        <v>0</v>
      </c>
    </row>
    <row r="67" spans="1:8" s="17" customFormat="1" ht="33.75" customHeight="1" x14ac:dyDescent="0.2">
      <c r="A67" s="70"/>
      <c r="B67" s="70"/>
      <c r="C67" s="63" t="s">
        <v>25</v>
      </c>
      <c r="D67" s="64" t="s">
        <v>26</v>
      </c>
      <c r="E67" s="39">
        <v>0</v>
      </c>
      <c r="F67" s="39">
        <f>50000+1063192</f>
        <v>1113192</v>
      </c>
      <c r="G67" s="40"/>
      <c r="H67" s="39">
        <f t="shared" si="22"/>
        <v>1113192</v>
      </c>
    </row>
    <row r="68" spans="1:8" s="17" customFormat="1" ht="12" customHeight="1" thickBot="1" x14ac:dyDescent="0.25">
      <c r="A68" s="32">
        <v>801</v>
      </c>
      <c r="B68" s="33"/>
      <c r="C68" s="34"/>
      <c r="D68" s="35" t="s">
        <v>29</v>
      </c>
      <c r="E68" s="31">
        <v>362556.77</v>
      </c>
      <c r="F68" s="31">
        <f>SUM(F71)</f>
        <v>170936.6</v>
      </c>
      <c r="G68" s="31">
        <f>SUM(G71)</f>
        <v>0</v>
      </c>
      <c r="H68" s="31">
        <f>SUM(E68+F68-G68)</f>
        <v>533493.37</v>
      </c>
    </row>
    <row r="69" spans="1:8" s="17" customFormat="1" ht="12" customHeight="1" thickTop="1" x14ac:dyDescent="0.2">
      <c r="A69" s="32"/>
      <c r="B69" s="52">
        <v>80153</v>
      </c>
      <c r="C69" s="34"/>
      <c r="D69" s="71" t="s">
        <v>62</v>
      </c>
      <c r="E69" s="72"/>
      <c r="F69" s="72"/>
      <c r="G69" s="72"/>
      <c r="H69" s="72"/>
    </row>
    <row r="70" spans="1:8" s="17" customFormat="1" ht="12" customHeight="1" x14ac:dyDescent="0.2">
      <c r="A70" s="32"/>
      <c r="B70" s="33"/>
      <c r="C70" s="34"/>
      <c r="D70" s="71" t="s">
        <v>63</v>
      </c>
      <c r="E70" s="72"/>
      <c r="F70" s="72"/>
      <c r="G70" s="72"/>
      <c r="H70" s="72"/>
    </row>
    <row r="71" spans="1:8" s="17" customFormat="1" ht="12" customHeight="1" x14ac:dyDescent="0.2">
      <c r="A71" s="33"/>
      <c r="B71" s="52"/>
      <c r="C71" s="27"/>
      <c r="D71" s="38" t="s">
        <v>64</v>
      </c>
      <c r="E71" s="39">
        <v>362556.77</v>
      </c>
      <c r="F71" s="39">
        <f t="shared" ref="F71:G71" si="23">SUM(F72)</f>
        <v>170936.6</v>
      </c>
      <c r="G71" s="39">
        <f t="shared" si="23"/>
        <v>0</v>
      </c>
      <c r="H71" s="39">
        <f>SUM(E71+F71-G71)</f>
        <v>533493.37</v>
      </c>
    </row>
    <row r="72" spans="1:8" s="17" customFormat="1" ht="12" customHeight="1" x14ac:dyDescent="0.2">
      <c r="A72" s="68"/>
      <c r="B72" s="52"/>
      <c r="C72" s="27"/>
      <c r="D72" s="387" t="s">
        <v>18</v>
      </c>
      <c r="E72" s="115">
        <v>362556.77</v>
      </c>
      <c r="F72" s="388">
        <f>SUM(F73)</f>
        <v>170936.6</v>
      </c>
      <c r="G72" s="388">
        <f>SUM(G73)</f>
        <v>0</v>
      </c>
      <c r="H72" s="115">
        <f>SUM(E72+F72-G72)</f>
        <v>533493.37</v>
      </c>
    </row>
    <row r="73" spans="1:8" s="17" customFormat="1" ht="45.75" customHeight="1" x14ac:dyDescent="0.2">
      <c r="A73" s="33"/>
      <c r="B73" s="33"/>
      <c r="C73" s="41" t="s">
        <v>65</v>
      </c>
      <c r="D73" s="73" t="s">
        <v>66</v>
      </c>
      <c r="E73" s="50">
        <v>362556.77</v>
      </c>
      <c r="F73" s="43">
        <v>170936.6</v>
      </c>
      <c r="G73" s="43"/>
      <c r="H73" s="50">
        <f t="shared" ref="H73" si="24">SUM(E73+F73-G73)</f>
        <v>533493.37</v>
      </c>
    </row>
    <row r="74" spans="1:8" s="17" customFormat="1" ht="12" customHeight="1" thickBot="1" x14ac:dyDescent="0.25">
      <c r="A74" s="33">
        <v>852</v>
      </c>
      <c r="B74" s="33"/>
      <c r="C74" s="34"/>
      <c r="D74" s="35" t="s">
        <v>44</v>
      </c>
      <c r="E74" s="31">
        <v>8462434.6199999992</v>
      </c>
      <c r="F74" s="36">
        <f>SUM(F75,F78)</f>
        <v>292222</v>
      </c>
      <c r="G74" s="36">
        <f>SUM(G75,G78)</f>
        <v>0</v>
      </c>
      <c r="H74" s="36">
        <f>SUM(E74+F74-G74)</f>
        <v>8754656.6199999992</v>
      </c>
    </row>
    <row r="75" spans="1:8" s="17" customFormat="1" ht="12" customHeight="1" thickTop="1" x14ac:dyDescent="0.2">
      <c r="A75" s="33"/>
      <c r="B75" s="52">
        <v>85203</v>
      </c>
      <c r="C75" s="27"/>
      <c r="D75" s="74" t="s">
        <v>67</v>
      </c>
      <c r="E75" s="39">
        <v>1067344</v>
      </c>
      <c r="F75" s="40">
        <f t="shared" ref="F75:G76" si="25">SUM(F76)</f>
        <v>12222</v>
      </c>
      <c r="G75" s="40">
        <f t="shared" si="25"/>
        <v>0</v>
      </c>
      <c r="H75" s="39">
        <f t="shared" ref="H75:H85" si="26">SUM(E75+F75-G75)</f>
        <v>1079566</v>
      </c>
    </row>
    <row r="76" spans="1:8" s="17" customFormat="1" ht="12" customHeight="1" x14ac:dyDescent="0.2">
      <c r="A76" s="33"/>
      <c r="B76" s="52"/>
      <c r="C76" s="27"/>
      <c r="D76" s="387" t="s">
        <v>18</v>
      </c>
      <c r="E76" s="115">
        <v>1067344</v>
      </c>
      <c r="F76" s="388">
        <f t="shared" si="25"/>
        <v>12222</v>
      </c>
      <c r="G76" s="388">
        <f t="shared" si="25"/>
        <v>0</v>
      </c>
      <c r="H76" s="115">
        <f t="shared" si="26"/>
        <v>1079566</v>
      </c>
    </row>
    <row r="77" spans="1:8" s="17" customFormat="1" ht="45" customHeight="1" x14ac:dyDescent="0.2">
      <c r="A77" s="33"/>
      <c r="B77" s="33"/>
      <c r="C77" s="41" t="s">
        <v>65</v>
      </c>
      <c r="D77" s="73" t="s">
        <v>66</v>
      </c>
      <c r="E77" s="50">
        <v>1067344</v>
      </c>
      <c r="F77" s="43">
        <v>12222</v>
      </c>
      <c r="G77" s="43"/>
      <c r="H77" s="50">
        <f t="shared" si="26"/>
        <v>1079566</v>
      </c>
    </row>
    <row r="78" spans="1:8" s="17" customFormat="1" ht="12.75" customHeight="1" x14ac:dyDescent="0.2">
      <c r="A78" s="26"/>
      <c r="B78" s="52">
        <v>85295</v>
      </c>
      <c r="C78" s="27"/>
      <c r="D78" s="38" t="s">
        <v>40</v>
      </c>
      <c r="E78" s="39">
        <v>4538513.4400000004</v>
      </c>
      <c r="F78" s="40">
        <f t="shared" ref="F78:G79" si="27">SUM(F79)</f>
        <v>280000</v>
      </c>
      <c r="G78" s="40">
        <f t="shared" si="27"/>
        <v>0</v>
      </c>
      <c r="H78" s="39">
        <f t="shared" si="26"/>
        <v>4818513.4400000004</v>
      </c>
    </row>
    <row r="79" spans="1:8" s="17" customFormat="1" ht="12.75" customHeight="1" x14ac:dyDescent="0.2">
      <c r="A79" s="26"/>
      <c r="B79" s="52"/>
      <c r="C79" s="27"/>
      <c r="D79" s="387" t="s">
        <v>18</v>
      </c>
      <c r="E79" s="115">
        <v>4538513.4400000004</v>
      </c>
      <c r="F79" s="388">
        <f t="shared" si="27"/>
        <v>280000</v>
      </c>
      <c r="G79" s="388">
        <f t="shared" si="27"/>
        <v>0</v>
      </c>
      <c r="H79" s="115">
        <f t="shared" si="26"/>
        <v>4818513.4400000004</v>
      </c>
    </row>
    <row r="80" spans="1:8" s="17" customFormat="1" ht="45" customHeight="1" x14ac:dyDescent="0.2">
      <c r="A80" s="26"/>
      <c r="B80" s="33"/>
      <c r="C80" s="41" t="s">
        <v>65</v>
      </c>
      <c r="D80" s="73" t="s">
        <v>66</v>
      </c>
      <c r="E80" s="50">
        <v>4538513.4400000004</v>
      </c>
      <c r="F80" s="43">
        <v>280000</v>
      </c>
      <c r="G80" s="43"/>
      <c r="H80" s="50">
        <f t="shared" si="26"/>
        <v>4818513.4400000004</v>
      </c>
    </row>
    <row r="81" spans="1:8" s="17" customFormat="1" ht="12" customHeight="1" thickBot="1" x14ac:dyDescent="0.25">
      <c r="A81" s="33">
        <v>853</v>
      </c>
      <c r="B81" s="33"/>
      <c r="C81" s="34"/>
      <c r="D81" s="35" t="s">
        <v>68</v>
      </c>
      <c r="E81" s="36">
        <v>297432</v>
      </c>
      <c r="F81" s="36">
        <f>SUM(F82)</f>
        <v>333540</v>
      </c>
      <c r="G81" s="36">
        <f>SUM(G82)</f>
        <v>315486</v>
      </c>
      <c r="H81" s="36">
        <f t="shared" si="26"/>
        <v>315486</v>
      </c>
    </row>
    <row r="82" spans="1:8" s="17" customFormat="1" ht="12" customHeight="1" thickTop="1" x14ac:dyDescent="0.2">
      <c r="A82" s="33"/>
      <c r="B82" s="52">
        <v>85395</v>
      </c>
      <c r="C82" s="27"/>
      <c r="D82" s="38" t="s">
        <v>40</v>
      </c>
      <c r="E82" s="39">
        <v>297432</v>
      </c>
      <c r="F82" s="40">
        <f t="shared" ref="F82:G82" si="28">SUM(F83)</f>
        <v>333540</v>
      </c>
      <c r="G82" s="40">
        <f t="shared" si="28"/>
        <v>315486</v>
      </c>
      <c r="H82" s="39">
        <f t="shared" si="26"/>
        <v>315486</v>
      </c>
    </row>
    <row r="83" spans="1:8" s="17" customFormat="1" ht="19.5" customHeight="1" x14ac:dyDescent="0.2">
      <c r="A83" s="33"/>
      <c r="B83" s="52"/>
      <c r="C83" s="27"/>
      <c r="D83" s="389" t="s">
        <v>69</v>
      </c>
      <c r="E83" s="115">
        <v>297432</v>
      </c>
      <c r="F83" s="388">
        <f>SUM(F84:F85)</f>
        <v>333540</v>
      </c>
      <c r="G83" s="388">
        <f>SUM(G84:G85)</f>
        <v>315486</v>
      </c>
      <c r="H83" s="115">
        <f t="shared" si="26"/>
        <v>315486</v>
      </c>
    </row>
    <row r="84" spans="1:8" s="17" customFormat="1" ht="33" customHeight="1" x14ac:dyDescent="0.2">
      <c r="A84" s="33"/>
      <c r="B84" s="52"/>
      <c r="C84" s="41" t="s">
        <v>25</v>
      </c>
      <c r="D84" s="49" t="s">
        <v>26</v>
      </c>
      <c r="E84" s="43">
        <v>0</v>
      </c>
      <c r="F84" s="43">
        <v>315486</v>
      </c>
      <c r="G84" s="44"/>
      <c r="H84" s="43">
        <f t="shared" si="26"/>
        <v>315486</v>
      </c>
    </row>
    <row r="85" spans="1:8" s="17" customFormat="1" ht="45" customHeight="1" x14ac:dyDescent="0.2">
      <c r="A85" s="33"/>
      <c r="B85" s="33"/>
      <c r="C85" s="41" t="s">
        <v>27</v>
      </c>
      <c r="D85" s="49" t="s">
        <v>28</v>
      </c>
      <c r="E85" s="50">
        <v>297432</v>
      </c>
      <c r="F85" s="43">
        <f>12546+5508</f>
        <v>18054</v>
      </c>
      <c r="G85" s="43">
        <v>315486</v>
      </c>
      <c r="H85" s="50">
        <f t="shared" si="26"/>
        <v>0</v>
      </c>
    </row>
    <row r="86" spans="1:8" s="17" customFormat="1" ht="12.75" customHeight="1" thickBot="1" x14ac:dyDescent="0.25">
      <c r="A86" s="33">
        <v>855</v>
      </c>
      <c r="B86" s="33"/>
      <c r="C86" s="34"/>
      <c r="D86" s="35" t="s">
        <v>47</v>
      </c>
      <c r="E86" s="36">
        <v>70385427</v>
      </c>
      <c r="F86" s="36">
        <f>SUM(F89,F92,F97)</f>
        <v>894591</v>
      </c>
      <c r="G86" s="36">
        <f>SUM(G89,G92,G97)</f>
        <v>0</v>
      </c>
      <c r="H86" s="36">
        <f>SUM(E86+F86-G86)</f>
        <v>71280018</v>
      </c>
    </row>
    <row r="87" spans="1:8" s="17" customFormat="1" ht="12.75" customHeight="1" thickTop="1" x14ac:dyDescent="0.2">
      <c r="A87" s="33"/>
      <c r="B87" s="59">
        <v>85502</v>
      </c>
      <c r="C87" s="60"/>
      <c r="D87" s="75" t="s">
        <v>70</v>
      </c>
      <c r="E87" s="76"/>
      <c r="F87" s="76"/>
      <c r="G87" s="76"/>
      <c r="H87" s="76"/>
    </row>
    <row r="88" spans="1:8" s="17" customFormat="1" ht="12.75" customHeight="1" x14ac:dyDescent="0.2">
      <c r="A88" s="33"/>
      <c r="B88" s="59"/>
      <c r="C88" s="60"/>
      <c r="D88" s="75" t="s">
        <v>71</v>
      </c>
      <c r="E88" s="76"/>
      <c r="F88" s="76"/>
      <c r="G88" s="76"/>
      <c r="H88" s="76"/>
    </row>
    <row r="89" spans="1:8" s="17" customFormat="1" ht="12.75" customHeight="1" x14ac:dyDescent="0.2">
      <c r="A89" s="33"/>
      <c r="B89" s="59"/>
      <c r="C89" s="60"/>
      <c r="D89" s="77" t="s">
        <v>72</v>
      </c>
      <c r="E89" s="39">
        <v>33401400</v>
      </c>
      <c r="F89" s="40">
        <f t="shared" ref="F89:G89" si="29">SUM(F90)</f>
        <v>887081</v>
      </c>
      <c r="G89" s="40">
        <f t="shared" si="29"/>
        <v>0</v>
      </c>
      <c r="H89" s="39">
        <f>SUM(E89+F89-G89)</f>
        <v>34288481</v>
      </c>
    </row>
    <row r="90" spans="1:8" s="17" customFormat="1" ht="12.75" customHeight="1" x14ac:dyDescent="0.2">
      <c r="A90" s="33"/>
      <c r="B90" s="52"/>
      <c r="C90" s="27"/>
      <c r="D90" s="387" t="s">
        <v>18</v>
      </c>
      <c r="E90" s="115">
        <v>33401400</v>
      </c>
      <c r="F90" s="388">
        <f>SUM(F91)</f>
        <v>887081</v>
      </c>
      <c r="G90" s="388">
        <f>SUM(G91)</f>
        <v>0</v>
      </c>
      <c r="H90" s="115">
        <f>SUM(E90+F90-G90)</f>
        <v>34288481</v>
      </c>
    </row>
    <row r="91" spans="1:8" s="17" customFormat="1" ht="45.75" customHeight="1" x14ac:dyDescent="0.2">
      <c r="A91" s="33"/>
      <c r="B91" s="33"/>
      <c r="C91" s="41" t="s">
        <v>65</v>
      </c>
      <c r="D91" s="73" t="s">
        <v>66</v>
      </c>
      <c r="E91" s="50">
        <v>33401400</v>
      </c>
      <c r="F91" s="43">
        <v>887081</v>
      </c>
      <c r="G91" s="43"/>
      <c r="H91" s="50">
        <f t="shared" ref="H91:H94" si="30">SUM(E91+F91-G91)</f>
        <v>34288481</v>
      </c>
    </row>
    <row r="92" spans="1:8" s="17" customFormat="1" ht="12.75" customHeight="1" x14ac:dyDescent="0.2">
      <c r="A92" s="33"/>
      <c r="B92" s="65">
        <v>85503</v>
      </c>
      <c r="C92" s="52"/>
      <c r="D92" s="38" t="s">
        <v>73</v>
      </c>
      <c r="E92" s="39">
        <v>1900</v>
      </c>
      <c r="F92" s="40">
        <f t="shared" ref="F92:G92" si="31">SUM(F93)</f>
        <v>1000</v>
      </c>
      <c r="G92" s="40">
        <f t="shared" si="31"/>
        <v>0</v>
      </c>
      <c r="H92" s="39">
        <f t="shared" si="30"/>
        <v>2900</v>
      </c>
    </row>
    <row r="93" spans="1:8" s="17" customFormat="1" ht="12.75" customHeight="1" x14ac:dyDescent="0.2">
      <c r="A93" s="33"/>
      <c r="B93" s="52"/>
      <c r="C93" s="27"/>
      <c r="D93" s="387" t="s">
        <v>18</v>
      </c>
      <c r="E93" s="115">
        <v>1900</v>
      </c>
      <c r="F93" s="388">
        <f>SUM(F94)</f>
        <v>1000</v>
      </c>
      <c r="G93" s="388">
        <f>SUM(G94)</f>
        <v>0</v>
      </c>
      <c r="H93" s="115">
        <f t="shared" si="30"/>
        <v>2900</v>
      </c>
    </row>
    <row r="94" spans="1:8" s="17" customFormat="1" ht="44.25" customHeight="1" x14ac:dyDescent="0.2">
      <c r="A94" s="33"/>
      <c r="B94" s="33"/>
      <c r="C94" s="41" t="s">
        <v>65</v>
      </c>
      <c r="D94" s="73" t="s">
        <v>66</v>
      </c>
      <c r="E94" s="50">
        <v>1900</v>
      </c>
      <c r="F94" s="43">
        <v>1000</v>
      </c>
      <c r="G94" s="43"/>
      <c r="H94" s="50">
        <f t="shared" si="30"/>
        <v>2900</v>
      </c>
    </row>
    <row r="95" spans="1:8" s="17" customFormat="1" ht="12.75" customHeight="1" x14ac:dyDescent="0.2">
      <c r="A95" s="33"/>
      <c r="B95" s="52">
        <v>85513</v>
      </c>
      <c r="C95" s="27"/>
      <c r="D95" s="59" t="s">
        <v>74</v>
      </c>
      <c r="E95" s="50"/>
      <c r="F95" s="43"/>
      <c r="G95" s="43"/>
      <c r="H95" s="50"/>
    </row>
    <row r="96" spans="1:8" s="17" customFormat="1" ht="12.75" customHeight="1" x14ac:dyDescent="0.2">
      <c r="A96" s="33"/>
      <c r="B96" s="26"/>
      <c r="C96" s="27"/>
      <c r="D96" s="78" t="s">
        <v>75</v>
      </c>
      <c r="E96" s="50"/>
      <c r="F96" s="43"/>
      <c r="G96" s="43"/>
      <c r="H96" s="50"/>
    </row>
    <row r="97" spans="1:8" s="17" customFormat="1" ht="12.75" customHeight="1" x14ac:dyDescent="0.2">
      <c r="A97" s="33"/>
      <c r="B97" s="52"/>
      <c r="C97" s="27"/>
      <c r="D97" s="38" t="s">
        <v>76</v>
      </c>
      <c r="E97" s="39">
        <v>271281</v>
      </c>
      <c r="F97" s="40">
        <f t="shared" ref="F97:G98" si="32">SUM(F98)</f>
        <v>6510</v>
      </c>
      <c r="G97" s="40">
        <f t="shared" si="32"/>
        <v>0</v>
      </c>
      <c r="H97" s="39">
        <f t="shared" ref="H97:H100" si="33">SUM(E97+F97-G97)</f>
        <v>277791</v>
      </c>
    </row>
    <row r="98" spans="1:8" s="17" customFormat="1" ht="12.75" customHeight="1" x14ac:dyDescent="0.2">
      <c r="A98" s="33"/>
      <c r="B98" s="52"/>
      <c r="C98" s="27"/>
      <c r="D98" s="387" t="s">
        <v>18</v>
      </c>
      <c r="E98" s="115">
        <v>271281</v>
      </c>
      <c r="F98" s="388">
        <f t="shared" si="32"/>
        <v>6510</v>
      </c>
      <c r="G98" s="388">
        <f t="shared" si="32"/>
        <v>0</v>
      </c>
      <c r="H98" s="115">
        <f t="shared" si="33"/>
        <v>277791</v>
      </c>
    </row>
    <row r="99" spans="1:8" s="17" customFormat="1" ht="45.75" customHeight="1" x14ac:dyDescent="0.2">
      <c r="A99" s="79"/>
      <c r="B99" s="79"/>
      <c r="C99" s="63" t="s">
        <v>65</v>
      </c>
      <c r="D99" s="80" t="s">
        <v>66</v>
      </c>
      <c r="E99" s="81">
        <v>271281</v>
      </c>
      <c r="F99" s="39">
        <v>6510</v>
      </c>
      <c r="G99" s="39"/>
      <c r="H99" s="81">
        <f t="shared" si="33"/>
        <v>277791</v>
      </c>
    </row>
    <row r="100" spans="1:8" s="17" customFormat="1" ht="22.5" customHeight="1" thickBot="1" x14ac:dyDescent="0.25">
      <c r="A100" s="26"/>
      <c r="B100" s="26"/>
      <c r="C100" s="27"/>
      <c r="D100" s="30" t="s">
        <v>77</v>
      </c>
      <c r="E100" s="31">
        <v>19112576.710000001</v>
      </c>
      <c r="F100" s="31">
        <f>SUM(F101,F106,F110)</f>
        <v>1227301.81</v>
      </c>
      <c r="G100" s="31">
        <f>SUM(G101,G106,G110)</f>
        <v>6845</v>
      </c>
      <c r="H100" s="31">
        <f t="shared" si="33"/>
        <v>20333033.52</v>
      </c>
    </row>
    <row r="101" spans="1:8" s="17" customFormat="1" ht="21" customHeight="1" thickTop="1" thickBot="1" x14ac:dyDescent="0.25">
      <c r="A101" s="32">
        <v>750</v>
      </c>
      <c r="B101" s="33"/>
      <c r="C101" s="34"/>
      <c r="D101" s="35" t="s">
        <v>53</v>
      </c>
      <c r="E101" s="31">
        <v>146000</v>
      </c>
      <c r="F101" s="31">
        <f>SUM(F102)</f>
        <v>0</v>
      </c>
      <c r="G101" s="31">
        <f>SUM(G102)</f>
        <v>6845</v>
      </c>
      <c r="H101" s="31">
        <f>SUM(E101+F101-G101)</f>
        <v>139155</v>
      </c>
    </row>
    <row r="102" spans="1:8" s="17" customFormat="1" ht="12" customHeight="1" thickTop="1" x14ac:dyDescent="0.2">
      <c r="A102" s="33"/>
      <c r="B102" s="52">
        <v>75045</v>
      </c>
      <c r="C102" s="27"/>
      <c r="D102" s="77" t="s">
        <v>78</v>
      </c>
      <c r="E102" s="39">
        <v>35000</v>
      </c>
      <c r="F102" s="39">
        <f t="shared" ref="F102:G102" si="34">SUM(F103)</f>
        <v>0</v>
      </c>
      <c r="G102" s="39">
        <f t="shared" si="34"/>
        <v>6845</v>
      </c>
      <c r="H102" s="39">
        <f>SUM(E102+F102-G102)</f>
        <v>28155</v>
      </c>
    </row>
    <row r="103" spans="1:8" s="17" customFormat="1" ht="12" customHeight="1" x14ac:dyDescent="0.2">
      <c r="A103" s="68"/>
      <c r="B103" s="52"/>
      <c r="C103" s="27"/>
      <c r="D103" s="387" t="s">
        <v>18</v>
      </c>
      <c r="E103" s="115">
        <v>35000</v>
      </c>
      <c r="F103" s="388">
        <f>SUM(F104)</f>
        <v>0</v>
      </c>
      <c r="G103" s="388">
        <f>SUM(G104)</f>
        <v>6845</v>
      </c>
      <c r="H103" s="115">
        <f>SUM(E103+F103-G103)</f>
        <v>28155</v>
      </c>
    </row>
    <row r="104" spans="1:8" s="17" customFormat="1" ht="32.25" customHeight="1" x14ac:dyDescent="0.2">
      <c r="A104" s="33"/>
      <c r="B104" s="26"/>
      <c r="C104" s="66">
        <v>2110</v>
      </c>
      <c r="D104" s="82" t="s">
        <v>79</v>
      </c>
      <c r="E104" s="50">
        <v>35000</v>
      </c>
      <c r="F104" s="43"/>
      <c r="G104" s="43">
        <v>6845</v>
      </c>
      <c r="H104" s="50">
        <f t="shared" ref="H104" si="35">SUM(E104+F104-G104)</f>
        <v>28155</v>
      </c>
    </row>
    <row r="105" spans="1:8" s="17" customFormat="1" ht="12.75" customHeight="1" x14ac:dyDescent="0.2">
      <c r="A105" s="32">
        <v>754</v>
      </c>
      <c r="B105" s="33"/>
      <c r="C105" s="34"/>
      <c r="D105" s="35" t="s">
        <v>56</v>
      </c>
      <c r="E105" s="72"/>
      <c r="F105" s="72"/>
      <c r="G105" s="72"/>
      <c r="H105" s="72"/>
    </row>
    <row r="106" spans="1:8" s="17" customFormat="1" ht="12.75" customHeight="1" thickBot="1" x14ac:dyDescent="0.25">
      <c r="A106" s="32"/>
      <c r="B106" s="33"/>
      <c r="C106" s="34"/>
      <c r="D106" s="35" t="s">
        <v>57</v>
      </c>
      <c r="E106" s="31">
        <v>15735157</v>
      </c>
      <c r="F106" s="31">
        <f t="shared" ref="F106:G108" si="36">SUM(F107)</f>
        <v>1216150</v>
      </c>
      <c r="G106" s="31">
        <f t="shared" si="36"/>
        <v>0</v>
      </c>
      <c r="H106" s="31">
        <f>SUM(E106+F106-G106)</f>
        <v>16951307</v>
      </c>
    </row>
    <row r="107" spans="1:8" s="17" customFormat="1" ht="12.75" customHeight="1" thickTop="1" x14ac:dyDescent="0.2">
      <c r="A107" s="68"/>
      <c r="B107" s="52">
        <v>75411</v>
      </c>
      <c r="C107" s="27"/>
      <c r="D107" s="74" t="s">
        <v>80</v>
      </c>
      <c r="E107" s="39">
        <v>15735157</v>
      </c>
      <c r="F107" s="39">
        <f t="shared" si="36"/>
        <v>1216150</v>
      </c>
      <c r="G107" s="39">
        <f t="shared" si="36"/>
        <v>0</v>
      </c>
      <c r="H107" s="39">
        <f>SUM(E107+F107-G107)</f>
        <v>16951307</v>
      </c>
    </row>
    <row r="108" spans="1:8" s="17" customFormat="1" ht="12.75" customHeight="1" x14ac:dyDescent="0.2">
      <c r="A108" s="26"/>
      <c r="B108" s="52"/>
      <c r="C108" s="27"/>
      <c r="D108" s="387" t="s">
        <v>18</v>
      </c>
      <c r="E108" s="115">
        <v>15735157</v>
      </c>
      <c r="F108" s="388">
        <f t="shared" si="36"/>
        <v>1216150</v>
      </c>
      <c r="G108" s="388">
        <f t="shared" si="36"/>
        <v>0</v>
      </c>
      <c r="H108" s="115">
        <f>SUM(E108+F108-G108)</f>
        <v>16951307</v>
      </c>
    </row>
    <row r="109" spans="1:8" s="17" customFormat="1" ht="33" customHeight="1" x14ac:dyDescent="0.2">
      <c r="A109" s="33"/>
      <c r="B109" s="26"/>
      <c r="C109" s="66">
        <v>2110</v>
      </c>
      <c r="D109" s="82" t="s">
        <v>79</v>
      </c>
      <c r="E109" s="50">
        <v>15585157</v>
      </c>
      <c r="F109" s="43">
        <v>1216150</v>
      </c>
      <c r="G109" s="43"/>
      <c r="H109" s="50">
        <f t="shared" ref="H109" si="37">SUM(E109+F109-G109)</f>
        <v>16801307</v>
      </c>
    </row>
    <row r="110" spans="1:8" s="17" customFormat="1" ht="12" customHeight="1" thickBot="1" x14ac:dyDescent="0.25">
      <c r="A110" s="32">
        <v>801</v>
      </c>
      <c r="B110" s="33"/>
      <c r="C110" s="34"/>
      <c r="D110" s="35" t="s">
        <v>29</v>
      </c>
      <c r="E110" s="31">
        <v>19256.91</v>
      </c>
      <c r="F110" s="31">
        <f>SUM(F113)</f>
        <v>11151.81</v>
      </c>
      <c r="G110" s="31">
        <f>SUM(G113)</f>
        <v>0</v>
      </c>
      <c r="H110" s="31">
        <f>SUM(E110+F110-G110)</f>
        <v>30408.720000000001</v>
      </c>
    </row>
    <row r="111" spans="1:8" s="17" customFormat="1" ht="12" customHeight="1" thickTop="1" x14ac:dyDescent="0.2">
      <c r="A111" s="32"/>
      <c r="B111" s="52">
        <v>80153</v>
      </c>
      <c r="C111" s="34"/>
      <c r="D111" s="71" t="s">
        <v>62</v>
      </c>
      <c r="E111" s="72"/>
      <c r="F111" s="72"/>
      <c r="G111" s="72"/>
      <c r="H111" s="72"/>
    </row>
    <row r="112" spans="1:8" s="17" customFormat="1" ht="12" customHeight="1" x14ac:dyDescent="0.2">
      <c r="A112" s="32"/>
      <c r="B112" s="33"/>
      <c r="C112" s="34"/>
      <c r="D112" s="71" t="s">
        <v>63</v>
      </c>
      <c r="E112" s="72"/>
      <c r="F112" s="72"/>
      <c r="G112" s="72"/>
      <c r="H112" s="72"/>
    </row>
    <row r="113" spans="1:8" s="17" customFormat="1" ht="12" customHeight="1" x14ac:dyDescent="0.2">
      <c r="A113" s="33"/>
      <c r="B113" s="52"/>
      <c r="C113" s="27"/>
      <c r="D113" s="38" t="s">
        <v>64</v>
      </c>
      <c r="E113" s="39">
        <v>19256.91</v>
      </c>
      <c r="F113" s="39">
        <f t="shared" ref="F113:G113" si="38">SUM(F114)</f>
        <v>11151.81</v>
      </c>
      <c r="G113" s="39">
        <f t="shared" si="38"/>
        <v>0</v>
      </c>
      <c r="H113" s="39">
        <f t="shared" ref="H113:H115" si="39">SUM(E113+F113-G113)</f>
        <v>30408.720000000001</v>
      </c>
    </row>
    <row r="114" spans="1:8" s="17" customFormat="1" ht="12" customHeight="1" x14ac:dyDescent="0.2">
      <c r="A114" s="68"/>
      <c r="B114" s="52"/>
      <c r="C114" s="27"/>
      <c r="D114" s="387" t="s">
        <v>18</v>
      </c>
      <c r="E114" s="115">
        <v>19256.91</v>
      </c>
      <c r="F114" s="388">
        <f>SUM(F115:F115)</f>
        <v>11151.81</v>
      </c>
      <c r="G114" s="388">
        <f>SUM(G115:G115)</f>
        <v>0</v>
      </c>
      <c r="H114" s="115">
        <f t="shared" si="39"/>
        <v>30408.720000000001</v>
      </c>
    </row>
    <row r="115" spans="1:8" s="17" customFormat="1" ht="33" customHeight="1" x14ac:dyDescent="0.2">
      <c r="A115" s="32"/>
      <c r="B115" s="26"/>
      <c r="C115" s="66">
        <v>2110</v>
      </c>
      <c r="D115" s="82" t="s">
        <v>79</v>
      </c>
      <c r="E115" s="43">
        <v>19256.91</v>
      </c>
      <c r="F115" s="44">
        <v>11151.81</v>
      </c>
      <c r="G115" s="45"/>
      <c r="H115" s="43">
        <f t="shared" si="39"/>
        <v>30408.720000000001</v>
      </c>
    </row>
    <row r="116" spans="1:8" s="17" customFormat="1" ht="25.5" customHeight="1" thickBot="1" x14ac:dyDescent="0.25">
      <c r="A116" s="52"/>
      <c r="B116" s="52"/>
      <c r="C116" s="27"/>
      <c r="D116" s="28" t="s">
        <v>81</v>
      </c>
      <c r="E116" s="29">
        <v>941197579.62000012</v>
      </c>
      <c r="F116" s="29">
        <f>SUM(F117,F514,F607)</f>
        <v>8461620.8399999999</v>
      </c>
      <c r="G116" s="29">
        <f>SUM(G117,G514,G607)</f>
        <v>4915304.43</v>
      </c>
      <c r="H116" s="29">
        <f t="shared" si="18"/>
        <v>944743896.03000021</v>
      </c>
    </row>
    <row r="117" spans="1:8" s="17" customFormat="1" ht="17.25" customHeight="1" thickBot="1" x14ac:dyDescent="0.25">
      <c r="A117" s="52"/>
      <c r="B117" s="52"/>
      <c r="C117" s="27"/>
      <c r="D117" s="30" t="s">
        <v>82</v>
      </c>
      <c r="E117" s="31">
        <v>839068382.21000016</v>
      </c>
      <c r="F117" s="31">
        <f>SUM(F118,F127,F139,F144,F159,F176,F344,F357,F393,F400,F446,F491,F507)</f>
        <v>3574384.36</v>
      </c>
      <c r="G117" s="31">
        <f>SUM(G118,G127,G139,G144,G159,G176,G344,G357,G393,G400,G446,G491,G507)</f>
        <v>2923212.36</v>
      </c>
      <c r="H117" s="31">
        <f t="shared" si="18"/>
        <v>839719554.21000016</v>
      </c>
    </row>
    <row r="118" spans="1:8" s="17" customFormat="1" ht="17.25" customHeight="1" thickTop="1" thickBot="1" x14ac:dyDescent="0.25">
      <c r="A118" s="33">
        <v>600</v>
      </c>
      <c r="B118" s="33"/>
      <c r="C118" s="34"/>
      <c r="D118" s="35" t="s">
        <v>51</v>
      </c>
      <c r="E118" s="83">
        <v>109036398.01000001</v>
      </c>
      <c r="F118" s="83">
        <f>SUM(F119,F123)</f>
        <v>21000</v>
      </c>
      <c r="G118" s="83">
        <f>SUM(G119,G123)</f>
        <v>21000</v>
      </c>
      <c r="H118" s="31">
        <f>SUM(E118+F118-G118)</f>
        <v>109036398.01000001</v>
      </c>
    </row>
    <row r="119" spans="1:8" s="17" customFormat="1" ht="12" customHeight="1" thickTop="1" x14ac:dyDescent="0.2">
      <c r="A119" s="33"/>
      <c r="B119" s="52">
        <v>60015</v>
      </c>
      <c r="C119" s="27"/>
      <c r="D119" s="38" t="s">
        <v>83</v>
      </c>
      <c r="E119" s="84">
        <v>30823735.770000003</v>
      </c>
      <c r="F119" s="84">
        <f>SUM(F120)</f>
        <v>20000</v>
      </c>
      <c r="G119" s="84">
        <f>SUM(G120)</f>
        <v>20000</v>
      </c>
      <c r="H119" s="39">
        <f>SUM(E119+F119-G119)</f>
        <v>30823735.770000003</v>
      </c>
    </row>
    <row r="120" spans="1:8" s="17" customFormat="1" ht="12" customHeight="1" x14ac:dyDescent="0.2">
      <c r="A120" s="33"/>
      <c r="B120" s="52"/>
      <c r="C120" s="85"/>
      <c r="D120" s="391" t="s">
        <v>84</v>
      </c>
      <c r="E120" s="115">
        <v>11995885</v>
      </c>
      <c r="F120" s="115">
        <f>SUM(F121:F122)</f>
        <v>20000</v>
      </c>
      <c r="G120" s="115">
        <f>SUM(G121:G122)</f>
        <v>20000</v>
      </c>
      <c r="H120" s="115">
        <f>SUM(E120+F120-G120)</f>
        <v>11995885</v>
      </c>
    </row>
    <row r="121" spans="1:8" s="17" customFormat="1" ht="12" customHeight="1" x14ac:dyDescent="0.2">
      <c r="A121" s="33"/>
      <c r="B121" s="52"/>
      <c r="C121" s="60" t="s">
        <v>85</v>
      </c>
      <c r="D121" s="71" t="s">
        <v>86</v>
      </c>
      <c r="E121" s="51">
        <v>244000</v>
      </c>
      <c r="F121" s="51">
        <v>20000</v>
      </c>
      <c r="G121" s="51"/>
      <c r="H121" s="43">
        <f t="shared" ref="H121:H122" si="40">SUM(E121+F121-G121)</f>
        <v>264000</v>
      </c>
    </row>
    <row r="122" spans="1:8" s="17" customFormat="1" ht="21.75" customHeight="1" x14ac:dyDescent="0.2">
      <c r="A122" s="33"/>
      <c r="B122" s="52"/>
      <c r="C122" s="66">
        <v>4390</v>
      </c>
      <c r="D122" s="82" t="s">
        <v>87</v>
      </c>
      <c r="E122" s="51">
        <v>201000</v>
      </c>
      <c r="F122" s="51"/>
      <c r="G122" s="51">
        <v>20000</v>
      </c>
      <c r="H122" s="43">
        <f t="shared" si="40"/>
        <v>181000</v>
      </c>
    </row>
    <row r="123" spans="1:8" s="17" customFormat="1" ht="12" customHeight="1" x14ac:dyDescent="0.2">
      <c r="A123" s="33"/>
      <c r="B123" s="52">
        <v>60095</v>
      </c>
      <c r="C123" s="27"/>
      <c r="D123" s="38" t="s">
        <v>40</v>
      </c>
      <c r="E123" s="84">
        <v>8182340</v>
      </c>
      <c r="F123" s="40">
        <f>SUM(F124)</f>
        <v>1000</v>
      </c>
      <c r="G123" s="40">
        <f>SUM(G124)</f>
        <v>1000</v>
      </c>
      <c r="H123" s="39">
        <f t="shared" ref="H123" si="41">SUM(E123+F123-G123)</f>
        <v>8182340</v>
      </c>
    </row>
    <row r="124" spans="1:8" s="17" customFormat="1" ht="12" customHeight="1" x14ac:dyDescent="0.2">
      <c r="A124" s="33"/>
      <c r="B124" s="52"/>
      <c r="C124" s="85"/>
      <c r="D124" s="391" t="s">
        <v>84</v>
      </c>
      <c r="E124" s="115">
        <v>4175880</v>
      </c>
      <c r="F124" s="115">
        <f>SUM(F125:F126)</f>
        <v>1000</v>
      </c>
      <c r="G124" s="115">
        <f>SUM(G125:G126)</f>
        <v>1000</v>
      </c>
      <c r="H124" s="115">
        <f>SUM(E124+F124-G124)</f>
        <v>4175880</v>
      </c>
    </row>
    <row r="125" spans="1:8" s="17" customFormat="1" ht="12" customHeight="1" x14ac:dyDescent="0.2">
      <c r="A125" s="33"/>
      <c r="B125" s="52"/>
      <c r="C125" s="65">
        <v>4280</v>
      </c>
      <c r="D125" s="86" t="s">
        <v>88</v>
      </c>
      <c r="E125" s="51">
        <v>5300</v>
      </c>
      <c r="F125" s="51">
        <v>1000</v>
      </c>
      <c r="G125" s="51"/>
      <c r="H125" s="43">
        <f t="shared" ref="H125:H126" si="42">SUM(E125+F125-G125)</f>
        <v>6300</v>
      </c>
    </row>
    <row r="126" spans="1:8" s="17" customFormat="1" ht="12" customHeight="1" x14ac:dyDescent="0.2">
      <c r="A126" s="33"/>
      <c r="B126" s="52"/>
      <c r="C126" s="65">
        <v>4360</v>
      </c>
      <c r="D126" s="86" t="s">
        <v>89</v>
      </c>
      <c r="E126" s="50">
        <v>2365</v>
      </c>
      <c r="F126" s="51"/>
      <c r="G126" s="51">
        <v>1000</v>
      </c>
      <c r="H126" s="43">
        <f t="shared" si="42"/>
        <v>1365</v>
      </c>
    </row>
    <row r="127" spans="1:8" s="17" customFormat="1" ht="12" customHeight="1" thickBot="1" x14ac:dyDescent="0.25">
      <c r="A127" s="32">
        <v>700</v>
      </c>
      <c r="B127" s="32"/>
      <c r="C127" s="34"/>
      <c r="D127" s="35" t="s">
        <v>90</v>
      </c>
      <c r="E127" s="31">
        <v>58327788.329999998</v>
      </c>
      <c r="F127" s="36">
        <f>SUM(F128,F132)</f>
        <v>108000</v>
      </c>
      <c r="G127" s="36">
        <f>SUM(G128,G132)</f>
        <v>108000</v>
      </c>
      <c r="H127" s="31">
        <f t="shared" ref="H127:H132" si="43">SUM(E127+F127-G127)</f>
        <v>58327788.329999998</v>
      </c>
    </row>
    <row r="128" spans="1:8" s="17" customFormat="1" ht="12" customHeight="1" thickTop="1" x14ac:dyDescent="0.2">
      <c r="A128" s="32"/>
      <c r="B128" s="52">
        <v>70005</v>
      </c>
      <c r="C128" s="27"/>
      <c r="D128" s="38" t="s">
        <v>91</v>
      </c>
      <c r="E128" s="39">
        <v>3270800</v>
      </c>
      <c r="F128" s="40">
        <f>SUM(F129)</f>
        <v>3000</v>
      </c>
      <c r="G128" s="40">
        <f>SUM(G129)</f>
        <v>3000</v>
      </c>
      <c r="H128" s="39">
        <f t="shared" si="43"/>
        <v>3270800</v>
      </c>
    </row>
    <row r="129" spans="1:9" s="17" customFormat="1" ht="12" customHeight="1" x14ac:dyDescent="0.2">
      <c r="A129" s="32"/>
      <c r="B129" s="52"/>
      <c r="C129" s="27"/>
      <c r="D129" s="391" t="s">
        <v>92</v>
      </c>
      <c r="E129" s="108">
        <v>3263800</v>
      </c>
      <c r="F129" s="388">
        <f>SUM(F130:F131)</f>
        <v>3000</v>
      </c>
      <c r="G129" s="388">
        <f>SUM(G130:G131)</f>
        <v>3000</v>
      </c>
      <c r="H129" s="115">
        <f>SUM(E129+F129-G129)</f>
        <v>3263800</v>
      </c>
      <c r="I129" s="16"/>
    </row>
    <row r="130" spans="1:9" s="17" customFormat="1" ht="12" customHeight="1" x14ac:dyDescent="0.2">
      <c r="A130" s="32"/>
      <c r="B130" s="52"/>
      <c r="C130" s="65">
        <v>4480</v>
      </c>
      <c r="D130" s="86" t="s">
        <v>93</v>
      </c>
      <c r="E130" s="51">
        <v>24000</v>
      </c>
      <c r="F130" s="50"/>
      <c r="G130" s="50">
        <v>3000</v>
      </c>
      <c r="H130" s="51">
        <f t="shared" ref="H130:H131" si="44">SUM(E130+F130-G130)</f>
        <v>21000</v>
      </c>
    </row>
    <row r="131" spans="1:9" s="17" customFormat="1" ht="12" customHeight="1" x14ac:dyDescent="0.2">
      <c r="A131" s="32"/>
      <c r="B131" s="52"/>
      <c r="C131" s="65">
        <v>4610</v>
      </c>
      <c r="D131" s="87" t="s">
        <v>94</v>
      </c>
      <c r="E131" s="51">
        <v>23000</v>
      </c>
      <c r="F131" s="50">
        <v>3000</v>
      </c>
      <c r="G131" s="50"/>
      <c r="H131" s="51">
        <f t="shared" si="44"/>
        <v>26000</v>
      </c>
    </row>
    <row r="132" spans="1:9" s="17" customFormat="1" ht="12" customHeight="1" x14ac:dyDescent="0.2">
      <c r="A132" s="32"/>
      <c r="B132" s="55">
        <v>70007</v>
      </c>
      <c r="C132" s="88"/>
      <c r="D132" s="57" t="s">
        <v>95</v>
      </c>
      <c r="E132" s="39">
        <v>29782488.329999998</v>
      </c>
      <c r="F132" s="40">
        <f>SUM(F133)</f>
        <v>105000</v>
      </c>
      <c r="G132" s="40">
        <f>SUM(G133)</f>
        <v>105000</v>
      </c>
      <c r="H132" s="39">
        <f t="shared" si="43"/>
        <v>29782488.329999998</v>
      </c>
    </row>
    <row r="133" spans="1:9" s="17" customFormat="1" ht="12" customHeight="1" x14ac:dyDescent="0.2">
      <c r="A133" s="21"/>
      <c r="B133" s="65"/>
      <c r="C133" s="27"/>
      <c r="D133" s="392" t="s">
        <v>96</v>
      </c>
      <c r="E133" s="108">
        <v>29673088.329999998</v>
      </c>
      <c r="F133" s="388">
        <f>SUM(F134:F138)</f>
        <v>105000</v>
      </c>
      <c r="G133" s="388">
        <f>SUM(G134:G138)</f>
        <v>105000</v>
      </c>
      <c r="H133" s="115">
        <f>SUM(E133+F133-G133)</f>
        <v>29673088.329999998</v>
      </c>
    </row>
    <row r="134" spans="1:9" s="17" customFormat="1" ht="21" customHeight="1" x14ac:dyDescent="0.2">
      <c r="A134" s="21"/>
      <c r="B134" s="65"/>
      <c r="C134" s="89">
        <v>4140</v>
      </c>
      <c r="D134" s="90" t="s">
        <v>97</v>
      </c>
      <c r="E134" s="51">
        <v>66668</v>
      </c>
      <c r="F134" s="51"/>
      <c r="G134" s="51">
        <v>45000</v>
      </c>
      <c r="H134" s="43">
        <f t="shared" ref="H134:H138" si="45">SUM(E134+F134-G134)</f>
        <v>21668</v>
      </c>
    </row>
    <row r="135" spans="1:9" s="17" customFormat="1" ht="12" customHeight="1" x14ac:dyDescent="0.2">
      <c r="A135" s="21"/>
      <c r="B135" s="65"/>
      <c r="C135" s="65">
        <v>4170</v>
      </c>
      <c r="D135" s="86" t="s">
        <v>98</v>
      </c>
      <c r="E135" s="51">
        <v>83595</v>
      </c>
      <c r="F135" s="51"/>
      <c r="G135" s="51">
        <v>20000</v>
      </c>
      <c r="H135" s="43">
        <f t="shared" si="45"/>
        <v>63595</v>
      </c>
    </row>
    <row r="136" spans="1:9" s="17" customFormat="1" ht="12" customHeight="1" x14ac:dyDescent="0.2">
      <c r="A136" s="21"/>
      <c r="B136" s="65"/>
      <c r="C136" s="52">
        <v>4300</v>
      </c>
      <c r="D136" s="86" t="s">
        <v>99</v>
      </c>
      <c r="E136" s="51">
        <v>3440800</v>
      </c>
      <c r="F136" s="51">
        <v>105000</v>
      </c>
      <c r="G136" s="51"/>
      <c r="H136" s="43">
        <f t="shared" si="45"/>
        <v>3545800</v>
      </c>
    </row>
    <row r="137" spans="1:9" s="17" customFormat="1" ht="12" customHeight="1" x14ac:dyDescent="0.2">
      <c r="A137" s="21"/>
      <c r="B137" s="65"/>
      <c r="C137" s="65">
        <v>4610</v>
      </c>
      <c r="D137" s="87" t="s">
        <v>94</v>
      </c>
      <c r="E137" s="91">
        <v>64800</v>
      </c>
      <c r="F137" s="51"/>
      <c r="G137" s="51">
        <v>20000</v>
      </c>
      <c r="H137" s="43">
        <f t="shared" si="45"/>
        <v>44800</v>
      </c>
    </row>
    <row r="138" spans="1:9" s="17" customFormat="1" ht="12" customHeight="1" x14ac:dyDescent="0.2">
      <c r="A138" s="21"/>
      <c r="B138" s="65"/>
      <c r="C138" s="65">
        <v>4710</v>
      </c>
      <c r="D138" s="71" t="s">
        <v>100</v>
      </c>
      <c r="E138" s="51">
        <v>29714</v>
      </c>
      <c r="F138" s="51"/>
      <c r="G138" s="51">
        <v>20000</v>
      </c>
      <c r="H138" s="43">
        <f t="shared" si="45"/>
        <v>9714</v>
      </c>
    </row>
    <row r="139" spans="1:9" s="17" customFormat="1" ht="12" customHeight="1" thickBot="1" x14ac:dyDescent="0.25">
      <c r="A139" s="32">
        <v>710</v>
      </c>
      <c r="B139" s="33"/>
      <c r="C139" s="34"/>
      <c r="D139" s="35" t="s">
        <v>15</v>
      </c>
      <c r="E139" s="31">
        <v>3263171</v>
      </c>
      <c r="F139" s="36">
        <f>SUM(F140)</f>
        <v>10000</v>
      </c>
      <c r="G139" s="36">
        <f>SUM(G140)</f>
        <v>0</v>
      </c>
      <c r="H139" s="31">
        <f>SUM(E139+F139-G139)</f>
        <v>3273171</v>
      </c>
    </row>
    <row r="140" spans="1:9" s="17" customFormat="1" ht="12" customHeight="1" thickTop="1" x14ac:dyDescent="0.2">
      <c r="A140" s="21"/>
      <c r="B140" s="27" t="s">
        <v>16</v>
      </c>
      <c r="C140" s="37"/>
      <c r="D140" s="57" t="s">
        <v>101</v>
      </c>
      <c r="E140" s="39">
        <v>9000</v>
      </c>
      <c r="F140" s="40">
        <f>SUM(F142)</f>
        <v>10000</v>
      </c>
      <c r="G140" s="40">
        <f>SUM(G142)</f>
        <v>0</v>
      </c>
      <c r="H140" s="39">
        <f>SUM(E140+F140-G140)</f>
        <v>19000</v>
      </c>
    </row>
    <row r="141" spans="1:9" s="17" customFormat="1" ht="12" customHeight="1" x14ac:dyDescent="0.2">
      <c r="A141" s="32"/>
      <c r="B141" s="33"/>
      <c r="C141" s="65"/>
      <c r="D141" s="71" t="s">
        <v>102</v>
      </c>
      <c r="E141" s="50"/>
      <c r="F141" s="44"/>
      <c r="G141" s="44"/>
      <c r="H141" s="43"/>
    </row>
    <row r="142" spans="1:9" s="17" customFormat="1" ht="12" customHeight="1" x14ac:dyDescent="0.2">
      <c r="A142" s="32"/>
      <c r="B142" s="33"/>
      <c r="C142" s="55"/>
      <c r="D142" s="392" t="s">
        <v>103</v>
      </c>
      <c r="E142" s="108">
        <v>9000</v>
      </c>
      <c r="F142" s="388">
        <f>SUM(F143:F143)</f>
        <v>10000</v>
      </c>
      <c r="G142" s="388">
        <f>SUM(G143:G143)</f>
        <v>0</v>
      </c>
      <c r="H142" s="115">
        <f>SUM(E142+F142-G142)</f>
        <v>19000</v>
      </c>
    </row>
    <row r="143" spans="1:9" s="17" customFormat="1" ht="12" customHeight="1" x14ac:dyDescent="0.2">
      <c r="A143" s="61"/>
      <c r="B143" s="79"/>
      <c r="C143" s="92">
        <v>4270</v>
      </c>
      <c r="D143" s="38" t="s">
        <v>104</v>
      </c>
      <c r="E143" s="84">
        <v>9000</v>
      </c>
      <c r="F143" s="81">
        <v>10000</v>
      </c>
      <c r="G143" s="81"/>
      <c r="H143" s="39">
        <f t="shared" ref="H143:H157" si="46">SUM(E143+F143-G143)</f>
        <v>19000</v>
      </c>
    </row>
    <row r="144" spans="1:9" s="17" customFormat="1" ht="12" customHeight="1" thickBot="1" x14ac:dyDescent="0.25">
      <c r="A144" s="32">
        <v>750</v>
      </c>
      <c r="B144" s="32"/>
      <c r="C144" s="34"/>
      <c r="D144" s="35" t="s">
        <v>53</v>
      </c>
      <c r="E144" s="31">
        <v>82781206.080000013</v>
      </c>
      <c r="F144" s="36">
        <f>SUM(F145)</f>
        <v>56710.36</v>
      </c>
      <c r="G144" s="36">
        <f>SUM(G145)</f>
        <v>56710.36</v>
      </c>
      <c r="H144" s="31">
        <f t="shared" si="46"/>
        <v>82781206.080000013</v>
      </c>
    </row>
    <row r="145" spans="1:8" s="17" customFormat="1" ht="12" customHeight="1" thickTop="1" x14ac:dyDescent="0.2">
      <c r="A145" s="52"/>
      <c r="B145" s="27" t="s">
        <v>105</v>
      </c>
      <c r="C145" s="65"/>
      <c r="D145" s="38" t="s">
        <v>40</v>
      </c>
      <c r="E145" s="39">
        <v>35515475.170000002</v>
      </c>
      <c r="F145" s="40">
        <f>SUM(F146,F151)</f>
        <v>56710.36</v>
      </c>
      <c r="G145" s="40">
        <f>SUM(G146,G151)</f>
        <v>56710.36</v>
      </c>
      <c r="H145" s="39">
        <f t="shared" si="46"/>
        <v>35515475.170000002</v>
      </c>
    </row>
    <row r="146" spans="1:8" s="17" customFormat="1" ht="37.5" customHeight="1" x14ac:dyDescent="0.2">
      <c r="A146" s="52"/>
      <c r="B146" s="52"/>
      <c r="C146" s="55"/>
      <c r="D146" s="393" t="s">
        <v>106</v>
      </c>
      <c r="E146" s="108">
        <v>28046.93</v>
      </c>
      <c r="F146" s="108">
        <f>SUM(F147:F150)</f>
        <v>910.3599999999999</v>
      </c>
      <c r="G146" s="108">
        <f>SUM(G147:G150)</f>
        <v>910.3599999999999</v>
      </c>
      <c r="H146" s="108">
        <f t="shared" si="46"/>
        <v>28046.93</v>
      </c>
    </row>
    <row r="147" spans="1:8" s="17" customFormat="1" ht="12" customHeight="1" x14ac:dyDescent="0.2">
      <c r="A147" s="52"/>
      <c r="B147" s="52"/>
      <c r="C147" s="60" t="s">
        <v>107</v>
      </c>
      <c r="D147" s="71" t="s">
        <v>86</v>
      </c>
      <c r="E147" s="44">
        <v>2400</v>
      </c>
      <c r="F147" s="93"/>
      <c r="G147" s="44">
        <v>136.55000000000001</v>
      </c>
      <c r="H147" s="44">
        <f t="shared" si="46"/>
        <v>2263.4499999999998</v>
      </c>
    </row>
    <row r="148" spans="1:8" s="17" customFormat="1" ht="12" customHeight="1" x14ac:dyDescent="0.2">
      <c r="A148" s="52"/>
      <c r="B148" s="52"/>
      <c r="C148" s="60" t="s">
        <v>108</v>
      </c>
      <c r="D148" s="71" t="s">
        <v>86</v>
      </c>
      <c r="E148" s="44">
        <v>13600</v>
      </c>
      <c r="F148" s="51"/>
      <c r="G148" s="44">
        <v>773.81</v>
      </c>
      <c r="H148" s="44">
        <f t="shared" si="46"/>
        <v>12826.19</v>
      </c>
    </row>
    <row r="149" spans="1:8" s="17" customFormat="1" ht="12" customHeight="1" x14ac:dyDescent="0.2">
      <c r="A149" s="52"/>
      <c r="B149" s="52"/>
      <c r="C149" s="65">
        <v>4306</v>
      </c>
      <c r="D149" s="86" t="s">
        <v>99</v>
      </c>
      <c r="E149" s="44">
        <v>1807.04</v>
      </c>
      <c r="F149" s="93">
        <v>136.55000000000001</v>
      </c>
      <c r="G149" s="44"/>
      <c r="H149" s="44">
        <f t="shared" si="46"/>
        <v>1943.59</v>
      </c>
    </row>
    <row r="150" spans="1:8" s="17" customFormat="1" ht="12" customHeight="1" x14ac:dyDescent="0.2">
      <c r="A150" s="52"/>
      <c r="B150" s="52"/>
      <c r="C150" s="65">
        <v>4307</v>
      </c>
      <c r="D150" s="86" t="s">
        <v>99</v>
      </c>
      <c r="E150" s="44">
        <v>10239.89</v>
      </c>
      <c r="F150" s="51">
        <v>773.81</v>
      </c>
      <c r="G150" s="44"/>
      <c r="H150" s="44">
        <f t="shared" si="46"/>
        <v>11013.699999999999</v>
      </c>
    </row>
    <row r="151" spans="1:8" s="17" customFormat="1" ht="33" customHeight="1" x14ac:dyDescent="0.2">
      <c r="A151" s="52"/>
      <c r="B151" s="52"/>
      <c r="C151" s="55"/>
      <c r="D151" s="393" t="s">
        <v>109</v>
      </c>
      <c r="E151" s="108">
        <v>165610.41</v>
      </c>
      <c r="F151" s="108">
        <f>SUM(F152:F157)</f>
        <v>55800</v>
      </c>
      <c r="G151" s="108">
        <f>SUM(G152:G157)</f>
        <v>55800</v>
      </c>
      <c r="H151" s="108">
        <f t="shared" si="46"/>
        <v>165610.41</v>
      </c>
    </row>
    <row r="152" spans="1:8" s="17" customFormat="1" ht="12" customHeight="1" x14ac:dyDescent="0.2">
      <c r="A152" s="52"/>
      <c r="B152" s="52"/>
      <c r="C152" s="65">
        <v>4306</v>
      </c>
      <c r="D152" s="86" t="s">
        <v>99</v>
      </c>
      <c r="E152" s="44">
        <v>14424.13</v>
      </c>
      <c r="F152" s="93">
        <v>4500</v>
      </c>
      <c r="G152" s="44"/>
      <c r="H152" s="44">
        <f t="shared" si="46"/>
        <v>18924.129999999997</v>
      </c>
    </row>
    <row r="153" spans="1:8" s="17" customFormat="1" ht="12" customHeight="1" x14ac:dyDescent="0.2">
      <c r="A153" s="52"/>
      <c r="B153" s="52"/>
      <c r="C153" s="65">
        <v>4307</v>
      </c>
      <c r="D153" s="86" t="s">
        <v>99</v>
      </c>
      <c r="E153" s="44">
        <v>81736.759999999995</v>
      </c>
      <c r="F153" s="51">
        <v>25500</v>
      </c>
      <c r="G153" s="44"/>
      <c r="H153" s="44">
        <f t="shared" si="46"/>
        <v>107236.76</v>
      </c>
    </row>
    <row r="154" spans="1:8" s="17" customFormat="1" ht="20.25" customHeight="1" x14ac:dyDescent="0.2">
      <c r="A154" s="52"/>
      <c r="B154" s="52"/>
      <c r="C154" s="66">
        <v>4396</v>
      </c>
      <c r="D154" s="82" t="s">
        <v>87</v>
      </c>
      <c r="E154" s="44">
        <v>9616.08</v>
      </c>
      <c r="F154" s="51"/>
      <c r="G154" s="44">
        <v>8370</v>
      </c>
      <c r="H154" s="44">
        <f t="shared" si="46"/>
        <v>1246.08</v>
      </c>
    </row>
    <row r="155" spans="1:8" s="17" customFormat="1" ht="20.25" customHeight="1" x14ac:dyDescent="0.2">
      <c r="A155" s="52"/>
      <c r="B155" s="52"/>
      <c r="C155" s="66">
        <v>4397</v>
      </c>
      <c r="D155" s="82" t="s">
        <v>87</v>
      </c>
      <c r="E155" s="44">
        <v>54491.16</v>
      </c>
      <c r="F155" s="51"/>
      <c r="G155" s="44">
        <v>47430</v>
      </c>
      <c r="H155" s="44">
        <f t="shared" si="46"/>
        <v>7061.1600000000035</v>
      </c>
    </row>
    <row r="156" spans="1:8" s="17" customFormat="1" ht="21" customHeight="1" x14ac:dyDescent="0.2">
      <c r="A156" s="52"/>
      <c r="B156" s="52"/>
      <c r="C156" s="66">
        <v>4706</v>
      </c>
      <c r="D156" s="90" t="s">
        <v>110</v>
      </c>
      <c r="E156" s="44">
        <v>801.34</v>
      </c>
      <c r="F156" s="44">
        <v>3870</v>
      </c>
      <c r="G156" s="44"/>
      <c r="H156" s="44">
        <f t="shared" si="46"/>
        <v>4671.34</v>
      </c>
    </row>
    <row r="157" spans="1:8" s="17" customFormat="1" ht="21" customHeight="1" x14ac:dyDescent="0.2">
      <c r="A157" s="52"/>
      <c r="B157" s="52"/>
      <c r="C157" s="66">
        <v>4707</v>
      </c>
      <c r="D157" s="90" t="s">
        <v>110</v>
      </c>
      <c r="E157" s="44">
        <v>4540.9399999999996</v>
      </c>
      <c r="F157" s="44">
        <v>21930</v>
      </c>
      <c r="G157" s="44"/>
      <c r="H157" s="44">
        <f t="shared" si="46"/>
        <v>26470.94</v>
      </c>
    </row>
    <row r="158" spans="1:8" s="17" customFormat="1" ht="12" customHeight="1" x14ac:dyDescent="0.2">
      <c r="A158" s="94">
        <v>754</v>
      </c>
      <c r="B158" s="95"/>
      <c r="C158" s="96"/>
      <c r="D158" s="97" t="s">
        <v>111</v>
      </c>
      <c r="E158" s="50"/>
      <c r="F158" s="51"/>
      <c r="G158" s="51"/>
      <c r="H158" s="43"/>
    </row>
    <row r="159" spans="1:8" s="17" customFormat="1" ht="12" customHeight="1" thickBot="1" x14ac:dyDescent="0.25">
      <c r="A159" s="94"/>
      <c r="B159" s="95"/>
      <c r="C159" s="96"/>
      <c r="D159" s="97" t="s">
        <v>57</v>
      </c>
      <c r="E159" s="31">
        <v>6683913</v>
      </c>
      <c r="F159" s="36">
        <f>SUM(F160)</f>
        <v>72000</v>
      </c>
      <c r="G159" s="36">
        <f>SUM(G160)</f>
        <v>72000</v>
      </c>
      <c r="H159" s="31">
        <f>SUM(E159+F159-G159)</f>
        <v>6683913</v>
      </c>
    </row>
    <row r="160" spans="1:8" s="17" customFormat="1" ht="12" customHeight="1" thickTop="1" x14ac:dyDescent="0.2">
      <c r="A160" s="68"/>
      <c r="B160" s="27" t="s">
        <v>112</v>
      </c>
      <c r="C160" s="65"/>
      <c r="D160" s="38" t="s">
        <v>113</v>
      </c>
      <c r="E160" s="39">
        <v>159522</v>
      </c>
      <c r="F160" s="40">
        <f>SUM(F161,F164,F173)</f>
        <v>72000</v>
      </c>
      <c r="G160" s="40">
        <f>SUM(G161,G164,G173)</f>
        <v>72000</v>
      </c>
      <c r="H160" s="39">
        <f>SUM(E160+F160-G160)</f>
        <v>159522</v>
      </c>
    </row>
    <row r="161" spans="1:8" s="17" customFormat="1" ht="12" customHeight="1" x14ac:dyDescent="0.2">
      <c r="A161" s="68"/>
      <c r="B161" s="27"/>
      <c r="C161" s="60"/>
      <c r="D161" s="394" t="s">
        <v>114</v>
      </c>
      <c r="E161" s="108">
        <v>60686.830000000016</v>
      </c>
      <c r="F161" s="108">
        <f>SUM(F162:F163)</f>
        <v>50686.83</v>
      </c>
      <c r="G161" s="108">
        <f>SUM(G162:G163)</f>
        <v>50686.83</v>
      </c>
      <c r="H161" s="115">
        <f>SUM(E161+F161-G161)</f>
        <v>60686.830000000016</v>
      </c>
    </row>
    <row r="162" spans="1:8" s="17" customFormat="1" ht="12" customHeight="1" x14ac:dyDescent="0.2">
      <c r="A162" s="68"/>
      <c r="B162" s="27"/>
      <c r="C162" s="52">
        <v>4300</v>
      </c>
      <c r="D162" s="86" t="s">
        <v>99</v>
      </c>
      <c r="E162" s="51">
        <v>55686.830000000016</v>
      </c>
      <c r="F162" s="51"/>
      <c r="G162" s="51">
        <v>50686.83</v>
      </c>
      <c r="H162" s="43">
        <f t="shared" ref="H162:H163" si="47">SUM(E162+F162-G162)</f>
        <v>5000.0000000000146</v>
      </c>
    </row>
    <row r="163" spans="1:8" s="17" customFormat="1" ht="12" customHeight="1" x14ac:dyDescent="0.2">
      <c r="A163" s="68"/>
      <c r="B163" s="27"/>
      <c r="C163" s="52">
        <v>4370</v>
      </c>
      <c r="D163" s="52" t="s">
        <v>115</v>
      </c>
      <c r="E163" s="51">
        <v>0</v>
      </c>
      <c r="F163" s="51">
        <v>50686.83</v>
      </c>
      <c r="G163" s="51"/>
      <c r="H163" s="43">
        <f t="shared" si="47"/>
        <v>50686.83</v>
      </c>
    </row>
    <row r="164" spans="1:8" s="17" customFormat="1" ht="12" customHeight="1" x14ac:dyDescent="0.2">
      <c r="A164" s="68"/>
      <c r="B164" s="27"/>
      <c r="C164" s="27"/>
      <c r="D164" s="392" t="s">
        <v>96</v>
      </c>
      <c r="E164" s="108">
        <v>19957.89</v>
      </c>
      <c r="F164" s="388">
        <f>SUM(F165:F172)</f>
        <v>19957.89</v>
      </c>
      <c r="G164" s="388">
        <f>SUM(G165:G172)</f>
        <v>19957.89</v>
      </c>
      <c r="H164" s="115">
        <f>SUM(E164+F164-G164)</f>
        <v>19957.89</v>
      </c>
    </row>
    <row r="165" spans="1:8" s="17" customFormat="1" ht="12" customHeight="1" x14ac:dyDescent="0.2">
      <c r="A165" s="68"/>
      <c r="B165" s="27"/>
      <c r="C165" s="60" t="s">
        <v>85</v>
      </c>
      <c r="D165" s="71" t="s">
        <v>86</v>
      </c>
      <c r="E165" s="51">
        <v>3304.54</v>
      </c>
      <c r="F165" s="51"/>
      <c r="G165" s="51">
        <v>3304.54</v>
      </c>
      <c r="H165" s="43">
        <f t="shared" ref="H165:H172" si="48">SUM(E165+F165-G165)</f>
        <v>0</v>
      </c>
    </row>
    <row r="166" spans="1:8" s="17" customFormat="1" ht="12" customHeight="1" x14ac:dyDescent="0.2">
      <c r="A166" s="68"/>
      <c r="B166" s="27"/>
      <c r="C166" s="65">
        <v>4260</v>
      </c>
      <c r="D166" s="86" t="s">
        <v>116</v>
      </c>
      <c r="E166" s="51">
        <v>8727.59</v>
      </c>
      <c r="F166" s="51"/>
      <c r="G166" s="51">
        <v>8727.59</v>
      </c>
      <c r="H166" s="43">
        <f t="shared" si="48"/>
        <v>0</v>
      </c>
    </row>
    <row r="167" spans="1:8" s="17" customFormat="1" ht="12" customHeight="1" x14ac:dyDescent="0.2">
      <c r="A167" s="68"/>
      <c r="B167" s="27"/>
      <c r="C167" s="65">
        <v>4270</v>
      </c>
      <c r="D167" s="86" t="s">
        <v>104</v>
      </c>
      <c r="E167" s="51">
        <v>3280.28</v>
      </c>
      <c r="F167" s="51"/>
      <c r="G167" s="51">
        <v>3280.28</v>
      </c>
      <c r="H167" s="43">
        <f t="shared" si="48"/>
        <v>0</v>
      </c>
    </row>
    <row r="168" spans="1:8" s="17" customFormat="1" ht="12" customHeight="1" x14ac:dyDescent="0.2">
      <c r="A168" s="68"/>
      <c r="B168" s="27"/>
      <c r="C168" s="65">
        <v>4300</v>
      </c>
      <c r="D168" s="86" t="s">
        <v>99</v>
      </c>
      <c r="E168" s="51">
        <v>2038.36</v>
      </c>
      <c r="F168" s="51"/>
      <c r="G168" s="51">
        <v>2038.36</v>
      </c>
      <c r="H168" s="43">
        <f t="shared" si="48"/>
        <v>0</v>
      </c>
    </row>
    <row r="169" spans="1:8" s="17" customFormat="1" ht="21" customHeight="1" x14ac:dyDescent="0.2">
      <c r="A169" s="68"/>
      <c r="B169" s="27"/>
      <c r="C169" s="98" t="s">
        <v>117</v>
      </c>
      <c r="D169" s="90" t="s">
        <v>118</v>
      </c>
      <c r="E169" s="51">
        <v>0</v>
      </c>
      <c r="F169" s="51">
        <v>3304.54</v>
      </c>
      <c r="G169" s="51"/>
      <c r="H169" s="43">
        <f t="shared" si="48"/>
        <v>3304.54</v>
      </c>
    </row>
    <row r="170" spans="1:8" s="17" customFormat="1" ht="12" customHeight="1" x14ac:dyDescent="0.2">
      <c r="A170" s="68"/>
      <c r="B170" s="27"/>
      <c r="C170" s="52">
        <v>4370</v>
      </c>
      <c r="D170" s="52" t="s">
        <v>115</v>
      </c>
      <c r="E170" s="51">
        <v>0</v>
      </c>
      <c r="F170" s="51">
        <v>2038.36</v>
      </c>
      <c r="G170" s="51"/>
      <c r="H170" s="43">
        <f t="shared" si="48"/>
        <v>2038.36</v>
      </c>
    </row>
    <row r="171" spans="1:8" s="17" customFormat="1" ht="12" customHeight="1" x14ac:dyDescent="0.2">
      <c r="A171" s="68"/>
      <c r="B171" s="27"/>
      <c r="C171" s="65">
        <v>4430</v>
      </c>
      <c r="D171" s="86" t="s">
        <v>119</v>
      </c>
      <c r="E171" s="51">
        <v>2607.12</v>
      </c>
      <c r="F171" s="51"/>
      <c r="G171" s="51">
        <v>2607.12</v>
      </c>
      <c r="H171" s="43">
        <f t="shared" si="48"/>
        <v>0</v>
      </c>
    </row>
    <row r="172" spans="1:8" s="17" customFormat="1" ht="22.5" customHeight="1" x14ac:dyDescent="0.2">
      <c r="A172" s="68"/>
      <c r="B172" s="27"/>
      <c r="C172" s="66">
        <v>4860</v>
      </c>
      <c r="D172" s="82" t="s">
        <v>120</v>
      </c>
      <c r="E172" s="51">
        <v>0</v>
      </c>
      <c r="F172" s="51">
        <v>14614.99</v>
      </c>
      <c r="G172" s="51"/>
      <c r="H172" s="43">
        <f t="shared" si="48"/>
        <v>14614.99</v>
      </c>
    </row>
    <row r="173" spans="1:8" s="17" customFormat="1" ht="12" customHeight="1" x14ac:dyDescent="0.2">
      <c r="A173" s="68"/>
      <c r="B173" s="27"/>
      <c r="C173" s="27"/>
      <c r="D173" s="394" t="s">
        <v>121</v>
      </c>
      <c r="E173" s="115">
        <v>1355.28</v>
      </c>
      <c r="F173" s="388">
        <f>SUM(F174:F175)</f>
        <v>1355.28</v>
      </c>
      <c r="G173" s="388">
        <f>SUM(G174:G175)</f>
        <v>1355.28</v>
      </c>
      <c r="H173" s="115">
        <f>SUM(E173+F173-G173)</f>
        <v>1355.28</v>
      </c>
    </row>
    <row r="174" spans="1:8" s="17" customFormat="1" ht="12" customHeight="1" x14ac:dyDescent="0.2">
      <c r="A174" s="68"/>
      <c r="B174" s="27"/>
      <c r="C174" s="60" t="s">
        <v>85</v>
      </c>
      <c r="D174" s="71" t="s">
        <v>86</v>
      </c>
      <c r="E174" s="51">
        <v>1355.28</v>
      </c>
      <c r="F174" s="50"/>
      <c r="G174" s="50">
        <v>1355.28</v>
      </c>
      <c r="H174" s="51">
        <f t="shared" ref="H174:H175" si="49">SUM(E174+F174-G174)</f>
        <v>0</v>
      </c>
    </row>
    <row r="175" spans="1:8" s="17" customFormat="1" ht="20.45" customHeight="1" x14ac:dyDescent="0.2">
      <c r="A175" s="52"/>
      <c r="B175" s="52"/>
      <c r="C175" s="98" t="s">
        <v>117</v>
      </c>
      <c r="D175" s="90" t="s">
        <v>118</v>
      </c>
      <c r="E175" s="50">
        <v>0</v>
      </c>
      <c r="F175" s="51">
        <v>1355.28</v>
      </c>
      <c r="G175" s="51"/>
      <c r="H175" s="51">
        <f t="shared" si="49"/>
        <v>1355.28</v>
      </c>
    </row>
    <row r="176" spans="1:8" s="17" customFormat="1" ht="12" customHeight="1" thickBot="1" x14ac:dyDescent="0.25">
      <c r="A176" s="33">
        <v>801</v>
      </c>
      <c r="B176" s="33"/>
      <c r="C176" s="34"/>
      <c r="D176" s="35" t="s">
        <v>29</v>
      </c>
      <c r="E176" s="31">
        <v>300679742.14000005</v>
      </c>
      <c r="F176" s="36">
        <f>SUM(F177,F194,F202,F216,F219,F225,F233,F239,F250,F262,F266,F269,F273,F278,F284,F295,F301,F307,F318,F321)</f>
        <v>1574666</v>
      </c>
      <c r="G176" s="36">
        <f>SUM(G177,G194,G202,G216,G219,G225,G233,G239,G250,G262,G266,G269,G273,G278,G284,G295,G301,G307,G318,G321)</f>
        <v>939071</v>
      </c>
      <c r="H176" s="31">
        <f>SUM(E176+F176-G176)</f>
        <v>301315337.14000005</v>
      </c>
    </row>
    <row r="177" spans="1:8" s="17" customFormat="1" ht="12" customHeight="1" thickTop="1" x14ac:dyDescent="0.2">
      <c r="A177" s="33"/>
      <c r="B177" s="52">
        <v>80101</v>
      </c>
      <c r="C177" s="27"/>
      <c r="D177" s="38" t="s">
        <v>30</v>
      </c>
      <c r="E177" s="39">
        <v>81684957.539999992</v>
      </c>
      <c r="F177" s="40">
        <f>SUM(F178,F189)</f>
        <v>852252.78999999992</v>
      </c>
      <c r="G177" s="40">
        <f>SUM(G178,G189)</f>
        <v>59188</v>
      </c>
      <c r="H177" s="39">
        <f>SUM(E177+F177-G177)</f>
        <v>82478022.329999998</v>
      </c>
    </row>
    <row r="178" spans="1:8" s="17" customFormat="1" ht="12" customHeight="1" x14ac:dyDescent="0.2">
      <c r="A178" s="33"/>
      <c r="B178" s="52"/>
      <c r="C178" s="27"/>
      <c r="D178" s="391" t="s">
        <v>122</v>
      </c>
      <c r="E178" s="108">
        <v>72793900.149999991</v>
      </c>
      <c r="F178" s="108">
        <f>SUM(F179:F188)</f>
        <v>268564</v>
      </c>
      <c r="G178" s="108">
        <f>SUM(G179:G188)</f>
        <v>59188</v>
      </c>
      <c r="H178" s="115">
        <f>SUM(E178+F178-G178)</f>
        <v>73003276.149999991</v>
      </c>
    </row>
    <row r="179" spans="1:8" s="17" customFormat="1" ht="12" customHeight="1" x14ac:dyDescent="0.2">
      <c r="A179" s="33"/>
      <c r="B179" s="52"/>
      <c r="C179" s="65">
        <v>3020</v>
      </c>
      <c r="D179" s="86" t="s">
        <v>123</v>
      </c>
      <c r="E179" s="51">
        <v>455955</v>
      </c>
      <c r="F179" s="51">
        <v>46464</v>
      </c>
      <c r="G179" s="51"/>
      <c r="H179" s="43">
        <f t="shared" ref="H179:H188" si="50">SUM(E179+F179-G179)</f>
        <v>502419</v>
      </c>
    </row>
    <row r="180" spans="1:8" s="17" customFormat="1" ht="12" customHeight="1" x14ac:dyDescent="0.2">
      <c r="A180" s="33"/>
      <c r="B180" s="52"/>
      <c r="C180" s="65">
        <v>4010</v>
      </c>
      <c r="D180" s="86" t="s">
        <v>124</v>
      </c>
      <c r="E180" s="51">
        <v>8687740</v>
      </c>
      <c r="F180" s="51">
        <v>16600</v>
      </c>
      <c r="G180" s="51"/>
      <c r="H180" s="43">
        <f t="shared" si="50"/>
        <v>8704340</v>
      </c>
    </row>
    <row r="181" spans="1:8" s="17" customFormat="1" ht="12" customHeight="1" x14ac:dyDescent="0.2">
      <c r="A181" s="33"/>
      <c r="B181" s="52"/>
      <c r="C181" s="65">
        <v>4040</v>
      </c>
      <c r="D181" s="86" t="s">
        <v>125</v>
      </c>
      <c r="E181" s="51">
        <v>703687</v>
      </c>
      <c r="F181" s="51"/>
      <c r="G181" s="51">
        <v>2000</v>
      </c>
      <c r="H181" s="43">
        <f t="shared" si="50"/>
        <v>701687</v>
      </c>
    </row>
    <row r="182" spans="1:8" s="17" customFormat="1" ht="12" customHeight="1" x14ac:dyDescent="0.2">
      <c r="A182" s="33"/>
      <c r="B182" s="52"/>
      <c r="C182" s="60" t="s">
        <v>85</v>
      </c>
      <c r="D182" s="71" t="s">
        <v>86</v>
      </c>
      <c r="E182" s="51">
        <v>655597</v>
      </c>
      <c r="F182" s="51">
        <v>3000</v>
      </c>
      <c r="G182" s="51"/>
      <c r="H182" s="43">
        <f t="shared" si="50"/>
        <v>658597</v>
      </c>
    </row>
    <row r="183" spans="1:8" s="17" customFormat="1" ht="12" customHeight="1" x14ac:dyDescent="0.2">
      <c r="A183" s="33"/>
      <c r="B183" s="52"/>
      <c r="C183" s="65">
        <v>4220</v>
      </c>
      <c r="D183" s="86" t="s">
        <v>126</v>
      </c>
      <c r="E183" s="50">
        <v>12700</v>
      </c>
      <c r="F183" s="50"/>
      <c r="G183" s="50">
        <v>5000</v>
      </c>
      <c r="H183" s="43">
        <f t="shared" si="50"/>
        <v>7700</v>
      </c>
    </row>
    <row r="184" spans="1:8" s="17" customFormat="1" ht="12" customHeight="1" x14ac:dyDescent="0.2">
      <c r="A184" s="33"/>
      <c r="B184" s="52"/>
      <c r="C184" s="65">
        <v>4240</v>
      </c>
      <c r="D184" s="86" t="s">
        <v>127</v>
      </c>
      <c r="E184" s="50">
        <v>336966</v>
      </c>
      <c r="F184" s="50">
        <v>175000</v>
      </c>
      <c r="G184" s="50"/>
      <c r="H184" s="43">
        <f t="shared" si="50"/>
        <v>511966</v>
      </c>
    </row>
    <row r="185" spans="1:8" s="17" customFormat="1" ht="12" customHeight="1" x14ac:dyDescent="0.2">
      <c r="A185" s="33"/>
      <c r="B185" s="52"/>
      <c r="C185" s="65">
        <v>4260</v>
      </c>
      <c r="D185" s="86" t="s">
        <v>116</v>
      </c>
      <c r="E185" s="50">
        <v>4041286</v>
      </c>
      <c r="F185" s="50">
        <v>18000</v>
      </c>
      <c r="G185" s="50"/>
      <c r="H185" s="43">
        <f t="shared" si="50"/>
        <v>4059286</v>
      </c>
    </row>
    <row r="186" spans="1:8" s="17" customFormat="1" ht="12" customHeight="1" x14ac:dyDescent="0.2">
      <c r="A186" s="33"/>
      <c r="B186" s="52"/>
      <c r="C186" s="65">
        <v>4270</v>
      </c>
      <c r="D186" s="86" t="s">
        <v>104</v>
      </c>
      <c r="E186" s="50">
        <v>225728</v>
      </c>
      <c r="F186" s="50">
        <f>2000+2500</f>
        <v>4500</v>
      </c>
      <c r="G186" s="50"/>
      <c r="H186" s="43">
        <f t="shared" si="50"/>
        <v>230228</v>
      </c>
    </row>
    <row r="187" spans="1:8" s="17" customFormat="1" ht="12" customHeight="1" x14ac:dyDescent="0.2">
      <c r="A187" s="33"/>
      <c r="B187" s="52"/>
      <c r="C187" s="52">
        <v>4300</v>
      </c>
      <c r="D187" s="86" t="s">
        <v>99</v>
      </c>
      <c r="E187" s="50">
        <v>839652</v>
      </c>
      <c r="F187" s="50">
        <v>5000</v>
      </c>
      <c r="G187" s="50"/>
      <c r="H187" s="43">
        <f t="shared" si="50"/>
        <v>844652</v>
      </c>
    </row>
    <row r="188" spans="1:8" s="17" customFormat="1" ht="12" customHeight="1" x14ac:dyDescent="0.2">
      <c r="A188" s="33"/>
      <c r="B188" s="52"/>
      <c r="C188" s="65">
        <v>4710</v>
      </c>
      <c r="D188" s="71" t="s">
        <v>100</v>
      </c>
      <c r="E188" s="50">
        <v>179637.18</v>
      </c>
      <c r="F188" s="50"/>
      <c r="G188" s="50">
        <f>15000+37188</f>
        <v>52188</v>
      </c>
      <c r="H188" s="43">
        <f t="shared" si="50"/>
        <v>127449.18</v>
      </c>
    </row>
    <row r="189" spans="1:8" s="17" customFormat="1" ht="23.1" customHeight="1" x14ac:dyDescent="0.2">
      <c r="A189" s="33"/>
      <c r="B189" s="52"/>
      <c r="C189" s="27"/>
      <c r="D189" s="389" t="s">
        <v>128</v>
      </c>
      <c r="E189" s="108">
        <v>285197</v>
      </c>
      <c r="F189" s="108">
        <f>SUM(F190:F193)</f>
        <v>583688.78999999992</v>
      </c>
      <c r="G189" s="108">
        <f>SUM(G190:G193)</f>
        <v>0</v>
      </c>
      <c r="H189" s="115">
        <f>SUM(E189+F189-G189)</f>
        <v>868885.78999999992</v>
      </c>
    </row>
    <row r="190" spans="1:8" s="17" customFormat="1" ht="23.1" customHeight="1" x14ac:dyDescent="0.2">
      <c r="A190" s="33"/>
      <c r="B190" s="52"/>
      <c r="C190" s="98" t="s">
        <v>117</v>
      </c>
      <c r="D190" s="90" t="s">
        <v>118</v>
      </c>
      <c r="E190" s="50">
        <v>0</v>
      </c>
      <c r="F190" s="51">
        <v>6956.19</v>
      </c>
      <c r="G190" s="51"/>
      <c r="H190" s="43">
        <f t="shared" ref="H190:H193" si="51">SUM(E190+F190-G190)</f>
        <v>6956.19</v>
      </c>
    </row>
    <row r="191" spans="1:8" s="17" customFormat="1" ht="23.1" customHeight="1" x14ac:dyDescent="0.2">
      <c r="A191" s="79"/>
      <c r="B191" s="99"/>
      <c r="C191" s="100">
        <v>4740</v>
      </c>
      <c r="D191" s="67" t="s">
        <v>129</v>
      </c>
      <c r="E191" s="84">
        <v>23300</v>
      </c>
      <c r="F191" s="84">
        <v>23803.29</v>
      </c>
      <c r="G191" s="84"/>
      <c r="H191" s="39">
        <f t="shared" si="51"/>
        <v>47103.29</v>
      </c>
    </row>
    <row r="192" spans="1:8" s="17" customFormat="1" ht="23.1" customHeight="1" x14ac:dyDescent="0.2">
      <c r="A192" s="33"/>
      <c r="B192" s="52"/>
      <c r="C192" s="66">
        <v>4750</v>
      </c>
      <c r="D192" s="82" t="s">
        <v>130</v>
      </c>
      <c r="E192" s="51">
        <v>212347.85</v>
      </c>
      <c r="F192" s="51">
        <f>304328.54+135776.15</f>
        <v>440104.68999999994</v>
      </c>
      <c r="G192" s="51"/>
      <c r="H192" s="43">
        <f t="shared" si="51"/>
        <v>652452.53999999992</v>
      </c>
    </row>
    <row r="193" spans="1:8" s="17" customFormat="1" ht="23.1" customHeight="1" x14ac:dyDescent="0.2">
      <c r="A193" s="33"/>
      <c r="B193" s="52"/>
      <c r="C193" s="66">
        <v>4850</v>
      </c>
      <c r="D193" s="82" t="s">
        <v>131</v>
      </c>
      <c r="E193" s="51">
        <v>49549.15</v>
      </c>
      <c r="F193" s="51">
        <f>79640.81+33183.81</f>
        <v>112824.62</v>
      </c>
      <c r="G193" s="51"/>
      <c r="H193" s="43">
        <f t="shared" si="51"/>
        <v>162373.76999999999</v>
      </c>
    </row>
    <row r="194" spans="1:8" s="17" customFormat="1" ht="12" customHeight="1" x14ac:dyDescent="0.2">
      <c r="A194" s="33"/>
      <c r="B194" s="52">
        <v>80102</v>
      </c>
      <c r="C194" s="27"/>
      <c r="D194" s="38" t="s">
        <v>132</v>
      </c>
      <c r="E194" s="40">
        <v>10389682</v>
      </c>
      <c r="F194" s="40">
        <f>SUM(F195,F197)</f>
        <v>20746.010000000002</v>
      </c>
      <c r="G194" s="40">
        <f>SUM(G195,G197)</f>
        <v>11200</v>
      </c>
      <c r="H194" s="39">
        <f>SUM(E194+F194-G194)</f>
        <v>10399228.01</v>
      </c>
    </row>
    <row r="195" spans="1:8" s="17" customFormat="1" ht="12" customHeight="1" x14ac:dyDescent="0.2">
      <c r="A195" s="33"/>
      <c r="B195" s="52"/>
      <c r="C195" s="27"/>
      <c r="D195" s="391" t="s">
        <v>122</v>
      </c>
      <c r="E195" s="108">
        <v>10389682</v>
      </c>
      <c r="F195" s="108">
        <f>SUM(F196:F196)</f>
        <v>0</v>
      </c>
      <c r="G195" s="108">
        <f>SUM(G196:G196)</f>
        <v>11200</v>
      </c>
      <c r="H195" s="115">
        <f>SUM(E195+F195-G195)</f>
        <v>10378482</v>
      </c>
    </row>
    <row r="196" spans="1:8" s="17" customFormat="1" ht="12" customHeight="1" x14ac:dyDescent="0.2">
      <c r="A196" s="33"/>
      <c r="B196" s="52"/>
      <c r="C196" s="65">
        <v>4710</v>
      </c>
      <c r="D196" s="71" t="s">
        <v>100</v>
      </c>
      <c r="E196" s="51">
        <v>43404</v>
      </c>
      <c r="F196" s="51"/>
      <c r="G196" s="51">
        <v>11200</v>
      </c>
      <c r="H196" s="43">
        <f t="shared" ref="H196" si="52">SUM(E196+F196-G196)</f>
        <v>32204</v>
      </c>
    </row>
    <row r="197" spans="1:8" s="17" customFormat="1" ht="24.75" customHeight="1" x14ac:dyDescent="0.2">
      <c r="A197" s="33"/>
      <c r="B197" s="52"/>
      <c r="C197" s="27"/>
      <c r="D197" s="389" t="s">
        <v>128</v>
      </c>
      <c r="E197" s="108">
        <v>0</v>
      </c>
      <c r="F197" s="108">
        <f>SUM(F198:F201)</f>
        <v>20746.010000000002</v>
      </c>
      <c r="G197" s="108">
        <f>SUM(G198:G201)</f>
        <v>0</v>
      </c>
      <c r="H197" s="115">
        <f>SUM(E197+F197-G197)</f>
        <v>20746.010000000002</v>
      </c>
    </row>
    <row r="198" spans="1:8" s="17" customFormat="1" ht="12" customHeight="1" x14ac:dyDescent="0.2">
      <c r="A198" s="33"/>
      <c r="B198" s="52"/>
      <c r="C198" s="52">
        <v>4370</v>
      </c>
      <c r="D198" s="52" t="s">
        <v>115</v>
      </c>
      <c r="E198" s="50">
        <v>0</v>
      </c>
      <c r="F198" s="51">
        <v>412.5</v>
      </c>
      <c r="G198" s="51"/>
      <c r="H198" s="43">
        <f t="shared" ref="H198:H201" si="53">SUM(E198+F198-G198)</f>
        <v>412.5</v>
      </c>
    </row>
    <row r="199" spans="1:8" s="17" customFormat="1" ht="23.1" customHeight="1" x14ac:dyDescent="0.2">
      <c r="A199" s="33"/>
      <c r="B199" s="52"/>
      <c r="C199" s="66">
        <v>4740</v>
      </c>
      <c r="D199" s="82" t="s">
        <v>129</v>
      </c>
      <c r="E199" s="51">
        <v>0</v>
      </c>
      <c r="F199" s="51">
        <v>3900</v>
      </c>
      <c r="G199" s="51"/>
      <c r="H199" s="43">
        <f t="shared" si="53"/>
        <v>3900</v>
      </c>
    </row>
    <row r="200" spans="1:8" s="17" customFormat="1" ht="23.1" customHeight="1" x14ac:dyDescent="0.2">
      <c r="A200" s="33"/>
      <c r="B200" s="52"/>
      <c r="C200" s="66">
        <v>4750</v>
      </c>
      <c r="D200" s="82" t="s">
        <v>130</v>
      </c>
      <c r="E200" s="51">
        <v>0</v>
      </c>
      <c r="F200" s="51">
        <v>12295</v>
      </c>
      <c r="G200" s="51"/>
      <c r="H200" s="43">
        <f t="shared" si="53"/>
        <v>12295</v>
      </c>
    </row>
    <row r="201" spans="1:8" s="17" customFormat="1" ht="23.1" customHeight="1" x14ac:dyDescent="0.2">
      <c r="A201" s="33"/>
      <c r="B201" s="52"/>
      <c r="C201" s="66">
        <v>4850</v>
      </c>
      <c r="D201" s="82" t="s">
        <v>131</v>
      </c>
      <c r="E201" s="51">
        <v>0</v>
      </c>
      <c r="F201" s="51">
        <v>4138.51</v>
      </c>
      <c r="G201" s="51"/>
      <c r="H201" s="43">
        <f t="shared" si="53"/>
        <v>4138.51</v>
      </c>
    </row>
    <row r="202" spans="1:8" s="17" customFormat="1" ht="12" customHeight="1" x14ac:dyDescent="0.2">
      <c r="A202" s="33"/>
      <c r="B202" s="52">
        <v>80104</v>
      </c>
      <c r="C202" s="27"/>
      <c r="D202" s="38" t="s">
        <v>133</v>
      </c>
      <c r="E202" s="40">
        <v>38441694.82</v>
      </c>
      <c r="F202" s="40">
        <f>SUM(F203,F211)</f>
        <v>81013.929999999993</v>
      </c>
      <c r="G202" s="40">
        <f>SUM(G203,G211)</f>
        <v>104660</v>
      </c>
      <c r="H202" s="39">
        <f>SUM(E202+F202-G202)</f>
        <v>38418048.75</v>
      </c>
    </row>
    <row r="203" spans="1:8" s="17" customFormat="1" ht="12" customHeight="1" x14ac:dyDescent="0.2">
      <c r="A203" s="33"/>
      <c r="B203" s="52"/>
      <c r="C203" s="27"/>
      <c r="D203" s="391" t="s">
        <v>122</v>
      </c>
      <c r="E203" s="108">
        <v>28424243</v>
      </c>
      <c r="F203" s="108">
        <f>SUM(F204:F210)</f>
        <v>23250</v>
      </c>
      <c r="G203" s="108">
        <f>SUM(G204:G210)</f>
        <v>104660</v>
      </c>
      <c r="H203" s="115">
        <f>SUM(E203+F203-G203)</f>
        <v>28342833</v>
      </c>
    </row>
    <row r="204" spans="1:8" s="17" customFormat="1" ht="12" customHeight="1" x14ac:dyDescent="0.2">
      <c r="A204" s="33"/>
      <c r="B204" s="52"/>
      <c r="C204" s="60" t="s">
        <v>85</v>
      </c>
      <c r="D204" s="71" t="s">
        <v>86</v>
      </c>
      <c r="E204" s="50">
        <v>692155</v>
      </c>
      <c r="F204" s="50"/>
      <c r="G204" s="50">
        <v>450</v>
      </c>
      <c r="H204" s="43">
        <f t="shared" ref="H204:H210" si="54">SUM(E204+F204-G204)</f>
        <v>691705</v>
      </c>
    </row>
    <row r="205" spans="1:8" s="17" customFormat="1" ht="12" customHeight="1" x14ac:dyDescent="0.2">
      <c r="A205" s="33"/>
      <c r="B205" s="52"/>
      <c r="C205" s="65">
        <v>4280</v>
      </c>
      <c r="D205" s="86" t="s">
        <v>88</v>
      </c>
      <c r="E205" s="50">
        <v>28302</v>
      </c>
      <c r="F205" s="50">
        <v>450</v>
      </c>
      <c r="G205" s="50"/>
      <c r="H205" s="43">
        <f t="shared" si="54"/>
        <v>28752</v>
      </c>
    </row>
    <row r="206" spans="1:8" s="17" customFormat="1" ht="12" customHeight="1" x14ac:dyDescent="0.2">
      <c r="A206" s="33"/>
      <c r="B206" s="52"/>
      <c r="C206" s="52">
        <v>4300</v>
      </c>
      <c r="D206" s="86" t="s">
        <v>99</v>
      </c>
      <c r="E206" s="50">
        <v>575421</v>
      </c>
      <c r="F206" s="50">
        <v>10000</v>
      </c>
      <c r="G206" s="50"/>
      <c r="H206" s="43">
        <f t="shared" si="54"/>
        <v>585421</v>
      </c>
    </row>
    <row r="207" spans="1:8" s="17" customFormat="1" ht="22.5" customHeight="1" x14ac:dyDescent="0.2">
      <c r="A207" s="33"/>
      <c r="B207" s="52"/>
      <c r="C207" s="66">
        <v>4700</v>
      </c>
      <c r="D207" s="90" t="s">
        <v>110</v>
      </c>
      <c r="E207" s="50">
        <v>24522</v>
      </c>
      <c r="F207" s="50">
        <v>5900</v>
      </c>
      <c r="G207" s="50"/>
      <c r="H207" s="43">
        <f t="shared" si="54"/>
        <v>30422</v>
      </c>
    </row>
    <row r="208" spans="1:8" s="17" customFormat="1" ht="12" customHeight="1" x14ac:dyDescent="0.2">
      <c r="A208" s="33"/>
      <c r="B208" s="52"/>
      <c r="C208" s="65">
        <v>4710</v>
      </c>
      <c r="D208" s="71" t="s">
        <v>100</v>
      </c>
      <c r="E208" s="50">
        <v>182688</v>
      </c>
      <c r="F208" s="50"/>
      <c r="G208" s="50">
        <f>10000+46110+5000</f>
        <v>61110</v>
      </c>
      <c r="H208" s="43">
        <f t="shared" si="54"/>
        <v>121578</v>
      </c>
    </row>
    <row r="209" spans="1:8" s="17" customFormat="1" ht="12" customHeight="1" x14ac:dyDescent="0.2">
      <c r="A209" s="33"/>
      <c r="B209" s="52"/>
      <c r="C209" s="55">
        <v>4790</v>
      </c>
      <c r="D209" s="101" t="s">
        <v>134</v>
      </c>
      <c r="E209" s="50">
        <v>10420150</v>
      </c>
      <c r="F209" s="50">
        <v>6900</v>
      </c>
      <c r="G209" s="50"/>
      <c r="H209" s="43">
        <f t="shared" si="54"/>
        <v>10427050</v>
      </c>
    </row>
    <row r="210" spans="1:8" s="17" customFormat="1" ht="12" customHeight="1" x14ac:dyDescent="0.2">
      <c r="A210" s="33"/>
      <c r="B210" s="52"/>
      <c r="C210" s="55">
        <v>4800</v>
      </c>
      <c r="D210" s="101" t="s">
        <v>135</v>
      </c>
      <c r="E210" s="50">
        <v>972568</v>
      </c>
      <c r="F210" s="50"/>
      <c r="G210" s="50">
        <v>43100</v>
      </c>
      <c r="H210" s="43">
        <f t="shared" si="54"/>
        <v>929468</v>
      </c>
    </row>
    <row r="211" spans="1:8" s="17" customFormat="1" ht="23.1" customHeight="1" x14ac:dyDescent="0.2">
      <c r="A211" s="33"/>
      <c r="B211" s="52"/>
      <c r="C211" s="27"/>
      <c r="D211" s="389" t="s">
        <v>128</v>
      </c>
      <c r="E211" s="108">
        <v>2392.8000000000002</v>
      </c>
      <c r="F211" s="108">
        <f>SUM(F212:F215)</f>
        <v>57763.93</v>
      </c>
      <c r="G211" s="108">
        <f>SUM(G212:G215)</f>
        <v>0</v>
      </c>
      <c r="H211" s="115">
        <f>SUM(E211+F211-G211)</f>
        <v>60156.73</v>
      </c>
    </row>
    <row r="212" spans="1:8" s="17" customFormat="1" ht="23.1" customHeight="1" x14ac:dyDescent="0.2">
      <c r="A212" s="33"/>
      <c r="B212" s="52"/>
      <c r="C212" s="98" t="s">
        <v>117</v>
      </c>
      <c r="D212" s="90" t="s">
        <v>118</v>
      </c>
      <c r="E212" s="50">
        <v>0</v>
      </c>
      <c r="F212" s="51">
        <v>23691.119999999999</v>
      </c>
      <c r="G212" s="51"/>
      <c r="H212" s="43">
        <f t="shared" ref="H212:H215" si="55">SUM(E212+F212-G212)</f>
        <v>23691.119999999999</v>
      </c>
    </row>
    <row r="213" spans="1:8" s="17" customFormat="1" ht="23.1" customHeight="1" x14ac:dyDescent="0.2">
      <c r="A213" s="33"/>
      <c r="B213" s="52"/>
      <c r="C213" s="66">
        <v>4740</v>
      </c>
      <c r="D213" s="82" t="s">
        <v>129</v>
      </c>
      <c r="E213" s="51">
        <v>2000</v>
      </c>
      <c r="F213" s="50">
        <v>7149.84</v>
      </c>
      <c r="G213" s="50"/>
      <c r="H213" s="43">
        <f t="shared" si="55"/>
        <v>9149.84</v>
      </c>
    </row>
    <row r="214" spans="1:8" s="17" customFormat="1" ht="23.1" customHeight="1" x14ac:dyDescent="0.2">
      <c r="A214" s="33"/>
      <c r="B214" s="52"/>
      <c r="C214" s="66">
        <v>4750</v>
      </c>
      <c r="D214" s="82" t="s">
        <v>130</v>
      </c>
      <c r="E214" s="51">
        <v>0</v>
      </c>
      <c r="F214" s="51">
        <v>20405.04</v>
      </c>
      <c r="G214" s="51"/>
      <c r="H214" s="43">
        <f t="shared" si="55"/>
        <v>20405.04</v>
      </c>
    </row>
    <row r="215" spans="1:8" s="17" customFormat="1" ht="23.1" customHeight="1" x14ac:dyDescent="0.2">
      <c r="A215" s="33"/>
      <c r="B215" s="52"/>
      <c r="C215" s="66">
        <v>4850</v>
      </c>
      <c r="D215" s="82" t="s">
        <v>131</v>
      </c>
      <c r="E215" s="51">
        <v>392.8</v>
      </c>
      <c r="F215" s="50">
        <f>1530.93+4987</f>
        <v>6517.93</v>
      </c>
      <c r="G215" s="50"/>
      <c r="H215" s="43">
        <f t="shared" si="55"/>
        <v>6910.7300000000005</v>
      </c>
    </row>
    <row r="216" spans="1:8" s="17" customFormat="1" ht="12" customHeight="1" x14ac:dyDescent="0.2">
      <c r="A216" s="33"/>
      <c r="B216" s="52">
        <v>80107</v>
      </c>
      <c r="C216" s="27"/>
      <c r="D216" s="57" t="s">
        <v>136</v>
      </c>
      <c r="E216" s="40">
        <v>5648514</v>
      </c>
      <c r="F216" s="40">
        <f>SUM(F217)</f>
        <v>0</v>
      </c>
      <c r="G216" s="40">
        <f>SUM(G217)</f>
        <v>3000</v>
      </c>
      <c r="H216" s="39">
        <f>SUM(E216+F216-G216)</f>
        <v>5645514</v>
      </c>
    </row>
    <row r="217" spans="1:8" s="17" customFormat="1" ht="12" customHeight="1" x14ac:dyDescent="0.2">
      <c r="A217" s="33"/>
      <c r="B217" s="65"/>
      <c r="C217" s="27"/>
      <c r="D217" s="391" t="s">
        <v>122</v>
      </c>
      <c r="E217" s="108">
        <v>5648514</v>
      </c>
      <c r="F217" s="108">
        <f>SUM(F218:F218)</f>
        <v>0</v>
      </c>
      <c r="G217" s="108">
        <f>SUM(G218:G218)</f>
        <v>3000</v>
      </c>
      <c r="H217" s="115">
        <f>SUM(E217+F217-G217)</f>
        <v>5645514</v>
      </c>
    </row>
    <row r="218" spans="1:8" s="17" customFormat="1" ht="12" customHeight="1" x14ac:dyDescent="0.2">
      <c r="A218" s="33"/>
      <c r="B218" s="65"/>
      <c r="C218" s="65">
        <v>4710</v>
      </c>
      <c r="D218" s="71" t="s">
        <v>100</v>
      </c>
      <c r="E218" s="51">
        <v>51638</v>
      </c>
      <c r="F218" s="51"/>
      <c r="G218" s="51">
        <v>3000</v>
      </c>
      <c r="H218" s="43">
        <f t="shared" ref="H218" si="56">SUM(E218+F218-G218)</f>
        <v>48638</v>
      </c>
    </row>
    <row r="219" spans="1:8" s="17" customFormat="1" ht="12" customHeight="1" x14ac:dyDescent="0.2">
      <c r="A219" s="33"/>
      <c r="B219" s="55" t="s">
        <v>137</v>
      </c>
      <c r="C219" s="88"/>
      <c r="D219" s="57" t="s">
        <v>138</v>
      </c>
      <c r="E219" s="39">
        <v>696891</v>
      </c>
      <c r="F219" s="40">
        <f>SUM(F220)</f>
        <v>15100</v>
      </c>
      <c r="G219" s="40">
        <f>SUM(G220)</f>
        <v>3600</v>
      </c>
      <c r="H219" s="39">
        <f>SUM(E219+F219-G219)</f>
        <v>708391</v>
      </c>
    </row>
    <row r="220" spans="1:8" s="17" customFormat="1" ht="12" customHeight="1" x14ac:dyDescent="0.2">
      <c r="A220" s="33"/>
      <c r="B220" s="33"/>
      <c r="C220" s="27"/>
      <c r="D220" s="391" t="s">
        <v>122</v>
      </c>
      <c r="E220" s="108">
        <v>576891</v>
      </c>
      <c r="F220" s="108">
        <f>SUM(F221:F224)</f>
        <v>15100</v>
      </c>
      <c r="G220" s="108">
        <f>SUM(G221:G224)</f>
        <v>3600</v>
      </c>
      <c r="H220" s="108">
        <f t="shared" ref="H220:H224" si="57">SUM(E220+F220-G220)</f>
        <v>588391</v>
      </c>
    </row>
    <row r="221" spans="1:8" s="17" customFormat="1" ht="12" customHeight="1" x14ac:dyDescent="0.2">
      <c r="A221" s="33"/>
      <c r="B221" s="26"/>
      <c r="C221" s="60" t="s">
        <v>85</v>
      </c>
      <c r="D221" s="71" t="s">
        <v>86</v>
      </c>
      <c r="E221" s="43">
        <v>85910</v>
      </c>
      <c r="F221" s="43">
        <v>15000</v>
      </c>
      <c r="G221" s="44"/>
      <c r="H221" s="44">
        <f t="shared" si="57"/>
        <v>100910</v>
      </c>
    </row>
    <row r="222" spans="1:8" s="17" customFormat="1" ht="12" customHeight="1" x14ac:dyDescent="0.2">
      <c r="A222" s="33"/>
      <c r="B222" s="26"/>
      <c r="C222" s="65">
        <v>4280</v>
      </c>
      <c r="D222" s="86" t="s">
        <v>88</v>
      </c>
      <c r="E222" s="43">
        <v>1010</v>
      </c>
      <c r="F222" s="43">
        <v>100</v>
      </c>
      <c r="G222" s="44"/>
      <c r="H222" s="44">
        <f t="shared" si="57"/>
        <v>1110</v>
      </c>
    </row>
    <row r="223" spans="1:8" s="17" customFormat="1" ht="12" customHeight="1" x14ac:dyDescent="0.2">
      <c r="A223" s="33"/>
      <c r="B223" s="26"/>
      <c r="C223" s="52">
        <v>4300</v>
      </c>
      <c r="D223" s="86" t="s">
        <v>99</v>
      </c>
      <c r="E223" s="43">
        <v>32839</v>
      </c>
      <c r="F223" s="43"/>
      <c r="G223" s="44">
        <v>100</v>
      </c>
      <c r="H223" s="44">
        <f t="shared" si="57"/>
        <v>32739</v>
      </c>
    </row>
    <row r="224" spans="1:8" s="17" customFormat="1" ht="12" customHeight="1" x14ac:dyDescent="0.2">
      <c r="A224" s="33"/>
      <c r="B224" s="33"/>
      <c r="C224" s="65">
        <v>4710</v>
      </c>
      <c r="D224" s="71" t="s">
        <v>100</v>
      </c>
      <c r="E224" s="43">
        <v>5720</v>
      </c>
      <c r="F224" s="43"/>
      <c r="G224" s="43">
        <v>3500</v>
      </c>
      <c r="H224" s="44">
        <f t="shared" si="57"/>
        <v>2220</v>
      </c>
    </row>
    <row r="225" spans="1:8" s="17" customFormat="1" ht="12" customHeight="1" x14ac:dyDescent="0.2">
      <c r="A225" s="33"/>
      <c r="B225" s="52">
        <v>80115</v>
      </c>
      <c r="C225" s="27"/>
      <c r="D225" s="38" t="s">
        <v>139</v>
      </c>
      <c r="E225" s="39">
        <v>41582037.809999995</v>
      </c>
      <c r="F225" s="40">
        <f>SUM(F226,F229)</f>
        <v>23179.940000000002</v>
      </c>
      <c r="G225" s="40">
        <f>SUM(G226,G229)</f>
        <v>11000</v>
      </c>
      <c r="H225" s="39">
        <f>SUM(E225+F225-G225)</f>
        <v>41594217.749999993</v>
      </c>
    </row>
    <row r="226" spans="1:8" s="17" customFormat="1" ht="12" customHeight="1" x14ac:dyDescent="0.2">
      <c r="A226" s="33"/>
      <c r="B226" s="52"/>
      <c r="C226" s="65"/>
      <c r="D226" s="391" t="s">
        <v>122</v>
      </c>
      <c r="E226" s="108">
        <v>38159858.149999999</v>
      </c>
      <c r="F226" s="395">
        <f>SUM(F227:F228)</f>
        <v>11000</v>
      </c>
      <c r="G226" s="395">
        <f>SUM(G227:G228)</f>
        <v>11000</v>
      </c>
      <c r="H226" s="115">
        <f t="shared" ref="H226:H228" si="58">SUM(E226+F226-G226)</f>
        <v>38159858.149999999</v>
      </c>
    </row>
    <row r="227" spans="1:8" s="17" customFormat="1" ht="12" customHeight="1" x14ac:dyDescent="0.2">
      <c r="A227" s="33"/>
      <c r="B227" s="52"/>
      <c r="C227" s="65">
        <v>4270</v>
      </c>
      <c r="D227" s="86" t="s">
        <v>104</v>
      </c>
      <c r="E227" s="50">
        <v>222648</v>
      </c>
      <c r="F227" s="51"/>
      <c r="G227" s="51">
        <v>11000</v>
      </c>
      <c r="H227" s="43">
        <f t="shared" si="58"/>
        <v>211648</v>
      </c>
    </row>
    <row r="228" spans="1:8" s="17" customFormat="1" ht="12" customHeight="1" x14ac:dyDescent="0.2">
      <c r="A228" s="33"/>
      <c r="B228" s="52"/>
      <c r="C228" s="52">
        <v>4300</v>
      </c>
      <c r="D228" s="86" t="s">
        <v>99</v>
      </c>
      <c r="E228" s="50">
        <v>355158</v>
      </c>
      <c r="F228" s="51">
        <v>11000</v>
      </c>
      <c r="G228" s="51"/>
      <c r="H228" s="43">
        <f t="shared" si="58"/>
        <v>366158</v>
      </c>
    </row>
    <row r="229" spans="1:8" s="17" customFormat="1" ht="23.1" customHeight="1" x14ac:dyDescent="0.2">
      <c r="A229" s="33"/>
      <c r="B229" s="52"/>
      <c r="C229" s="27"/>
      <c r="D229" s="389" t="s">
        <v>128</v>
      </c>
      <c r="E229" s="108">
        <v>2821.9</v>
      </c>
      <c r="F229" s="108">
        <f>SUM(F230:F232)</f>
        <v>12179.94</v>
      </c>
      <c r="G229" s="108">
        <f>SUM(G230:G232)</f>
        <v>0</v>
      </c>
      <c r="H229" s="115">
        <f>SUM(E229+F229-G229)</f>
        <v>15001.84</v>
      </c>
    </row>
    <row r="230" spans="1:8" s="17" customFormat="1" ht="23.1" customHeight="1" x14ac:dyDescent="0.2">
      <c r="A230" s="33"/>
      <c r="B230" s="52"/>
      <c r="C230" s="66">
        <v>4740</v>
      </c>
      <c r="D230" s="82" t="s">
        <v>129</v>
      </c>
      <c r="E230" s="51">
        <v>0</v>
      </c>
      <c r="F230" s="51">
        <v>60</v>
      </c>
      <c r="G230" s="51"/>
      <c r="H230" s="43">
        <f t="shared" ref="H230:H232" si="59">SUM(E230+F230-G230)</f>
        <v>60</v>
      </c>
    </row>
    <row r="231" spans="1:8" s="17" customFormat="1" ht="23.1" customHeight="1" x14ac:dyDescent="0.2">
      <c r="A231" s="33"/>
      <c r="B231" s="52"/>
      <c r="C231" s="66">
        <v>4750</v>
      </c>
      <c r="D231" s="82" t="s">
        <v>130</v>
      </c>
      <c r="E231" s="51">
        <v>1800</v>
      </c>
      <c r="F231" s="44">
        <f>9128.31+742.19</f>
        <v>9870.5</v>
      </c>
      <c r="G231" s="44"/>
      <c r="H231" s="44">
        <f t="shared" si="59"/>
        <v>11670.5</v>
      </c>
    </row>
    <row r="232" spans="1:8" s="17" customFormat="1" ht="23.1" customHeight="1" x14ac:dyDescent="0.2">
      <c r="A232" s="33"/>
      <c r="B232" s="52"/>
      <c r="C232" s="66">
        <v>4850</v>
      </c>
      <c r="D232" s="82" t="s">
        <v>131</v>
      </c>
      <c r="E232" s="51">
        <v>1021.9</v>
      </c>
      <c r="F232" s="51">
        <f>2068.02+181.42</f>
        <v>2249.44</v>
      </c>
      <c r="G232" s="51"/>
      <c r="H232" s="50">
        <f t="shared" si="59"/>
        <v>3271.34</v>
      </c>
    </row>
    <row r="233" spans="1:8" s="17" customFormat="1" ht="12" customHeight="1" x14ac:dyDescent="0.2">
      <c r="A233" s="33"/>
      <c r="B233" s="52">
        <v>80116</v>
      </c>
      <c r="C233" s="27"/>
      <c r="D233" s="38" t="s">
        <v>140</v>
      </c>
      <c r="E233" s="84">
        <v>6003725</v>
      </c>
      <c r="F233" s="40">
        <f>SUM(F234,F236)</f>
        <v>500</v>
      </c>
      <c r="G233" s="40">
        <f>SUM(G234,G236)</f>
        <v>141000</v>
      </c>
      <c r="H233" s="39">
        <f>SUM(E233+F233-G233)</f>
        <v>5863225</v>
      </c>
    </row>
    <row r="234" spans="1:8" s="17" customFormat="1" ht="12" customHeight="1" x14ac:dyDescent="0.2">
      <c r="A234" s="33"/>
      <c r="B234" s="52"/>
      <c r="C234" s="27"/>
      <c r="D234" s="394" t="s">
        <v>141</v>
      </c>
      <c r="E234" s="108">
        <v>5222240</v>
      </c>
      <c r="F234" s="108">
        <f>SUM(F235:F235)</f>
        <v>0</v>
      </c>
      <c r="G234" s="108">
        <f>SUM(G235:G235)</f>
        <v>140000</v>
      </c>
      <c r="H234" s="108">
        <f t="shared" ref="H234:H238" si="60">SUM(E234+F234-G234)</f>
        <v>5082240</v>
      </c>
    </row>
    <row r="235" spans="1:8" s="17" customFormat="1" ht="20.45" customHeight="1" x14ac:dyDescent="0.2">
      <c r="A235" s="79"/>
      <c r="B235" s="99"/>
      <c r="C235" s="100">
        <v>2540</v>
      </c>
      <c r="D235" s="67" t="s">
        <v>142</v>
      </c>
      <c r="E235" s="40">
        <v>5222240</v>
      </c>
      <c r="F235" s="40"/>
      <c r="G235" s="40">
        <v>140000</v>
      </c>
      <c r="H235" s="40">
        <f t="shared" si="60"/>
        <v>5082240</v>
      </c>
    </row>
    <row r="236" spans="1:8" s="17" customFormat="1" ht="12" customHeight="1" x14ac:dyDescent="0.2">
      <c r="A236" s="33"/>
      <c r="B236" s="33"/>
      <c r="C236" s="27"/>
      <c r="D236" s="391" t="s">
        <v>122</v>
      </c>
      <c r="E236" s="108">
        <v>781485</v>
      </c>
      <c r="F236" s="108">
        <f>SUM(F237:F238)</f>
        <v>500</v>
      </c>
      <c r="G236" s="108">
        <f>SUM(G237:G238)</f>
        <v>1000</v>
      </c>
      <c r="H236" s="108">
        <f t="shared" si="60"/>
        <v>780985</v>
      </c>
    </row>
    <row r="237" spans="1:8" s="17" customFormat="1" ht="12" customHeight="1" x14ac:dyDescent="0.2">
      <c r="A237" s="33"/>
      <c r="B237" s="52"/>
      <c r="C237" s="65">
        <v>4280</v>
      </c>
      <c r="D237" s="86" t="s">
        <v>88</v>
      </c>
      <c r="E237" s="50">
        <v>200</v>
      </c>
      <c r="F237" s="51">
        <v>500</v>
      </c>
      <c r="G237" s="51"/>
      <c r="H237" s="50">
        <f t="shared" si="60"/>
        <v>700</v>
      </c>
    </row>
    <row r="238" spans="1:8" s="17" customFormat="1" ht="12" customHeight="1" x14ac:dyDescent="0.2">
      <c r="A238" s="33"/>
      <c r="B238" s="52"/>
      <c r="C238" s="65">
        <v>4710</v>
      </c>
      <c r="D238" s="71" t="s">
        <v>100</v>
      </c>
      <c r="E238" s="50">
        <v>5403</v>
      </c>
      <c r="F238" s="51"/>
      <c r="G238" s="51">
        <f>500+500</f>
        <v>1000</v>
      </c>
      <c r="H238" s="50">
        <f t="shared" si="60"/>
        <v>4403</v>
      </c>
    </row>
    <row r="239" spans="1:8" s="17" customFormat="1" ht="12" customHeight="1" x14ac:dyDescent="0.2">
      <c r="A239" s="33"/>
      <c r="B239" s="52">
        <v>80117</v>
      </c>
      <c r="C239" s="27"/>
      <c r="D239" s="38" t="s">
        <v>33</v>
      </c>
      <c r="E239" s="84">
        <v>8555353.2400000002</v>
      </c>
      <c r="F239" s="40">
        <f>SUM(F240,F246)</f>
        <v>51380.07</v>
      </c>
      <c r="G239" s="40">
        <f>SUM(G240,G246)</f>
        <v>6500</v>
      </c>
      <c r="H239" s="39">
        <f>SUM(E239+F239-G239)</f>
        <v>8600233.3100000005</v>
      </c>
    </row>
    <row r="240" spans="1:8" s="17" customFormat="1" ht="12" customHeight="1" x14ac:dyDescent="0.2">
      <c r="A240" s="33"/>
      <c r="B240" s="33"/>
      <c r="C240" s="27"/>
      <c r="D240" s="391" t="s">
        <v>122</v>
      </c>
      <c r="E240" s="108">
        <v>5898369.2400000002</v>
      </c>
      <c r="F240" s="108">
        <f>SUM(F241:F245)</f>
        <v>48500</v>
      </c>
      <c r="G240" s="108">
        <f>SUM(G241:G245)</f>
        <v>6500</v>
      </c>
      <c r="H240" s="108">
        <f t="shared" ref="H240:H245" si="61">SUM(E240+F240-G240)</f>
        <v>5940369.2400000002</v>
      </c>
    </row>
    <row r="241" spans="1:8" s="17" customFormat="1" ht="12" customHeight="1" x14ac:dyDescent="0.2">
      <c r="A241" s="33"/>
      <c r="B241" s="33"/>
      <c r="C241" s="65">
        <v>4240</v>
      </c>
      <c r="D241" s="86" t="s">
        <v>127</v>
      </c>
      <c r="E241" s="51">
        <v>41077</v>
      </c>
      <c r="F241" s="51">
        <v>42000</v>
      </c>
      <c r="G241" s="51"/>
      <c r="H241" s="50">
        <f t="shared" si="61"/>
        <v>83077</v>
      </c>
    </row>
    <row r="242" spans="1:8" s="17" customFormat="1" ht="12" customHeight="1" x14ac:dyDescent="0.2">
      <c r="A242" s="33"/>
      <c r="B242" s="52"/>
      <c r="C242" s="65">
        <v>4270</v>
      </c>
      <c r="D242" s="86" t="s">
        <v>104</v>
      </c>
      <c r="E242" s="50">
        <v>31330</v>
      </c>
      <c r="F242" s="51"/>
      <c r="G242" s="51">
        <v>6000</v>
      </c>
      <c r="H242" s="50">
        <f t="shared" si="61"/>
        <v>25330</v>
      </c>
    </row>
    <row r="243" spans="1:8" s="17" customFormat="1" ht="12" customHeight="1" x14ac:dyDescent="0.2">
      <c r="A243" s="33"/>
      <c r="B243" s="52"/>
      <c r="C243" s="65">
        <v>4280</v>
      </c>
      <c r="D243" s="86" t="s">
        <v>88</v>
      </c>
      <c r="E243" s="50">
        <v>3184</v>
      </c>
      <c r="F243" s="51">
        <v>500</v>
      </c>
      <c r="G243" s="51"/>
      <c r="H243" s="50">
        <f t="shared" si="61"/>
        <v>3684</v>
      </c>
    </row>
    <row r="244" spans="1:8" s="17" customFormat="1" ht="12" customHeight="1" x14ac:dyDescent="0.2">
      <c r="A244" s="33"/>
      <c r="B244" s="52"/>
      <c r="C244" s="65">
        <v>4300</v>
      </c>
      <c r="D244" s="86" t="s">
        <v>99</v>
      </c>
      <c r="E244" s="50">
        <v>67719</v>
      </c>
      <c r="F244" s="51">
        <v>6000</v>
      </c>
      <c r="G244" s="51"/>
      <c r="H244" s="50">
        <f t="shared" si="61"/>
        <v>73719</v>
      </c>
    </row>
    <row r="245" spans="1:8" s="17" customFormat="1" ht="12" customHeight="1" x14ac:dyDescent="0.2">
      <c r="A245" s="33"/>
      <c r="B245" s="52"/>
      <c r="C245" s="65">
        <v>4710</v>
      </c>
      <c r="D245" s="71" t="s">
        <v>100</v>
      </c>
      <c r="E245" s="50">
        <v>34975.03</v>
      </c>
      <c r="F245" s="51"/>
      <c r="G245" s="51">
        <v>500</v>
      </c>
      <c r="H245" s="50">
        <f t="shared" si="61"/>
        <v>34475.03</v>
      </c>
    </row>
    <row r="246" spans="1:8" s="17" customFormat="1" ht="21.75" customHeight="1" x14ac:dyDescent="0.2">
      <c r="A246" s="33"/>
      <c r="B246" s="52"/>
      <c r="C246" s="27"/>
      <c r="D246" s="389" t="s">
        <v>128</v>
      </c>
      <c r="E246" s="108">
        <v>0</v>
      </c>
      <c r="F246" s="108">
        <f>SUM(F247:F249)</f>
        <v>2880.07</v>
      </c>
      <c r="G246" s="108">
        <f>SUM(G247:G249)</f>
        <v>0</v>
      </c>
      <c r="H246" s="115">
        <f>SUM(E246+F246-G246)</f>
        <v>2880.07</v>
      </c>
    </row>
    <row r="247" spans="1:8" s="17" customFormat="1" ht="20.25" customHeight="1" x14ac:dyDescent="0.2">
      <c r="A247" s="33"/>
      <c r="B247" s="52"/>
      <c r="C247" s="66">
        <v>4740</v>
      </c>
      <c r="D247" s="82" t="s">
        <v>129</v>
      </c>
      <c r="E247" s="51">
        <v>0</v>
      </c>
      <c r="F247" s="51">
        <v>55</v>
      </c>
      <c r="G247" s="51"/>
      <c r="H247" s="43">
        <f t="shared" ref="H247:H249" si="62">SUM(E247+F247-G247)</f>
        <v>55</v>
      </c>
    </row>
    <row r="248" spans="1:8" s="17" customFormat="1" ht="20.25" customHeight="1" x14ac:dyDescent="0.2">
      <c r="A248" s="33"/>
      <c r="B248" s="52"/>
      <c r="C248" s="66">
        <v>4750</v>
      </c>
      <c r="D248" s="82" t="s">
        <v>130</v>
      </c>
      <c r="E248" s="51">
        <v>0</v>
      </c>
      <c r="F248" s="44">
        <f>1562.39+768.26</f>
        <v>2330.65</v>
      </c>
      <c r="G248" s="44"/>
      <c r="H248" s="44">
        <f t="shared" si="62"/>
        <v>2330.65</v>
      </c>
    </row>
    <row r="249" spans="1:8" s="17" customFormat="1" ht="20.25" customHeight="1" x14ac:dyDescent="0.2">
      <c r="A249" s="33"/>
      <c r="B249" s="52"/>
      <c r="C249" s="66">
        <v>4850</v>
      </c>
      <c r="D249" s="82" t="s">
        <v>131</v>
      </c>
      <c r="E249" s="51">
        <v>0</v>
      </c>
      <c r="F249" s="51">
        <f>306.66+187.76</f>
        <v>494.42</v>
      </c>
      <c r="G249" s="51"/>
      <c r="H249" s="50">
        <f t="shared" si="62"/>
        <v>494.42</v>
      </c>
    </row>
    <row r="250" spans="1:8" s="17" customFormat="1" ht="12" customHeight="1" x14ac:dyDescent="0.2">
      <c r="A250" s="33"/>
      <c r="B250" s="55">
        <v>80120</v>
      </c>
      <c r="C250" s="88"/>
      <c r="D250" s="57" t="s">
        <v>36</v>
      </c>
      <c r="E250" s="84">
        <v>28878675.809999999</v>
      </c>
      <c r="F250" s="40">
        <f>SUM(F251,F258)</f>
        <v>155243.51</v>
      </c>
      <c r="G250" s="40">
        <f>SUM(G251,G258)</f>
        <v>21700</v>
      </c>
      <c r="H250" s="39">
        <f>SUM(E250+F250-G250)</f>
        <v>29012219.32</v>
      </c>
    </row>
    <row r="251" spans="1:8" s="17" customFormat="1" ht="12" customHeight="1" x14ac:dyDescent="0.2">
      <c r="A251" s="33"/>
      <c r="B251" s="33"/>
      <c r="C251" s="27"/>
      <c r="D251" s="391" t="s">
        <v>122</v>
      </c>
      <c r="E251" s="108">
        <v>21683198.25</v>
      </c>
      <c r="F251" s="108">
        <f>SUM(F252:F257)</f>
        <v>110000</v>
      </c>
      <c r="G251" s="108">
        <f>SUM(G252:G257)</f>
        <v>21700</v>
      </c>
      <c r="H251" s="108">
        <f t="shared" ref="H251:H261" si="63">SUM(E251+F251-G251)</f>
        <v>21771498.25</v>
      </c>
    </row>
    <row r="252" spans="1:8" s="17" customFormat="1" ht="11.45" customHeight="1" x14ac:dyDescent="0.2">
      <c r="A252" s="33"/>
      <c r="B252" s="52"/>
      <c r="C252" s="65">
        <v>4040</v>
      </c>
      <c r="D252" s="86" t="s">
        <v>125</v>
      </c>
      <c r="E252" s="43">
        <v>212273</v>
      </c>
      <c r="F252" s="44"/>
      <c r="G252" s="44">
        <f>5700+4000</f>
        <v>9700</v>
      </c>
      <c r="H252" s="44">
        <f t="shared" si="63"/>
        <v>202573</v>
      </c>
    </row>
    <row r="253" spans="1:8" s="17" customFormat="1" ht="11.45" customHeight="1" x14ac:dyDescent="0.2">
      <c r="A253" s="33"/>
      <c r="B253" s="52"/>
      <c r="C253" s="65">
        <v>4240</v>
      </c>
      <c r="D253" s="86" t="s">
        <v>127</v>
      </c>
      <c r="E253" s="51">
        <v>100153</v>
      </c>
      <c r="F253" s="51">
        <f>14000+16000</f>
        <v>30000</v>
      </c>
      <c r="G253" s="51"/>
      <c r="H253" s="50">
        <f t="shared" si="63"/>
        <v>130153</v>
      </c>
    </row>
    <row r="254" spans="1:8" s="17" customFormat="1" ht="11.45" customHeight="1" x14ac:dyDescent="0.2">
      <c r="A254" s="33"/>
      <c r="B254" s="52"/>
      <c r="C254" s="65">
        <v>4260</v>
      </c>
      <c r="D254" s="86" t="s">
        <v>116</v>
      </c>
      <c r="E254" s="43">
        <v>1403017</v>
      </c>
      <c r="F254" s="51">
        <v>50000</v>
      </c>
      <c r="G254" s="51"/>
      <c r="H254" s="50">
        <f t="shared" si="63"/>
        <v>1453017</v>
      </c>
    </row>
    <row r="255" spans="1:8" s="17" customFormat="1" ht="11.45" customHeight="1" x14ac:dyDescent="0.2">
      <c r="A255" s="33"/>
      <c r="B255" s="52"/>
      <c r="C255" s="65">
        <v>4270</v>
      </c>
      <c r="D255" s="86" t="s">
        <v>104</v>
      </c>
      <c r="E255" s="43">
        <v>65659</v>
      </c>
      <c r="F255" s="51"/>
      <c r="G255" s="51">
        <v>10000</v>
      </c>
      <c r="H255" s="50">
        <f t="shared" si="63"/>
        <v>55659</v>
      </c>
    </row>
    <row r="256" spans="1:8" s="17" customFormat="1" ht="11.45" customHeight="1" x14ac:dyDescent="0.2">
      <c r="A256" s="33"/>
      <c r="B256" s="52"/>
      <c r="C256" s="65">
        <v>4300</v>
      </c>
      <c r="D256" s="86" t="s">
        <v>99</v>
      </c>
      <c r="E256" s="43">
        <v>197333</v>
      </c>
      <c r="F256" s="51">
        <v>30000</v>
      </c>
      <c r="G256" s="51"/>
      <c r="H256" s="50">
        <f t="shared" si="63"/>
        <v>227333</v>
      </c>
    </row>
    <row r="257" spans="1:8" s="17" customFormat="1" ht="11.45" customHeight="1" x14ac:dyDescent="0.2">
      <c r="A257" s="33"/>
      <c r="B257" s="52"/>
      <c r="C257" s="65">
        <v>4710</v>
      </c>
      <c r="D257" s="71" t="s">
        <v>100</v>
      </c>
      <c r="E257" s="43">
        <v>78599.960000000006</v>
      </c>
      <c r="F257" s="51"/>
      <c r="G257" s="51">
        <v>2000</v>
      </c>
      <c r="H257" s="50">
        <f t="shared" si="63"/>
        <v>76599.960000000006</v>
      </c>
    </row>
    <row r="258" spans="1:8" s="17" customFormat="1" ht="23.1" customHeight="1" x14ac:dyDescent="0.2">
      <c r="A258" s="33"/>
      <c r="B258" s="52"/>
      <c r="C258" s="27"/>
      <c r="D258" s="389" t="s">
        <v>128</v>
      </c>
      <c r="E258" s="108">
        <v>17578.099999999999</v>
      </c>
      <c r="F258" s="108">
        <f>SUM(F259:F261)</f>
        <v>45243.509999999995</v>
      </c>
      <c r="G258" s="108">
        <f>SUM(G259:G261)</f>
        <v>0</v>
      </c>
      <c r="H258" s="108">
        <f t="shared" si="63"/>
        <v>62821.609999999993</v>
      </c>
    </row>
    <row r="259" spans="1:8" s="17" customFormat="1" ht="23.1" customHeight="1" x14ac:dyDescent="0.2">
      <c r="A259" s="33"/>
      <c r="B259" s="52"/>
      <c r="C259" s="98" t="s">
        <v>117</v>
      </c>
      <c r="D259" s="90" t="s">
        <v>118</v>
      </c>
      <c r="E259" s="50">
        <v>0</v>
      </c>
      <c r="F259" s="51">
        <v>1500</v>
      </c>
      <c r="G259" s="51"/>
      <c r="H259" s="43">
        <f t="shared" si="63"/>
        <v>1500</v>
      </c>
    </row>
    <row r="260" spans="1:8" s="17" customFormat="1" ht="23.1" customHeight="1" x14ac:dyDescent="0.2">
      <c r="A260" s="33"/>
      <c r="B260" s="52"/>
      <c r="C260" s="66">
        <v>4750</v>
      </c>
      <c r="D260" s="82" t="s">
        <v>130</v>
      </c>
      <c r="E260" s="51">
        <v>13343.1</v>
      </c>
      <c r="F260" s="44">
        <f>22918.28+12450.95</f>
        <v>35369.229999999996</v>
      </c>
      <c r="G260" s="44"/>
      <c r="H260" s="44">
        <f t="shared" si="63"/>
        <v>48712.329999999994</v>
      </c>
    </row>
    <row r="261" spans="1:8" s="17" customFormat="1" ht="23.1" customHeight="1" x14ac:dyDescent="0.2">
      <c r="A261" s="33"/>
      <c r="B261" s="52"/>
      <c r="C261" s="66">
        <v>4850</v>
      </c>
      <c r="D261" s="82" t="s">
        <v>131</v>
      </c>
      <c r="E261" s="51">
        <v>4235</v>
      </c>
      <c r="F261" s="44">
        <f>5331.27+3043.01</f>
        <v>8374.2800000000007</v>
      </c>
      <c r="G261" s="44"/>
      <c r="H261" s="44">
        <f t="shared" si="63"/>
        <v>12609.28</v>
      </c>
    </row>
    <row r="262" spans="1:8" s="17" customFormat="1" ht="11.45" customHeight="1" x14ac:dyDescent="0.2">
      <c r="A262" s="33"/>
      <c r="B262" s="65">
        <v>80132</v>
      </c>
      <c r="C262" s="27"/>
      <c r="D262" s="38" t="s">
        <v>143</v>
      </c>
      <c r="E262" s="39">
        <v>14431811.710000001</v>
      </c>
      <c r="F262" s="40">
        <f>SUM(F263)</f>
        <v>7608.75</v>
      </c>
      <c r="G262" s="40">
        <f>SUM(G263)</f>
        <v>0</v>
      </c>
      <c r="H262" s="39">
        <f>SUM(E262+F262-G262)</f>
        <v>14439420.460000001</v>
      </c>
    </row>
    <row r="263" spans="1:8" s="17" customFormat="1" ht="23.1" customHeight="1" x14ac:dyDescent="0.2">
      <c r="A263" s="33"/>
      <c r="B263" s="65"/>
      <c r="C263" s="27"/>
      <c r="D263" s="389" t="s">
        <v>128</v>
      </c>
      <c r="E263" s="108">
        <v>0</v>
      </c>
      <c r="F263" s="108">
        <f>SUM(F264:F265)</f>
        <v>7608.75</v>
      </c>
      <c r="G263" s="108">
        <f>SUM(G264:G265)</f>
        <v>0</v>
      </c>
      <c r="H263" s="108">
        <f t="shared" ref="H263:H265" si="64">SUM(E263+F263-G263)</f>
        <v>7608.75</v>
      </c>
    </row>
    <row r="264" spans="1:8" s="17" customFormat="1" ht="23.1" customHeight="1" x14ac:dyDescent="0.2">
      <c r="A264" s="33"/>
      <c r="B264" s="52"/>
      <c r="C264" s="66">
        <v>4750</v>
      </c>
      <c r="D264" s="82" t="s">
        <v>130</v>
      </c>
      <c r="E264" s="51">
        <v>0</v>
      </c>
      <c r="F264" s="44">
        <f>4177.13+1939.42</f>
        <v>6116.55</v>
      </c>
      <c r="G264" s="44"/>
      <c r="H264" s="44">
        <f t="shared" si="64"/>
        <v>6116.55</v>
      </c>
    </row>
    <row r="265" spans="1:8" s="17" customFormat="1" ht="23.1" customHeight="1" x14ac:dyDescent="0.2">
      <c r="A265" s="33"/>
      <c r="B265" s="52"/>
      <c r="C265" s="66">
        <v>4850</v>
      </c>
      <c r="D265" s="82" t="s">
        <v>131</v>
      </c>
      <c r="E265" s="51">
        <v>0</v>
      </c>
      <c r="F265" s="44">
        <f>1018.21+473.99</f>
        <v>1492.2</v>
      </c>
      <c r="G265" s="44"/>
      <c r="H265" s="44">
        <f t="shared" si="64"/>
        <v>1492.2</v>
      </c>
    </row>
    <row r="266" spans="1:8" s="17" customFormat="1" ht="11.45" customHeight="1" x14ac:dyDescent="0.2">
      <c r="A266" s="33"/>
      <c r="B266" s="52">
        <v>80134</v>
      </c>
      <c r="C266" s="27"/>
      <c r="D266" s="74" t="s">
        <v>144</v>
      </c>
      <c r="E266" s="84">
        <v>9256718.2400000002</v>
      </c>
      <c r="F266" s="40">
        <f>SUM(F267)</f>
        <v>0</v>
      </c>
      <c r="G266" s="40">
        <f>SUM(G267)</f>
        <v>20000</v>
      </c>
      <c r="H266" s="39">
        <f>SUM(E266+F266-G266)</f>
        <v>9236718.2400000002</v>
      </c>
    </row>
    <row r="267" spans="1:8" s="17" customFormat="1" ht="11.45" customHeight="1" x14ac:dyDescent="0.2">
      <c r="A267" s="33"/>
      <c r="B267" s="33"/>
      <c r="C267" s="27"/>
      <c r="D267" s="391" t="s">
        <v>122</v>
      </c>
      <c r="E267" s="108">
        <v>8970896</v>
      </c>
      <c r="F267" s="108">
        <f>SUM(F268:F268)</f>
        <v>0</v>
      </c>
      <c r="G267" s="108">
        <f>SUM(G268:G268)</f>
        <v>20000</v>
      </c>
      <c r="H267" s="115">
        <f>SUM(E267+F267-G267)</f>
        <v>8950896</v>
      </c>
    </row>
    <row r="268" spans="1:8" s="17" customFormat="1" ht="11.45" customHeight="1" x14ac:dyDescent="0.2">
      <c r="A268" s="33"/>
      <c r="B268" s="33"/>
      <c r="C268" s="65">
        <v>4710</v>
      </c>
      <c r="D268" s="71" t="s">
        <v>100</v>
      </c>
      <c r="E268" s="51">
        <v>41378</v>
      </c>
      <c r="F268" s="51"/>
      <c r="G268" s="51">
        <v>20000</v>
      </c>
      <c r="H268" s="43">
        <f t="shared" ref="H268" si="65">SUM(E268+F268-G268)</f>
        <v>21378</v>
      </c>
    </row>
    <row r="269" spans="1:8" s="17" customFormat="1" ht="12" customHeight="1" x14ac:dyDescent="0.2">
      <c r="A269" s="33"/>
      <c r="B269" s="65">
        <v>80142</v>
      </c>
      <c r="C269" s="27"/>
      <c r="D269" s="102" t="s">
        <v>145</v>
      </c>
      <c r="E269" s="39">
        <v>103282</v>
      </c>
      <c r="F269" s="40">
        <f>SUM(F270)</f>
        <v>150</v>
      </c>
      <c r="G269" s="40">
        <f>SUM(G270)</f>
        <v>150</v>
      </c>
      <c r="H269" s="39">
        <f>SUM(E269+F269-G269)</f>
        <v>103282</v>
      </c>
    </row>
    <row r="270" spans="1:8" s="17" customFormat="1" ht="12" customHeight="1" x14ac:dyDescent="0.2">
      <c r="A270" s="33"/>
      <c r="B270" s="52"/>
      <c r="C270" s="27"/>
      <c r="D270" s="391" t="s">
        <v>122</v>
      </c>
      <c r="E270" s="115">
        <v>103282</v>
      </c>
      <c r="F270" s="395">
        <f>SUM(F271:F272)</f>
        <v>150</v>
      </c>
      <c r="G270" s="395">
        <f>SUM(G271:G272)</f>
        <v>150</v>
      </c>
      <c r="H270" s="108">
        <f t="shared" ref="H270:H272" si="66">SUM(E270+F270-G270)</f>
        <v>103282</v>
      </c>
    </row>
    <row r="271" spans="1:8" s="17" customFormat="1" ht="12" customHeight="1" x14ac:dyDescent="0.2">
      <c r="A271" s="33"/>
      <c r="B271" s="52"/>
      <c r="C271" s="65">
        <v>4280</v>
      </c>
      <c r="D271" s="86" t="s">
        <v>88</v>
      </c>
      <c r="E271" s="43">
        <v>300</v>
      </c>
      <c r="F271" s="50">
        <v>150</v>
      </c>
      <c r="G271" s="50"/>
      <c r="H271" s="44">
        <f t="shared" si="66"/>
        <v>450</v>
      </c>
    </row>
    <row r="272" spans="1:8" s="17" customFormat="1" ht="12" customHeight="1" x14ac:dyDescent="0.2">
      <c r="A272" s="33"/>
      <c r="B272" s="52"/>
      <c r="C272" s="65">
        <v>4710</v>
      </c>
      <c r="D272" s="71" t="s">
        <v>100</v>
      </c>
      <c r="E272" s="43">
        <v>1250</v>
      </c>
      <c r="F272" s="50"/>
      <c r="G272" s="50">
        <v>150</v>
      </c>
      <c r="H272" s="44">
        <f t="shared" si="66"/>
        <v>1100</v>
      </c>
    </row>
    <row r="273" spans="1:8" s="17" customFormat="1" ht="12" customHeight="1" x14ac:dyDescent="0.2">
      <c r="A273" s="33"/>
      <c r="B273" s="103">
        <v>80144</v>
      </c>
      <c r="C273" s="27"/>
      <c r="D273" s="102" t="s">
        <v>146</v>
      </c>
      <c r="E273" s="84">
        <v>107948</v>
      </c>
      <c r="F273" s="40">
        <f>SUM(F274)</f>
        <v>360</v>
      </c>
      <c r="G273" s="40">
        <f>SUM(G274)</f>
        <v>150</v>
      </c>
      <c r="H273" s="39">
        <f>SUM(E273+F273-G273)</f>
        <v>108158</v>
      </c>
    </row>
    <row r="274" spans="1:8" s="17" customFormat="1" ht="12" customHeight="1" x14ac:dyDescent="0.2">
      <c r="A274" s="33"/>
      <c r="B274" s="33"/>
      <c r="C274" s="27"/>
      <c r="D274" s="391" t="s">
        <v>122</v>
      </c>
      <c r="E274" s="108">
        <v>107948</v>
      </c>
      <c r="F274" s="108">
        <f>SUM(F275:F277)</f>
        <v>360</v>
      </c>
      <c r="G274" s="108">
        <f>SUM(G275:G277)</f>
        <v>150</v>
      </c>
      <c r="H274" s="108">
        <f t="shared" ref="H274:H277" si="67">SUM(E274+F274-G274)</f>
        <v>108158</v>
      </c>
    </row>
    <row r="275" spans="1:8" s="17" customFormat="1" ht="12" customHeight="1" x14ac:dyDescent="0.2">
      <c r="A275" s="33"/>
      <c r="B275" s="33"/>
      <c r="C275" s="65">
        <v>4110</v>
      </c>
      <c r="D275" s="86" t="s">
        <v>147</v>
      </c>
      <c r="E275" s="51">
        <v>11196</v>
      </c>
      <c r="F275" s="51">
        <v>210</v>
      </c>
      <c r="G275" s="51"/>
      <c r="H275" s="44">
        <f t="shared" si="67"/>
        <v>11406</v>
      </c>
    </row>
    <row r="276" spans="1:8" s="17" customFormat="1" ht="12" customHeight="1" x14ac:dyDescent="0.2">
      <c r="A276" s="33"/>
      <c r="B276" s="52"/>
      <c r="C276" s="65">
        <v>4280</v>
      </c>
      <c r="D276" s="86" t="s">
        <v>88</v>
      </c>
      <c r="E276" s="43">
        <v>300</v>
      </c>
      <c r="F276" s="44">
        <v>150</v>
      </c>
      <c r="G276" s="44"/>
      <c r="H276" s="44">
        <f t="shared" si="67"/>
        <v>450</v>
      </c>
    </row>
    <row r="277" spans="1:8" s="17" customFormat="1" ht="12" customHeight="1" x14ac:dyDescent="0.2">
      <c r="A277" s="33"/>
      <c r="B277" s="52"/>
      <c r="C277" s="65">
        <v>4710</v>
      </c>
      <c r="D277" s="71" t="s">
        <v>100</v>
      </c>
      <c r="E277" s="43">
        <v>1300</v>
      </c>
      <c r="F277" s="44"/>
      <c r="G277" s="44">
        <v>150</v>
      </c>
      <c r="H277" s="44">
        <f t="shared" si="67"/>
        <v>1150</v>
      </c>
    </row>
    <row r="278" spans="1:8" s="17" customFormat="1" ht="12" customHeight="1" x14ac:dyDescent="0.2">
      <c r="A278" s="33"/>
      <c r="B278" s="59">
        <v>80146</v>
      </c>
      <c r="C278" s="60"/>
      <c r="D278" s="38" t="s">
        <v>37</v>
      </c>
      <c r="E278" s="39">
        <v>1324592</v>
      </c>
      <c r="F278" s="40">
        <f>SUM(F279)</f>
        <v>7</v>
      </c>
      <c r="G278" s="40">
        <f>SUM(G279)</f>
        <v>9551</v>
      </c>
      <c r="H278" s="39">
        <f>SUM(E278+F278-G278)</f>
        <v>1315048</v>
      </c>
    </row>
    <row r="279" spans="1:8" s="17" customFormat="1" ht="12" customHeight="1" x14ac:dyDescent="0.2">
      <c r="A279" s="33"/>
      <c r="B279" s="52"/>
      <c r="C279" s="27"/>
      <c r="D279" s="391" t="s">
        <v>122</v>
      </c>
      <c r="E279" s="115">
        <v>1091142</v>
      </c>
      <c r="F279" s="395">
        <f>SUM(F280:F283)</f>
        <v>7</v>
      </c>
      <c r="G279" s="395">
        <f>SUM(G280:G283)</f>
        <v>9551</v>
      </c>
      <c r="H279" s="108">
        <f t="shared" ref="H279:H283" si="68">SUM(E279+F279-G279)</f>
        <v>1081598</v>
      </c>
    </row>
    <row r="280" spans="1:8" s="17" customFormat="1" ht="12" customHeight="1" x14ac:dyDescent="0.2">
      <c r="A280" s="33"/>
      <c r="B280" s="52"/>
      <c r="C280" s="65">
        <v>4110</v>
      </c>
      <c r="D280" s="86" t="s">
        <v>147</v>
      </c>
      <c r="E280" s="51">
        <v>41519</v>
      </c>
      <c r="F280" s="50">
        <v>1</v>
      </c>
      <c r="G280" s="50">
        <v>1642</v>
      </c>
      <c r="H280" s="50">
        <f t="shared" si="68"/>
        <v>39878</v>
      </c>
    </row>
    <row r="281" spans="1:8" s="17" customFormat="1" ht="12" customHeight="1" x14ac:dyDescent="0.2">
      <c r="A281" s="33"/>
      <c r="B281" s="52"/>
      <c r="C281" s="65">
        <v>4120</v>
      </c>
      <c r="D281" s="86" t="s">
        <v>148</v>
      </c>
      <c r="E281" s="51">
        <v>5981</v>
      </c>
      <c r="F281" s="50"/>
      <c r="G281" s="50">
        <v>234</v>
      </c>
      <c r="H281" s="50">
        <f t="shared" si="68"/>
        <v>5747</v>
      </c>
    </row>
    <row r="282" spans="1:8" s="17" customFormat="1" ht="12" customHeight="1" x14ac:dyDescent="0.2">
      <c r="A282" s="33"/>
      <c r="B282" s="52"/>
      <c r="C282" s="55">
        <v>4790</v>
      </c>
      <c r="D282" s="101" t="s">
        <v>134</v>
      </c>
      <c r="E282" s="43">
        <v>213242</v>
      </c>
      <c r="F282" s="50"/>
      <c r="G282" s="50">
        <v>7675</v>
      </c>
      <c r="H282" s="44">
        <f t="shared" si="68"/>
        <v>205567</v>
      </c>
    </row>
    <row r="283" spans="1:8" s="17" customFormat="1" ht="12" customHeight="1" x14ac:dyDescent="0.2">
      <c r="A283" s="33"/>
      <c r="B283" s="52"/>
      <c r="C283" s="55">
        <v>4800</v>
      </c>
      <c r="D283" s="101" t="s">
        <v>135</v>
      </c>
      <c r="E283" s="43">
        <v>38957</v>
      </c>
      <c r="F283" s="50">
        <v>6</v>
      </c>
      <c r="G283" s="50"/>
      <c r="H283" s="44">
        <f t="shared" si="68"/>
        <v>38963</v>
      </c>
    </row>
    <row r="284" spans="1:8" s="17" customFormat="1" ht="12" customHeight="1" x14ac:dyDescent="0.2">
      <c r="A284" s="33"/>
      <c r="B284" s="52">
        <v>80148</v>
      </c>
      <c r="C284" s="27"/>
      <c r="D284" s="38" t="s">
        <v>149</v>
      </c>
      <c r="E284" s="84">
        <v>3237047</v>
      </c>
      <c r="F284" s="40">
        <f>SUM(F285)</f>
        <v>4900</v>
      </c>
      <c r="G284" s="40">
        <f>SUM(G285)</f>
        <v>4900</v>
      </c>
      <c r="H284" s="39">
        <f>SUM(E284+F284-G284)</f>
        <v>3237047</v>
      </c>
    </row>
    <row r="285" spans="1:8" s="17" customFormat="1" ht="12" customHeight="1" x14ac:dyDescent="0.2">
      <c r="A285" s="33"/>
      <c r="B285" s="33"/>
      <c r="C285" s="27"/>
      <c r="D285" s="391" t="s">
        <v>122</v>
      </c>
      <c r="E285" s="108">
        <v>3237047</v>
      </c>
      <c r="F285" s="108">
        <f>SUM(F286:F291)</f>
        <v>4900</v>
      </c>
      <c r="G285" s="108">
        <f>SUM(G286:G291)</f>
        <v>4900</v>
      </c>
      <c r="H285" s="108">
        <f t="shared" ref="H285:H291" si="69">SUM(E285+F285-G285)</f>
        <v>3237047</v>
      </c>
    </row>
    <row r="286" spans="1:8" s="17" customFormat="1" ht="12" customHeight="1" x14ac:dyDescent="0.2">
      <c r="A286" s="33"/>
      <c r="B286" s="33"/>
      <c r="C286" s="65">
        <v>4010</v>
      </c>
      <c r="D286" s="86" t="s">
        <v>124</v>
      </c>
      <c r="E286" s="51">
        <v>2240529</v>
      </c>
      <c r="F286" s="51">
        <v>1400</v>
      </c>
      <c r="G286" s="51"/>
      <c r="H286" s="44">
        <f t="shared" si="69"/>
        <v>2241929</v>
      </c>
    </row>
    <row r="287" spans="1:8" s="17" customFormat="1" ht="12" customHeight="1" x14ac:dyDescent="0.2">
      <c r="A287" s="79"/>
      <c r="B287" s="79"/>
      <c r="C287" s="92">
        <v>4110</v>
      </c>
      <c r="D287" s="38" t="s">
        <v>147</v>
      </c>
      <c r="E287" s="84">
        <v>422230</v>
      </c>
      <c r="F287" s="84">
        <v>500</v>
      </c>
      <c r="G287" s="84"/>
      <c r="H287" s="40">
        <f t="shared" si="69"/>
        <v>422730</v>
      </c>
    </row>
    <row r="288" spans="1:8" s="17" customFormat="1" ht="12" customHeight="1" x14ac:dyDescent="0.2">
      <c r="A288" s="33"/>
      <c r="B288" s="52"/>
      <c r="C288" s="60" t="s">
        <v>85</v>
      </c>
      <c r="D288" s="71" t="s">
        <v>86</v>
      </c>
      <c r="E288" s="51">
        <v>57887</v>
      </c>
      <c r="F288" s="50"/>
      <c r="G288" s="50">
        <v>1200</v>
      </c>
      <c r="H288" s="44">
        <f t="shared" si="69"/>
        <v>56687</v>
      </c>
    </row>
    <row r="289" spans="1:8" s="17" customFormat="1" ht="12" customHeight="1" x14ac:dyDescent="0.2">
      <c r="A289" s="33"/>
      <c r="B289" s="52"/>
      <c r="C289" s="65">
        <v>4260</v>
      </c>
      <c r="D289" s="86" t="s">
        <v>116</v>
      </c>
      <c r="E289" s="51">
        <v>87469</v>
      </c>
      <c r="F289" s="50">
        <v>1200</v>
      </c>
      <c r="G289" s="50"/>
      <c r="H289" s="44">
        <f t="shared" si="69"/>
        <v>88669</v>
      </c>
    </row>
    <row r="290" spans="1:8" s="17" customFormat="1" ht="12" customHeight="1" x14ac:dyDescent="0.2">
      <c r="A290" s="33"/>
      <c r="B290" s="52"/>
      <c r="C290" s="65">
        <v>4270</v>
      </c>
      <c r="D290" s="86" t="s">
        <v>104</v>
      </c>
      <c r="E290" s="51">
        <v>31131</v>
      </c>
      <c r="F290" s="50">
        <v>1800</v>
      </c>
      <c r="G290" s="50"/>
      <c r="H290" s="44">
        <f t="shared" si="69"/>
        <v>32931</v>
      </c>
    </row>
    <row r="291" spans="1:8" s="17" customFormat="1" ht="12" customHeight="1" x14ac:dyDescent="0.2">
      <c r="A291" s="33"/>
      <c r="B291" s="52"/>
      <c r="C291" s="65">
        <v>4710</v>
      </c>
      <c r="D291" s="71" t="s">
        <v>100</v>
      </c>
      <c r="E291" s="51">
        <v>20352</v>
      </c>
      <c r="F291" s="50"/>
      <c r="G291" s="50">
        <v>3700</v>
      </c>
      <c r="H291" s="44">
        <f t="shared" si="69"/>
        <v>16652</v>
      </c>
    </row>
    <row r="292" spans="1:8" s="17" customFormat="1" ht="12" customHeight="1" x14ac:dyDescent="0.2">
      <c r="A292" s="33"/>
      <c r="B292" s="52">
        <v>80149</v>
      </c>
      <c r="C292" s="60"/>
      <c r="D292" s="71" t="s">
        <v>150</v>
      </c>
      <c r="E292" s="44"/>
      <c r="F292" s="44"/>
      <c r="G292" s="44"/>
      <c r="H292" s="44"/>
    </row>
    <row r="293" spans="1:8" s="17" customFormat="1" ht="12" customHeight="1" x14ac:dyDescent="0.2">
      <c r="A293" s="33"/>
      <c r="B293" s="52"/>
      <c r="C293" s="60"/>
      <c r="D293" s="71" t="s">
        <v>151</v>
      </c>
      <c r="E293" s="44"/>
      <c r="F293" s="44"/>
      <c r="G293" s="44"/>
      <c r="H293" s="44"/>
    </row>
    <row r="294" spans="1:8" s="17" customFormat="1" ht="12" customHeight="1" x14ac:dyDescent="0.2">
      <c r="A294" s="33"/>
      <c r="B294" s="52"/>
      <c r="C294" s="60"/>
      <c r="D294" s="71" t="s">
        <v>152</v>
      </c>
      <c r="E294" s="44"/>
      <c r="F294" s="44"/>
      <c r="G294" s="44"/>
      <c r="H294" s="44"/>
    </row>
    <row r="295" spans="1:8" s="17" customFormat="1" ht="12" customHeight="1" x14ac:dyDescent="0.2">
      <c r="A295" s="33"/>
      <c r="B295" s="52"/>
      <c r="C295" s="27"/>
      <c r="D295" s="38" t="s">
        <v>153</v>
      </c>
      <c r="E295" s="39">
        <v>4707148</v>
      </c>
      <c r="F295" s="40">
        <f>SUM(F296)</f>
        <v>500</v>
      </c>
      <c r="G295" s="40">
        <f>SUM(G296)</f>
        <v>500</v>
      </c>
      <c r="H295" s="39">
        <f>SUM(E295+F295-G295)</f>
        <v>4707148</v>
      </c>
    </row>
    <row r="296" spans="1:8" s="17" customFormat="1" ht="12" customHeight="1" x14ac:dyDescent="0.2">
      <c r="A296" s="33"/>
      <c r="B296" s="33"/>
      <c r="C296" s="27"/>
      <c r="D296" s="391" t="s">
        <v>122</v>
      </c>
      <c r="E296" s="108">
        <v>2000068</v>
      </c>
      <c r="F296" s="108">
        <f>SUM(F297:F298)</f>
        <v>500</v>
      </c>
      <c r="G296" s="108">
        <f>SUM(G297:G298)</f>
        <v>500</v>
      </c>
      <c r="H296" s="108">
        <f t="shared" ref="H296:H298" si="70">SUM(E296+F296-G296)</f>
        <v>2000068</v>
      </c>
    </row>
    <row r="297" spans="1:8" s="17" customFormat="1" ht="11.45" customHeight="1" x14ac:dyDescent="0.2">
      <c r="A297" s="33"/>
      <c r="B297" s="33"/>
      <c r="C297" s="65">
        <v>4120</v>
      </c>
      <c r="D297" s="86" t="s">
        <v>148</v>
      </c>
      <c r="E297" s="43">
        <v>38852</v>
      </c>
      <c r="F297" s="44">
        <v>500</v>
      </c>
      <c r="G297" s="44"/>
      <c r="H297" s="44">
        <f t="shared" si="70"/>
        <v>39352</v>
      </c>
    </row>
    <row r="298" spans="1:8" s="17" customFormat="1" ht="11.45" customHeight="1" x14ac:dyDescent="0.2">
      <c r="A298" s="33"/>
      <c r="B298" s="33"/>
      <c r="C298" s="65">
        <v>4710</v>
      </c>
      <c r="D298" s="71" t="s">
        <v>100</v>
      </c>
      <c r="E298" s="43">
        <v>18275</v>
      </c>
      <c r="F298" s="44"/>
      <c r="G298" s="44">
        <v>500</v>
      </c>
      <c r="H298" s="44">
        <f t="shared" si="70"/>
        <v>17775</v>
      </c>
    </row>
    <row r="299" spans="1:8" s="17" customFormat="1" ht="11.45" customHeight="1" x14ac:dyDescent="0.2">
      <c r="A299" s="33"/>
      <c r="B299" s="52">
        <v>80150</v>
      </c>
      <c r="C299" s="60"/>
      <c r="D299" s="71" t="s">
        <v>150</v>
      </c>
      <c r="E299" s="44"/>
      <c r="F299" s="44"/>
      <c r="G299" s="44"/>
      <c r="H299" s="44"/>
    </row>
    <row r="300" spans="1:8" s="17" customFormat="1" ht="11.45" customHeight="1" x14ac:dyDescent="0.2">
      <c r="A300" s="33"/>
      <c r="B300" s="52"/>
      <c r="C300" s="60"/>
      <c r="D300" s="71" t="s">
        <v>154</v>
      </c>
      <c r="E300" s="44"/>
      <c r="F300" s="44"/>
      <c r="G300" s="44"/>
      <c r="H300" s="44"/>
    </row>
    <row r="301" spans="1:8" s="17" customFormat="1" ht="11.45" customHeight="1" x14ac:dyDescent="0.2">
      <c r="A301" s="33"/>
      <c r="B301" s="52"/>
      <c r="C301" s="27"/>
      <c r="D301" s="38" t="s">
        <v>155</v>
      </c>
      <c r="E301" s="39">
        <v>9547214</v>
      </c>
      <c r="F301" s="40">
        <f>SUM(F302,F304)</f>
        <v>44224</v>
      </c>
      <c r="G301" s="40">
        <f>SUM(G302,G304)</f>
        <v>8500</v>
      </c>
      <c r="H301" s="39">
        <f>SUM(E301+F301-G301)</f>
        <v>9582938</v>
      </c>
    </row>
    <row r="302" spans="1:8" s="17" customFormat="1" ht="11.45" customHeight="1" x14ac:dyDescent="0.2">
      <c r="A302" s="33"/>
      <c r="B302" s="52"/>
      <c r="C302" s="27"/>
      <c r="D302" s="394" t="s">
        <v>141</v>
      </c>
      <c r="E302" s="108">
        <v>185299</v>
      </c>
      <c r="F302" s="108">
        <f>SUM(F303:F303)</f>
        <v>40000</v>
      </c>
      <c r="G302" s="108">
        <f>SUM(G303:G303)</f>
        <v>0</v>
      </c>
      <c r="H302" s="108">
        <f t="shared" ref="H302:H306" si="71">SUM(E302+F302-G302)</f>
        <v>225299</v>
      </c>
    </row>
    <row r="303" spans="1:8" s="17" customFormat="1" ht="21.75" customHeight="1" x14ac:dyDescent="0.2">
      <c r="A303" s="33"/>
      <c r="B303" s="52"/>
      <c r="C303" s="66">
        <v>2540</v>
      </c>
      <c r="D303" s="82" t="s">
        <v>142</v>
      </c>
      <c r="E303" s="44">
        <v>100954</v>
      </c>
      <c r="F303" s="44">
        <v>40000</v>
      </c>
      <c r="G303" s="44"/>
      <c r="H303" s="44">
        <f t="shared" si="71"/>
        <v>140954</v>
      </c>
    </row>
    <row r="304" spans="1:8" s="17" customFormat="1" ht="12" customHeight="1" x14ac:dyDescent="0.2">
      <c r="A304" s="33"/>
      <c r="B304" s="52"/>
      <c r="C304" s="27"/>
      <c r="D304" s="391" t="s">
        <v>122</v>
      </c>
      <c r="E304" s="108">
        <v>9361915</v>
      </c>
      <c r="F304" s="108">
        <f>SUM(F305:F306)</f>
        <v>4224</v>
      </c>
      <c r="G304" s="108">
        <f>SUM(G305:G306)</f>
        <v>8500</v>
      </c>
      <c r="H304" s="108">
        <f t="shared" si="71"/>
        <v>9357639</v>
      </c>
    </row>
    <row r="305" spans="1:8" s="17" customFormat="1" ht="12" customHeight="1" x14ac:dyDescent="0.2">
      <c r="A305" s="33"/>
      <c r="B305" s="52"/>
      <c r="C305" s="65">
        <v>3020</v>
      </c>
      <c r="D305" s="86" t="s">
        <v>123</v>
      </c>
      <c r="E305" s="50">
        <v>0</v>
      </c>
      <c r="F305" s="44">
        <v>4224</v>
      </c>
      <c r="G305" s="44"/>
      <c r="H305" s="44">
        <f t="shared" si="71"/>
        <v>4224</v>
      </c>
    </row>
    <row r="306" spans="1:8" s="17" customFormat="1" ht="12" customHeight="1" x14ac:dyDescent="0.2">
      <c r="A306" s="33"/>
      <c r="B306" s="52"/>
      <c r="C306" s="55">
        <v>4800</v>
      </c>
      <c r="D306" s="101" t="s">
        <v>135</v>
      </c>
      <c r="E306" s="44">
        <v>522554</v>
      </c>
      <c r="F306" s="44"/>
      <c r="G306" s="44">
        <v>8500</v>
      </c>
      <c r="H306" s="44">
        <f t="shared" si="71"/>
        <v>514054</v>
      </c>
    </row>
    <row r="307" spans="1:8" s="17" customFormat="1" ht="12" customHeight="1" x14ac:dyDescent="0.2">
      <c r="A307" s="33"/>
      <c r="B307" s="65">
        <v>80151</v>
      </c>
      <c r="C307" s="27"/>
      <c r="D307" s="38" t="s">
        <v>156</v>
      </c>
      <c r="E307" s="84">
        <v>650375</v>
      </c>
      <c r="F307" s="40">
        <f>SUM(F308)</f>
        <v>500</v>
      </c>
      <c r="G307" s="40">
        <f>SUM(G308)</f>
        <v>500</v>
      </c>
      <c r="H307" s="39">
        <f>SUM(E307+F307-G307)</f>
        <v>650375</v>
      </c>
    </row>
    <row r="308" spans="1:8" s="17" customFormat="1" ht="12" customHeight="1" x14ac:dyDescent="0.2">
      <c r="A308" s="33"/>
      <c r="B308" s="32"/>
      <c r="C308" s="27"/>
      <c r="D308" s="391" t="s">
        <v>122</v>
      </c>
      <c r="E308" s="108">
        <v>541965</v>
      </c>
      <c r="F308" s="108">
        <f>SUM(F309:F310)</f>
        <v>500</v>
      </c>
      <c r="G308" s="108">
        <f>SUM(G309:G310)</f>
        <v>500</v>
      </c>
      <c r="H308" s="108">
        <f t="shared" ref="H308:H310" si="72">SUM(E308+F308-G308)</f>
        <v>541965</v>
      </c>
    </row>
    <row r="309" spans="1:8" s="17" customFormat="1" ht="12" customHeight="1" x14ac:dyDescent="0.2">
      <c r="A309" s="33"/>
      <c r="B309" s="65"/>
      <c r="C309" s="65">
        <v>4280</v>
      </c>
      <c r="D309" s="86" t="s">
        <v>88</v>
      </c>
      <c r="E309" s="43">
        <v>230</v>
      </c>
      <c r="F309" s="44">
        <v>500</v>
      </c>
      <c r="G309" s="44"/>
      <c r="H309" s="44">
        <f t="shared" si="72"/>
        <v>730</v>
      </c>
    </row>
    <row r="310" spans="1:8" s="17" customFormat="1" ht="12" customHeight="1" x14ac:dyDescent="0.2">
      <c r="A310" s="33"/>
      <c r="B310" s="65"/>
      <c r="C310" s="65">
        <v>4710</v>
      </c>
      <c r="D310" s="71" t="s">
        <v>100</v>
      </c>
      <c r="E310" s="43">
        <v>3322</v>
      </c>
      <c r="F310" s="44"/>
      <c r="G310" s="44">
        <v>500</v>
      </c>
      <c r="H310" s="44">
        <f t="shared" si="72"/>
        <v>2822</v>
      </c>
    </row>
    <row r="311" spans="1:8" s="17" customFormat="1" ht="11.45" customHeight="1" x14ac:dyDescent="0.2">
      <c r="A311" s="33"/>
      <c r="B311" s="52">
        <v>80152</v>
      </c>
      <c r="C311" s="60"/>
      <c r="D311" s="71" t="s">
        <v>150</v>
      </c>
      <c r="E311" s="44"/>
      <c r="F311" s="44"/>
      <c r="G311" s="44"/>
      <c r="H311" s="44"/>
    </row>
    <row r="312" spans="1:8" s="17" customFormat="1" ht="11.45" customHeight="1" x14ac:dyDescent="0.2">
      <c r="A312" s="33"/>
      <c r="B312" s="52"/>
      <c r="C312" s="60"/>
      <c r="D312" s="71" t="s">
        <v>154</v>
      </c>
      <c r="E312" s="44"/>
      <c r="F312" s="44"/>
      <c r="G312" s="44"/>
      <c r="H312" s="44"/>
    </row>
    <row r="313" spans="1:8" s="17" customFormat="1" ht="11.45" customHeight="1" x14ac:dyDescent="0.2">
      <c r="A313" s="33"/>
      <c r="B313" s="52"/>
      <c r="C313" s="60"/>
      <c r="D313" s="71" t="s">
        <v>157</v>
      </c>
      <c r="E313" s="44"/>
      <c r="F313" s="44"/>
      <c r="G313" s="44"/>
      <c r="H313" s="44"/>
    </row>
    <row r="314" spans="1:8" s="17" customFormat="1" ht="11.45" customHeight="1" x14ac:dyDescent="0.2">
      <c r="A314" s="33"/>
      <c r="B314" s="52"/>
      <c r="C314" s="60"/>
      <c r="D314" s="59" t="s">
        <v>158</v>
      </c>
      <c r="E314" s="44"/>
      <c r="F314" s="44"/>
      <c r="G314" s="44"/>
      <c r="H314" s="44"/>
    </row>
    <row r="315" spans="1:8" s="17" customFormat="1" ht="11.45" customHeight="1" x14ac:dyDescent="0.2">
      <c r="A315" s="33"/>
      <c r="B315" s="52"/>
      <c r="C315" s="60"/>
      <c r="D315" s="59" t="s">
        <v>159</v>
      </c>
      <c r="E315" s="44"/>
      <c r="F315" s="44"/>
      <c r="G315" s="44"/>
      <c r="H315" s="44"/>
    </row>
    <row r="316" spans="1:8" s="17" customFormat="1" ht="11.45" customHeight="1" x14ac:dyDescent="0.2">
      <c r="A316" s="33"/>
      <c r="B316" s="52"/>
      <c r="C316" s="60"/>
      <c r="D316" s="71" t="s">
        <v>160</v>
      </c>
      <c r="E316" s="44"/>
      <c r="F316" s="44"/>
      <c r="G316" s="44"/>
      <c r="H316" s="44"/>
    </row>
    <row r="317" spans="1:8" s="17" customFormat="1" ht="11.45" customHeight="1" x14ac:dyDescent="0.2">
      <c r="A317" s="33"/>
      <c r="B317" s="52"/>
      <c r="C317" s="60"/>
      <c r="D317" s="59" t="s">
        <v>161</v>
      </c>
      <c r="E317" s="44"/>
      <c r="F317" s="44"/>
      <c r="G317" s="44"/>
      <c r="H317" s="44"/>
    </row>
    <row r="318" spans="1:8" s="17" customFormat="1" ht="11.45" customHeight="1" x14ac:dyDescent="0.2">
      <c r="A318" s="33"/>
      <c r="B318" s="52"/>
      <c r="C318" s="27"/>
      <c r="D318" s="57" t="s">
        <v>162</v>
      </c>
      <c r="E318" s="39">
        <v>3371274</v>
      </c>
      <c r="F318" s="40">
        <f>SUM(F319)</f>
        <v>100000</v>
      </c>
      <c r="G318" s="40">
        <f>SUM(G319)</f>
        <v>0</v>
      </c>
      <c r="H318" s="39">
        <f>SUM(E318+F318-G318)</f>
        <v>3471274</v>
      </c>
    </row>
    <row r="319" spans="1:8" s="17" customFormat="1" ht="11.45" customHeight="1" x14ac:dyDescent="0.2">
      <c r="A319" s="33"/>
      <c r="B319" s="33"/>
      <c r="C319" s="27"/>
      <c r="D319" s="394" t="s">
        <v>141</v>
      </c>
      <c r="E319" s="108">
        <v>443835</v>
      </c>
      <c r="F319" s="108">
        <f>SUM(F320:F320)</f>
        <v>100000</v>
      </c>
      <c r="G319" s="108">
        <f>SUM(G320:G320)</f>
        <v>0</v>
      </c>
      <c r="H319" s="108">
        <f t="shared" ref="H319:H320" si="73">SUM(E319+F319-G319)</f>
        <v>543835</v>
      </c>
    </row>
    <row r="320" spans="1:8" s="17" customFormat="1" ht="37.5" customHeight="1" x14ac:dyDescent="0.2">
      <c r="A320" s="33"/>
      <c r="B320" s="33"/>
      <c r="C320" s="66">
        <v>2590</v>
      </c>
      <c r="D320" s="104" t="s">
        <v>163</v>
      </c>
      <c r="E320" s="51">
        <v>239581</v>
      </c>
      <c r="F320" s="51">
        <v>100000</v>
      </c>
      <c r="G320" s="51"/>
      <c r="H320" s="50">
        <f t="shared" si="73"/>
        <v>339581</v>
      </c>
    </row>
    <row r="321" spans="1:8" s="17" customFormat="1" ht="12" customHeight="1" x14ac:dyDescent="0.2">
      <c r="A321" s="33"/>
      <c r="B321" s="52">
        <v>80195</v>
      </c>
      <c r="C321" s="27"/>
      <c r="D321" s="38" t="s">
        <v>40</v>
      </c>
      <c r="E321" s="39">
        <v>27432151.769999992</v>
      </c>
      <c r="F321" s="40">
        <f>SUM(F323,F333,F341)</f>
        <v>217000</v>
      </c>
      <c r="G321" s="40">
        <f>SUM(G323,G333,G341)</f>
        <v>532972</v>
      </c>
      <c r="H321" s="39">
        <f>SUM(E321+F321-G321)</f>
        <v>27116179.769999992</v>
      </c>
    </row>
    <row r="322" spans="1:8" s="17" customFormat="1" ht="12" customHeight="1" x14ac:dyDescent="0.2">
      <c r="A322" s="33"/>
      <c r="B322" s="52"/>
      <c r="C322" s="27"/>
      <c r="D322" s="396" t="s">
        <v>164</v>
      </c>
      <c r="E322" s="43"/>
      <c r="F322" s="44"/>
      <c r="G322" s="44"/>
      <c r="H322" s="43"/>
    </row>
    <row r="323" spans="1:8" s="17" customFormat="1" ht="12" customHeight="1" x14ac:dyDescent="0.2">
      <c r="A323" s="33"/>
      <c r="B323" s="52"/>
      <c r="C323" s="60"/>
      <c r="D323" s="387" t="s">
        <v>165</v>
      </c>
      <c r="E323" s="115">
        <v>248915</v>
      </c>
      <c r="F323" s="388">
        <f>SUM(F324:F332)</f>
        <v>200000</v>
      </c>
      <c r="G323" s="388">
        <f>SUM(G324:G332)</f>
        <v>0</v>
      </c>
      <c r="H323" s="108">
        <f t="shared" ref="H323:H362" si="74">SUM(E323+F323-G323)</f>
        <v>448915</v>
      </c>
    </row>
    <row r="324" spans="1:8" s="17" customFormat="1" ht="12" customHeight="1" x14ac:dyDescent="0.2">
      <c r="A324" s="33"/>
      <c r="B324" s="52"/>
      <c r="C324" s="55">
        <v>4017</v>
      </c>
      <c r="D324" s="59" t="s">
        <v>166</v>
      </c>
      <c r="E324" s="51">
        <v>0</v>
      </c>
      <c r="F324" s="50">
        <f>6855.66+7127.3</f>
        <v>13982.96</v>
      </c>
      <c r="G324" s="50"/>
      <c r="H324" s="44">
        <f t="shared" si="74"/>
        <v>13982.96</v>
      </c>
    </row>
    <row r="325" spans="1:8" s="17" customFormat="1" ht="12" customHeight="1" x14ac:dyDescent="0.2">
      <c r="A325" s="33"/>
      <c r="B325" s="52"/>
      <c r="C325" s="55">
        <v>4117</v>
      </c>
      <c r="D325" s="59" t="s">
        <v>167</v>
      </c>
      <c r="E325" s="51">
        <v>13779.509999999998</v>
      </c>
      <c r="F325" s="50">
        <f>2315.46+2362.16+2014+2013</f>
        <v>8704.619999999999</v>
      </c>
      <c r="G325" s="50"/>
      <c r="H325" s="44">
        <f t="shared" ref="H325" si="75">SUM(E325+F325-G325)</f>
        <v>22484.129999999997</v>
      </c>
    </row>
    <row r="326" spans="1:8" s="17" customFormat="1" ht="12" customHeight="1" x14ac:dyDescent="0.2">
      <c r="A326" s="33"/>
      <c r="B326" s="52"/>
      <c r="C326" s="55">
        <v>4127</v>
      </c>
      <c r="D326" s="59" t="s">
        <v>168</v>
      </c>
      <c r="E326" s="51">
        <v>1772.9299999999998</v>
      </c>
      <c r="F326" s="50">
        <f>330.01+336.67+276+277</f>
        <v>1219.68</v>
      </c>
      <c r="G326" s="50"/>
      <c r="H326" s="44">
        <f t="shared" si="74"/>
        <v>2992.6099999999997</v>
      </c>
    </row>
    <row r="327" spans="1:8" s="17" customFormat="1" ht="12" customHeight="1" x14ac:dyDescent="0.2">
      <c r="A327" s="33"/>
      <c r="B327" s="52"/>
      <c r="C327" s="65">
        <v>4177</v>
      </c>
      <c r="D327" s="86" t="s">
        <v>98</v>
      </c>
      <c r="E327" s="51">
        <v>77043.26999999999</v>
      </c>
      <c r="F327" s="50">
        <f>8614.2+9814.2+2454+2454</f>
        <v>23336.400000000001</v>
      </c>
      <c r="G327" s="50"/>
      <c r="H327" s="44">
        <f t="shared" si="74"/>
        <v>100379.66999999998</v>
      </c>
    </row>
    <row r="328" spans="1:8" s="17" customFormat="1" ht="12" customHeight="1" x14ac:dyDescent="0.2">
      <c r="A328" s="33"/>
      <c r="B328" s="52"/>
      <c r="C328" s="55">
        <v>4217</v>
      </c>
      <c r="D328" s="59" t="s">
        <v>169</v>
      </c>
      <c r="E328" s="51">
        <v>60349.86</v>
      </c>
      <c r="F328" s="50">
        <f>500.97+0.56+3570+1620</f>
        <v>5691.5300000000007</v>
      </c>
      <c r="G328" s="50"/>
      <c r="H328" s="44">
        <f t="shared" si="74"/>
        <v>66041.39</v>
      </c>
    </row>
    <row r="329" spans="1:8" s="17" customFormat="1" ht="12" customHeight="1" x14ac:dyDescent="0.2">
      <c r="A329" s="33"/>
      <c r="B329" s="52"/>
      <c r="C329" s="65">
        <v>4247</v>
      </c>
      <c r="D329" s="86" t="s">
        <v>127</v>
      </c>
      <c r="E329" s="51">
        <v>50532.18</v>
      </c>
      <c r="F329" s="50">
        <f>29960+26600+29745+31695</f>
        <v>118000</v>
      </c>
      <c r="G329" s="50"/>
      <c r="H329" s="44">
        <f t="shared" si="74"/>
        <v>168532.18</v>
      </c>
    </row>
    <row r="330" spans="1:8" s="17" customFormat="1" ht="12" customHeight="1" x14ac:dyDescent="0.2">
      <c r="A330" s="33"/>
      <c r="B330" s="52"/>
      <c r="C330" s="55">
        <v>4307</v>
      </c>
      <c r="D330" s="59" t="s">
        <v>99</v>
      </c>
      <c r="E330" s="51">
        <v>3041.2999999999993</v>
      </c>
      <c r="F330" s="50">
        <f>1300+3600+1960+1960</f>
        <v>8820</v>
      </c>
      <c r="G330" s="50"/>
      <c r="H330" s="44">
        <f t="shared" si="74"/>
        <v>11861.3</v>
      </c>
    </row>
    <row r="331" spans="1:8" s="17" customFormat="1" ht="12" customHeight="1" x14ac:dyDescent="0.2">
      <c r="A331" s="33"/>
      <c r="B331" s="52"/>
      <c r="C331" s="65">
        <v>4717</v>
      </c>
      <c r="D331" s="71" t="s">
        <v>100</v>
      </c>
      <c r="E331" s="51">
        <v>184.21</v>
      </c>
      <c r="F331" s="50">
        <f>123.7+159.11</f>
        <v>282.81</v>
      </c>
      <c r="G331" s="50"/>
      <c r="H331" s="44">
        <f t="shared" si="74"/>
        <v>467.02</v>
      </c>
    </row>
    <row r="332" spans="1:8" s="17" customFormat="1" ht="12" customHeight="1" x14ac:dyDescent="0.2">
      <c r="A332" s="33"/>
      <c r="B332" s="52"/>
      <c r="C332" s="55">
        <v>4797</v>
      </c>
      <c r="D332" s="101" t="s">
        <v>134</v>
      </c>
      <c r="E332" s="51">
        <v>39563.160000000003</v>
      </c>
      <c r="F332" s="50">
        <f>9981+9981</f>
        <v>19962</v>
      </c>
      <c r="G332" s="50"/>
      <c r="H332" s="44">
        <f t="shared" si="74"/>
        <v>59525.16</v>
      </c>
    </row>
    <row r="333" spans="1:8" s="17" customFormat="1" ht="22.5" customHeight="1" x14ac:dyDescent="0.2">
      <c r="A333" s="33"/>
      <c r="B333" s="52"/>
      <c r="C333" s="60"/>
      <c r="D333" s="389" t="s">
        <v>128</v>
      </c>
      <c r="E333" s="115">
        <v>515972.00000000012</v>
      </c>
      <c r="F333" s="388">
        <f>SUM(F334:F340)</f>
        <v>0</v>
      </c>
      <c r="G333" s="388">
        <f>SUM(G334:G340)</f>
        <v>515972</v>
      </c>
      <c r="H333" s="108">
        <f t="shared" si="74"/>
        <v>1.1641532182693481E-10</v>
      </c>
    </row>
    <row r="334" spans="1:8" s="17" customFormat="1" ht="12" customHeight="1" x14ac:dyDescent="0.2">
      <c r="A334" s="33"/>
      <c r="B334" s="52"/>
      <c r="C334" s="55">
        <v>4010</v>
      </c>
      <c r="D334" s="59" t="s">
        <v>166</v>
      </c>
      <c r="E334" s="51">
        <v>34532.85</v>
      </c>
      <c r="F334" s="50"/>
      <c r="G334" s="50">
        <v>34532.85</v>
      </c>
      <c r="H334" s="44">
        <f t="shared" si="74"/>
        <v>0</v>
      </c>
    </row>
    <row r="335" spans="1:8" s="17" customFormat="1" ht="12" customHeight="1" x14ac:dyDescent="0.2">
      <c r="A335" s="33"/>
      <c r="B335" s="52"/>
      <c r="C335" s="55">
        <v>4110</v>
      </c>
      <c r="D335" s="59" t="s">
        <v>170</v>
      </c>
      <c r="E335" s="51">
        <v>85669.69</v>
      </c>
      <c r="F335" s="50"/>
      <c r="G335" s="50">
        <v>85669.69</v>
      </c>
      <c r="H335" s="44">
        <f t="shared" si="74"/>
        <v>0</v>
      </c>
    </row>
    <row r="336" spans="1:8" s="17" customFormat="1" ht="12" customHeight="1" x14ac:dyDescent="0.2">
      <c r="A336" s="33"/>
      <c r="B336" s="52"/>
      <c r="C336" s="55">
        <v>4120</v>
      </c>
      <c r="D336" s="59" t="s">
        <v>171</v>
      </c>
      <c r="E336" s="51">
        <v>11951.89</v>
      </c>
      <c r="F336" s="50"/>
      <c r="G336" s="50">
        <v>11951.89</v>
      </c>
      <c r="H336" s="44">
        <f t="shared" si="74"/>
        <v>0</v>
      </c>
    </row>
    <row r="337" spans="1:8" s="17" customFormat="1" ht="11.45" customHeight="1" x14ac:dyDescent="0.2">
      <c r="A337" s="33"/>
      <c r="B337" s="52"/>
      <c r="C337" s="60" t="s">
        <v>85</v>
      </c>
      <c r="D337" s="71" t="s">
        <v>86</v>
      </c>
      <c r="E337" s="51">
        <v>4547.5</v>
      </c>
      <c r="F337" s="50"/>
      <c r="G337" s="50">
        <v>4547.5</v>
      </c>
      <c r="H337" s="50">
        <f t="shared" si="74"/>
        <v>0</v>
      </c>
    </row>
    <row r="338" spans="1:8" s="17" customFormat="1" ht="11.45" customHeight="1" x14ac:dyDescent="0.2">
      <c r="A338" s="33"/>
      <c r="B338" s="52"/>
      <c r="C338" s="55">
        <v>4300</v>
      </c>
      <c r="D338" s="59" t="s">
        <v>99</v>
      </c>
      <c r="E338" s="51">
        <v>412.5</v>
      </c>
      <c r="F338" s="50"/>
      <c r="G338" s="50">
        <v>412.5</v>
      </c>
      <c r="H338" s="50">
        <f t="shared" si="74"/>
        <v>0</v>
      </c>
    </row>
    <row r="339" spans="1:8" s="17" customFormat="1" ht="11.45" customHeight="1" x14ac:dyDescent="0.2">
      <c r="A339" s="33"/>
      <c r="B339" s="52"/>
      <c r="C339" s="65">
        <v>4710</v>
      </c>
      <c r="D339" s="71" t="s">
        <v>100</v>
      </c>
      <c r="E339" s="51">
        <v>927.68</v>
      </c>
      <c r="F339" s="50"/>
      <c r="G339" s="50">
        <v>927.68</v>
      </c>
      <c r="H339" s="50">
        <f t="shared" si="74"/>
        <v>0</v>
      </c>
    </row>
    <row r="340" spans="1:8" s="17" customFormat="1" ht="11.45" customHeight="1" x14ac:dyDescent="0.2">
      <c r="A340" s="33"/>
      <c r="B340" s="52"/>
      <c r="C340" s="55">
        <v>4790</v>
      </c>
      <c r="D340" s="101" t="s">
        <v>134</v>
      </c>
      <c r="E340" s="51">
        <v>377929.89</v>
      </c>
      <c r="F340" s="50"/>
      <c r="G340" s="50">
        <v>377929.89</v>
      </c>
      <c r="H340" s="50">
        <f t="shared" si="74"/>
        <v>0</v>
      </c>
    </row>
    <row r="341" spans="1:8" s="17" customFormat="1" ht="22.5" customHeight="1" x14ac:dyDescent="0.2">
      <c r="A341" s="33"/>
      <c r="B341" s="52"/>
      <c r="C341" s="27"/>
      <c r="D341" s="393" t="s">
        <v>172</v>
      </c>
      <c r="E341" s="115">
        <v>110281.70000000001</v>
      </c>
      <c r="F341" s="388">
        <f>SUM(F342:F343)</f>
        <v>17000</v>
      </c>
      <c r="G341" s="388">
        <f>SUM(G342:G343)</f>
        <v>17000</v>
      </c>
      <c r="H341" s="108">
        <f t="shared" si="74"/>
        <v>110281.70000000001</v>
      </c>
    </row>
    <row r="342" spans="1:8" s="17" customFormat="1" ht="11.45" customHeight="1" x14ac:dyDescent="0.2">
      <c r="A342" s="33"/>
      <c r="B342" s="52"/>
      <c r="C342" s="52">
        <v>4301</v>
      </c>
      <c r="D342" s="86" t="s">
        <v>99</v>
      </c>
      <c r="E342" s="51">
        <v>22654.95</v>
      </c>
      <c r="F342" s="50">
        <v>17000</v>
      </c>
      <c r="G342" s="50"/>
      <c r="H342" s="44">
        <f t="shared" si="74"/>
        <v>39654.949999999997</v>
      </c>
    </row>
    <row r="343" spans="1:8" s="17" customFormat="1" ht="11.45" customHeight="1" x14ac:dyDescent="0.2">
      <c r="A343" s="79"/>
      <c r="B343" s="99"/>
      <c r="C343" s="105">
        <v>4421</v>
      </c>
      <c r="D343" s="57" t="s">
        <v>173</v>
      </c>
      <c r="E343" s="84">
        <v>59464.15</v>
      </c>
      <c r="F343" s="81"/>
      <c r="G343" s="81">
        <v>17000</v>
      </c>
      <c r="H343" s="40">
        <f t="shared" si="74"/>
        <v>42464.15</v>
      </c>
    </row>
    <row r="344" spans="1:8" s="17" customFormat="1" ht="11.45" customHeight="1" thickBot="1" x14ac:dyDescent="0.25">
      <c r="A344" s="34" t="s">
        <v>174</v>
      </c>
      <c r="B344" s="33"/>
      <c r="C344" s="34"/>
      <c r="D344" s="35" t="s">
        <v>175</v>
      </c>
      <c r="E344" s="31">
        <v>6160289.4900000002</v>
      </c>
      <c r="F344" s="36">
        <f>SUM(F345)</f>
        <v>61421</v>
      </c>
      <c r="G344" s="36">
        <f>SUM(G345)</f>
        <v>61421</v>
      </c>
      <c r="H344" s="31">
        <f t="shared" si="74"/>
        <v>6160289.4900000002</v>
      </c>
    </row>
    <row r="345" spans="1:8" s="17" customFormat="1" ht="11.45" customHeight="1" thickTop="1" x14ac:dyDescent="0.2">
      <c r="A345" s="106"/>
      <c r="B345" s="55">
        <v>85154</v>
      </c>
      <c r="C345" s="88"/>
      <c r="D345" s="57" t="s">
        <v>176</v>
      </c>
      <c r="E345" s="84">
        <v>3550696.49</v>
      </c>
      <c r="F345" s="40">
        <f>SUM(F346,F352,F354)</f>
        <v>61421</v>
      </c>
      <c r="G345" s="40">
        <f>SUM(G346,G352,G354)</f>
        <v>61421</v>
      </c>
      <c r="H345" s="39">
        <f t="shared" si="74"/>
        <v>3550696.49</v>
      </c>
    </row>
    <row r="346" spans="1:8" s="17" customFormat="1" ht="11.45" customHeight="1" x14ac:dyDescent="0.2">
      <c r="A346" s="106"/>
      <c r="B346" s="52"/>
      <c r="C346" s="27"/>
      <c r="D346" s="391" t="s">
        <v>177</v>
      </c>
      <c r="E346" s="397">
        <v>1192816</v>
      </c>
      <c r="F346" s="395">
        <f>SUM(F347:F351)</f>
        <v>31421</v>
      </c>
      <c r="G346" s="395">
        <f>SUM(G347:G351)</f>
        <v>31421</v>
      </c>
      <c r="H346" s="108">
        <f t="shared" si="74"/>
        <v>1192816</v>
      </c>
    </row>
    <row r="347" spans="1:8" s="17" customFormat="1" ht="11.45" customHeight="1" x14ac:dyDescent="0.2">
      <c r="A347" s="106"/>
      <c r="B347" s="33"/>
      <c r="C347" s="55">
        <v>4010</v>
      </c>
      <c r="D347" s="59" t="s">
        <v>124</v>
      </c>
      <c r="E347" s="51">
        <v>432668</v>
      </c>
      <c r="F347" s="50">
        <v>31421</v>
      </c>
      <c r="G347" s="50"/>
      <c r="H347" s="44">
        <f t="shared" si="74"/>
        <v>464089</v>
      </c>
    </row>
    <row r="348" spans="1:8" s="17" customFormat="1" ht="11.45" customHeight="1" x14ac:dyDescent="0.2">
      <c r="A348" s="106"/>
      <c r="B348" s="33"/>
      <c r="C348" s="55">
        <v>4040</v>
      </c>
      <c r="D348" s="59" t="s">
        <v>125</v>
      </c>
      <c r="E348" s="51">
        <v>26145</v>
      </c>
      <c r="F348" s="50"/>
      <c r="G348" s="50">
        <v>1421</v>
      </c>
      <c r="H348" s="44">
        <f t="shared" si="74"/>
        <v>24724</v>
      </c>
    </row>
    <row r="349" spans="1:8" s="17" customFormat="1" ht="11.45" customHeight="1" x14ac:dyDescent="0.2">
      <c r="A349" s="106"/>
      <c r="B349" s="33"/>
      <c r="C349" s="65">
        <v>4220</v>
      </c>
      <c r="D349" s="86" t="s">
        <v>126</v>
      </c>
      <c r="E349" s="51">
        <v>40716</v>
      </c>
      <c r="F349" s="50"/>
      <c r="G349" s="50">
        <v>5000</v>
      </c>
      <c r="H349" s="44">
        <f t="shared" si="74"/>
        <v>35716</v>
      </c>
    </row>
    <row r="350" spans="1:8" s="17" customFormat="1" ht="11.45" customHeight="1" x14ac:dyDescent="0.2">
      <c r="A350" s="106"/>
      <c r="B350" s="33"/>
      <c r="C350" s="65">
        <v>4300</v>
      </c>
      <c r="D350" s="86" t="s">
        <v>99</v>
      </c>
      <c r="E350" s="51">
        <v>306562</v>
      </c>
      <c r="F350" s="50"/>
      <c r="G350" s="50">
        <v>20000</v>
      </c>
      <c r="H350" s="44">
        <f t="shared" si="74"/>
        <v>286562</v>
      </c>
    </row>
    <row r="351" spans="1:8" s="17" customFormat="1" ht="21.6" customHeight="1" x14ac:dyDescent="0.2">
      <c r="A351" s="106"/>
      <c r="B351" s="33"/>
      <c r="C351" s="66">
        <v>4700</v>
      </c>
      <c r="D351" s="90" t="s">
        <v>110</v>
      </c>
      <c r="E351" s="51">
        <v>20520</v>
      </c>
      <c r="F351" s="50"/>
      <c r="G351" s="50">
        <v>5000</v>
      </c>
      <c r="H351" s="44">
        <f t="shared" si="74"/>
        <v>15520</v>
      </c>
    </row>
    <row r="352" spans="1:8" s="17" customFormat="1" ht="11.45" customHeight="1" x14ac:dyDescent="0.2">
      <c r="A352" s="32"/>
      <c r="B352" s="33"/>
      <c r="C352" s="65"/>
      <c r="D352" s="398" t="s">
        <v>178</v>
      </c>
      <c r="E352" s="108">
        <v>1362305.94</v>
      </c>
      <c r="F352" s="108">
        <f>SUM(F353:F353)</f>
        <v>0</v>
      </c>
      <c r="G352" s="108">
        <f>SUM(G353:G353)</f>
        <v>30000</v>
      </c>
      <c r="H352" s="115">
        <f>SUM(E352+F352-G352)</f>
        <v>1332305.94</v>
      </c>
    </row>
    <row r="353" spans="1:8" s="17" customFormat="1" ht="11.45" customHeight="1" x14ac:dyDescent="0.2">
      <c r="A353" s="32"/>
      <c r="B353" s="33"/>
      <c r="C353" s="65">
        <v>4280</v>
      </c>
      <c r="D353" s="86" t="s">
        <v>88</v>
      </c>
      <c r="E353" s="50">
        <v>200000</v>
      </c>
      <c r="F353" s="50"/>
      <c r="G353" s="50">
        <v>30000</v>
      </c>
      <c r="H353" s="51">
        <f t="shared" ref="H353:H356" si="76">SUM(E353+F353-G353)</f>
        <v>170000</v>
      </c>
    </row>
    <row r="354" spans="1:8" s="17" customFormat="1" ht="11.45" customHeight="1" x14ac:dyDescent="0.2">
      <c r="A354" s="32"/>
      <c r="B354" s="33"/>
      <c r="C354" s="27"/>
      <c r="D354" s="399" t="s">
        <v>179</v>
      </c>
      <c r="E354" s="115">
        <v>20000</v>
      </c>
      <c r="F354" s="395">
        <f>SUM(F355:F356)</f>
        <v>30000</v>
      </c>
      <c r="G354" s="395">
        <f>SUM(G355:G356)</f>
        <v>0</v>
      </c>
      <c r="H354" s="115">
        <f t="shared" si="76"/>
        <v>50000</v>
      </c>
    </row>
    <row r="355" spans="1:8" s="17" customFormat="1" ht="11.45" customHeight="1" x14ac:dyDescent="0.2">
      <c r="A355" s="32"/>
      <c r="B355" s="33"/>
      <c r="C355" s="65">
        <v>4170</v>
      </c>
      <c r="D355" s="86" t="s">
        <v>98</v>
      </c>
      <c r="E355" s="51">
        <v>9800</v>
      </c>
      <c r="F355" s="50">
        <v>26000</v>
      </c>
      <c r="G355" s="50"/>
      <c r="H355" s="50">
        <f t="shared" si="76"/>
        <v>35800</v>
      </c>
    </row>
    <row r="356" spans="1:8" s="17" customFormat="1" ht="11.45" customHeight="1" x14ac:dyDescent="0.2">
      <c r="A356" s="32"/>
      <c r="B356" s="33"/>
      <c r="C356" s="65">
        <v>4210</v>
      </c>
      <c r="D356" s="86" t="s">
        <v>86</v>
      </c>
      <c r="E356" s="51">
        <v>1000</v>
      </c>
      <c r="F356" s="50">
        <v>4000</v>
      </c>
      <c r="G356" s="50"/>
      <c r="H356" s="50">
        <f t="shared" si="76"/>
        <v>5000</v>
      </c>
    </row>
    <row r="357" spans="1:8" s="17" customFormat="1" ht="12" customHeight="1" thickBot="1" x14ac:dyDescent="0.25">
      <c r="A357" s="34" t="s">
        <v>180</v>
      </c>
      <c r="B357" s="33"/>
      <c r="C357" s="34"/>
      <c r="D357" s="35" t="s">
        <v>44</v>
      </c>
      <c r="E357" s="31">
        <v>65673763.07</v>
      </c>
      <c r="F357" s="36">
        <f>SUM(F358,F363,F374,F378,F387)</f>
        <v>1187891</v>
      </c>
      <c r="G357" s="36">
        <f>SUM(G358,G363,G374,G378,G387)</f>
        <v>1187891</v>
      </c>
      <c r="H357" s="31">
        <f t="shared" si="74"/>
        <v>65673763.07</v>
      </c>
    </row>
    <row r="358" spans="1:8" s="17" customFormat="1" ht="12" customHeight="1" thickTop="1" x14ac:dyDescent="0.2">
      <c r="A358" s="34"/>
      <c r="B358" s="52">
        <v>85202</v>
      </c>
      <c r="C358" s="27"/>
      <c r="D358" s="74" t="s">
        <v>181</v>
      </c>
      <c r="E358" s="84">
        <v>15585200.26</v>
      </c>
      <c r="F358" s="40">
        <f>SUM(F359)</f>
        <v>5200</v>
      </c>
      <c r="G358" s="40">
        <f>SUM(G359)</f>
        <v>5200</v>
      </c>
      <c r="H358" s="39">
        <f t="shared" si="74"/>
        <v>15585200.26</v>
      </c>
    </row>
    <row r="359" spans="1:8" s="17" customFormat="1" ht="12" customHeight="1" x14ac:dyDescent="0.2">
      <c r="A359" s="34"/>
      <c r="B359" s="52"/>
      <c r="C359" s="27"/>
      <c r="D359" s="391" t="s">
        <v>182</v>
      </c>
      <c r="E359" s="115">
        <v>3546523.26</v>
      </c>
      <c r="F359" s="395">
        <f>SUM(F360:F362)</f>
        <v>5200</v>
      </c>
      <c r="G359" s="395">
        <f>SUM(G360:G362)</f>
        <v>5200</v>
      </c>
      <c r="H359" s="108">
        <f t="shared" si="74"/>
        <v>3546523.26</v>
      </c>
    </row>
    <row r="360" spans="1:8" s="17" customFormat="1" ht="12" customHeight="1" x14ac:dyDescent="0.2">
      <c r="A360" s="34"/>
      <c r="B360" s="52"/>
      <c r="C360" s="55">
        <v>4040</v>
      </c>
      <c r="D360" s="59" t="s">
        <v>125</v>
      </c>
      <c r="E360" s="50">
        <v>148780</v>
      </c>
      <c r="F360" s="51"/>
      <c r="G360" s="51">
        <v>5200</v>
      </c>
      <c r="H360" s="44">
        <f t="shared" si="74"/>
        <v>143580</v>
      </c>
    </row>
    <row r="361" spans="1:8" s="17" customFormat="1" ht="12" customHeight="1" x14ac:dyDescent="0.2">
      <c r="A361" s="34"/>
      <c r="B361" s="52"/>
      <c r="C361" s="65">
        <v>4170</v>
      </c>
      <c r="D361" s="86" t="s">
        <v>98</v>
      </c>
      <c r="E361" s="50">
        <v>13950</v>
      </c>
      <c r="F361" s="51">
        <v>2000</v>
      </c>
      <c r="G361" s="51"/>
      <c r="H361" s="44">
        <f t="shared" si="74"/>
        <v>15950</v>
      </c>
    </row>
    <row r="362" spans="1:8" s="17" customFormat="1" ht="12" customHeight="1" x14ac:dyDescent="0.2">
      <c r="A362" s="34"/>
      <c r="B362" s="52"/>
      <c r="C362" s="65">
        <v>4430</v>
      </c>
      <c r="D362" s="86" t="s">
        <v>183</v>
      </c>
      <c r="E362" s="50">
        <v>5870</v>
      </c>
      <c r="F362" s="51">
        <v>3200</v>
      </c>
      <c r="G362" s="51"/>
      <c r="H362" s="44">
        <f t="shared" si="74"/>
        <v>9070</v>
      </c>
    </row>
    <row r="363" spans="1:8" s="17" customFormat="1" ht="12" customHeight="1" x14ac:dyDescent="0.2">
      <c r="A363" s="34"/>
      <c r="B363" s="52">
        <v>85219</v>
      </c>
      <c r="C363" s="27"/>
      <c r="D363" s="77" t="s">
        <v>184</v>
      </c>
      <c r="E363" s="84">
        <v>13568001</v>
      </c>
      <c r="F363" s="40">
        <f>SUM(F364)</f>
        <v>1068416</v>
      </c>
      <c r="G363" s="40">
        <f>SUM(G364)</f>
        <v>18000</v>
      </c>
      <c r="H363" s="39">
        <f t="shared" ref="H363:H408" si="77">SUM(E363+F363-G363)</f>
        <v>14618417</v>
      </c>
    </row>
    <row r="364" spans="1:8" s="17" customFormat="1" ht="12" customHeight="1" x14ac:dyDescent="0.2">
      <c r="A364" s="34"/>
      <c r="B364" s="33"/>
      <c r="C364" s="27"/>
      <c r="D364" s="391" t="s">
        <v>177</v>
      </c>
      <c r="E364" s="115">
        <v>13568001</v>
      </c>
      <c r="F364" s="388">
        <f>SUM(F365:F372)</f>
        <v>1068416</v>
      </c>
      <c r="G364" s="388">
        <f>SUM(G365:G372)</f>
        <v>18000</v>
      </c>
      <c r="H364" s="115">
        <f>SUM(E364+F364-G364)</f>
        <v>14618417</v>
      </c>
    </row>
    <row r="365" spans="1:8" s="17" customFormat="1" ht="12" customHeight="1" x14ac:dyDescent="0.2">
      <c r="A365" s="34"/>
      <c r="B365" s="52"/>
      <c r="C365" s="65">
        <v>4010</v>
      </c>
      <c r="D365" s="86" t="s">
        <v>124</v>
      </c>
      <c r="E365" s="51">
        <v>9453861</v>
      </c>
      <c r="F365" s="44">
        <v>868487</v>
      </c>
      <c r="G365" s="44"/>
      <c r="H365" s="44">
        <f t="shared" ref="H365:H372" si="78">SUM(E365+F365-G365)</f>
        <v>10322348</v>
      </c>
    </row>
    <row r="366" spans="1:8" s="17" customFormat="1" ht="12" customHeight="1" x14ac:dyDescent="0.2">
      <c r="A366" s="34"/>
      <c r="B366" s="52"/>
      <c r="C366" s="65">
        <v>4110</v>
      </c>
      <c r="D366" s="86" t="s">
        <v>147</v>
      </c>
      <c r="E366" s="51">
        <v>1669995</v>
      </c>
      <c r="F366" s="44">
        <v>161642</v>
      </c>
      <c r="G366" s="44"/>
      <c r="H366" s="44">
        <f t="shared" si="78"/>
        <v>1831637</v>
      </c>
    </row>
    <row r="367" spans="1:8" s="17" customFormat="1" ht="12" customHeight="1" x14ac:dyDescent="0.2">
      <c r="A367" s="34"/>
      <c r="B367" s="52"/>
      <c r="C367" s="65">
        <v>4120</v>
      </c>
      <c r="D367" s="86" t="s">
        <v>148</v>
      </c>
      <c r="E367" s="51">
        <v>194013</v>
      </c>
      <c r="F367" s="44">
        <v>17287</v>
      </c>
      <c r="G367" s="44"/>
      <c r="H367" s="44">
        <f t="shared" si="78"/>
        <v>211300</v>
      </c>
    </row>
    <row r="368" spans="1:8" s="17" customFormat="1" ht="12" customHeight="1" x14ac:dyDescent="0.2">
      <c r="A368" s="34"/>
      <c r="B368" s="52"/>
      <c r="C368" s="65">
        <v>4210</v>
      </c>
      <c r="D368" s="86" t="s">
        <v>86</v>
      </c>
      <c r="E368" s="51">
        <v>190208</v>
      </c>
      <c r="F368" s="44">
        <v>15000</v>
      </c>
      <c r="G368" s="44"/>
      <c r="H368" s="44">
        <f t="shared" si="78"/>
        <v>205208</v>
      </c>
    </row>
    <row r="369" spans="1:8" s="17" customFormat="1" ht="12" customHeight="1" x14ac:dyDescent="0.2">
      <c r="A369" s="34"/>
      <c r="B369" s="52"/>
      <c r="C369" s="65">
        <v>4300</v>
      </c>
      <c r="D369" s="86" t="s">
        <v>99</v>
      </c>
      <c r="E369" s="51">
        <v>423374</v>
      </c>
      <c r="F369" s="44"/>
      <c r="G369" s="44">
        <v>18000</v>
      </c>
      <c r="H369" s="44">
        <f t="shared" si="78"/>
        <v>405374</v>
      </c>
    </row>
    <row r="370" spans="1:8" s="17" customFormat="1" ht="12" customHeight="1" x14ac:dyDescent="0.2">
      <c r="A370" s="34"/>
      <c r="B370" s="52"/>
      <c r="C370" s="65">
        <v>4580</v>
      </c>
      <c r="D370" s="86" t="s">
        <v>185</v>
      </c>
      <c r="E370" s="51">
        <v>0</v>
      </c>
      <c r="F370" s="44">
        <v>1000</v>
      </c>
      <c r="G370" s="44"/>
      <c r="H370" s="44">
        <f t="shared" si="78"/>
        <v>1000</v>
      </c>
    </row>
    <row r="371" spans="1:8" s="17" customFormat="1" ht="12" customHeight="1" x14ac:dyDescent="0.2">
      <c r="A371" s="34"/>
      <c r="B371" s="52"/>
      <c r="C371" s="65">
        <v>4610</v>
      </c>
      <c r="D371" s="87" t="s">
        <v>94</v>
      </c>
      <c r="E371" s="51">
        <v>1000</v>
      </c>
      <c r="F371" s="44">
        <v>2000</v>
      </c>
      <c r="G371" s="44"/>
      <c r="H371" s="44">
        <f t="shared" si="78"/>
        <v>3000</v>
      </c>
    </row>
    <row r="372" spans="1:8" s="17" customFormat="1" ht="12" customHeight="1" x14ac:dyDescent="0.2">
      <c r="A372" s="34"/>
      <c r="B372" s="52"/>
      <c r="C372" s="65">
        <v>4710</v>
      </c>
      <c r="D372" s="71" t="s">
        <v>100</v>
      </c>
      <c r="E372" s="51">
        <v>3860</v>
      </c>
      <c r="F372" s="44">
        <v>3000</v>
      </c>
      <c r="G372" s="44"/>
      <c r="H372" s="44">
        <f t="shared" si="78"/>
        <v>6860</v>
      </c>
    </row>
    <row r="373" spans="1:8" s="17" customFormat="1" ht="12" customHeight="1" x14ac:dyDescent="0.2">
      <c r="A373" s="34"/>
      <c r="B373" s="55">
        <v>85220</v>
      </c>
      <c r="C373" s="88"/>
      <c r="D373" s="59" t="s">
        <v>186</v>
      </c>
      <c r="E373" s="50"/>
      <c r="F373" s="51"/>
      <c r="G373" s="51"/>
      <c r="H373" s="44"/>
    </row>
    <row r="374" spans="1:8" s="17" customFormat="1" ht="12" customHeight="1" x14ac:dyDescent="0.2">
      <c r="A374" s="34"/>
      <c r="B374" s="56"/>
      <c r="C374" s="88"/>
      <c r="D374" s="57" t="s">
        <v>187</v>
      </c>
      <c r="E374" s="84">
        <v>819938</v>
      </c>
      <c r="F374" s="40">
        <f>SUM(F376)</f>
        <v>12000</v>
      </c>
      <c r="G374" s="40">
        <f>SUM(G376)</f>
        <v>0</v>
      </c>
      <c r="H374" s="39">
        <f t="shared" ref="H374" si="79">SUM(E374+F374-G374)</f>
        <v>831938</v>
      </c>
    </row>
    <row r="375" spans="1:8" s="17" customFormat="1" ht="12" customHeight="1" x14ac:dyDescent="0.2">
      <c r="A375" s="34"/>
      <c r="B375" s="56"/>
      <c r="C375" s="88"/>
      <c r="D375" s="59" t="s">
        <v>188</v>
      </c>
      <c r="E375" s="51"/>
      <c r="F375" s="44"/>
      <c r="G375" s="44"/>
      <c r="H375" s="43"/>
    </row>
    <row r="376" spans="1:8" s="17" customFormat="1" ht="12" customHeight="1" x14ac:dyDescent="0.2">
      <c r="A376" s="34"/>
      <c r="B376" s="52"/>
      <c r="C376" s="60"/>
      <c r="D376" s="392" t="s">
        <v>189</v>
      </c>
      <c r="E376" s="115">
        <v>788938</v>
      </c>
      <c r="F376" s="388">
        <f>SUM(F377:F377)</f>
        <v>12000</v>
      </c>
      <c r="G376" s="388">
        <f>SUM(G377:G377)</f>
        <v>0</v>
      </c>
      <c r="H376" s="115">
        <f>SUM(E376+F376-G376)</f>
        <v>800938</v>
      </c>
    </row>
    <row r="377" spans="1:8" s="17" customFormat="1" ht="12" customHeight="1" x14ac:dyDescent="0.2">
      <c r="A377" s="34"/>
      <c r="B377" s="52"/>
      <c r="C377" s="65">
        <v>4010</v>
      </c>
      <c r="D377" s="86" t="s">
        <v>124</v>
      </c>
      <c r="E377" s="51">
        <v>519118</v>
      </c>
      <c r="F377" s="44">
        <v>12000</v>
      </c>
      <c r="G377" s="44"/>
      <c r="H377" s="44">
        <f>SUM(E377+F377-G377)</f>
        <v>531118</v>
      </c>
    </row>
    <row r="378" spans="1:8" s="17" customFormat="1" ht="12" customHeight="1" x14ac:dyDescent="0.2">
      <c r="A378" s="34"/>
      <c r="B378" s="55">
        <v>85230</v>
      </c>
      <c r="C378" s="88"/>
      <c r="D378" s="57" t="s">
        <v>45</v>
      </c>
      <c r="E378" s="39">
        <v>6733981</v>
      </c>
      <c r="F378" s="40">
        <f>SUM(F379,F382)</f>
        <v>51125</v>
      </c>
      <c r="G378" s="40">
        <f>SUM(G379,G382)</f>
        <v>1164691</v>
      </c>
      <c r="H378" s="39">
        <f>SUM(E378+F378-G378)</f>
        <v>5620415</v>
      </c>
    </row>
    <row r="379" spans="1:8" s="17" customFormat="1" ht="12" customHeight="1" x14ac:dyDescent="0.2">
      <c r="A379" s="34"/>
      <c r="B379" s="33"/>
      <c r="C379" s="60"/>
      <c r="D379" s="391" t="s">
        <v>177</v>
      </c>
      <c r="E379" s="115">
        <v>6681399</v>
      </c>
      <c r="F379" s="388">
        <f>SUM(F380:F381)</f>
        <v>0</v>
      </c>
      <c r="G379" s="388">
        <f>SUM(G380:G381)</f>
        <v>1113566</v>
      </c>
      <c r="H379" s="115">
        <f>SUM(E379+F379-G379)</f>
        <v>5567833</v>
      </c>
    </row>
    <row r="380" spans="1:8" s="17" customFormat="1" ht="12" customHeight="1" x14ac:dyDescent="0.2">
      <c r="A380" s="34"/>
      <c r="B380" s="33"/>
      <c r="C380" s="65">
        <v>3110</v>
      </c>
      <c r="D380" s="86" t="s">
        <v>190</v>
      </c>
      <c r="E380" s="51">
        <v>3801399</v>
      </c>
      <c r="F380" s="44"/>
      <c r="G380" s="44">
        <v>633566</v>
      </c>
      <c r="H380" s="44">
        <f>SUM(E380+F380-G380)</f>
        <v>3167833</v>
      </c>
    </row>
    <row r="381" spans="1:8" s="17" customFormat="1" ht="12" customHeight="1" x14ac:dyDescent="0.2">
      <c r="A381" s="34"/>
      <c r="B381" s="33"/>
      <c r="C381" s="59">
        <v>4300</v>
      </c>
      <c r="D381" s="71" t="s">
        <v>99</v>
      </c>
      <c r="E381" s="51">
        <v>2880000</v>
      </c>
      <c r="F381" s="44"/>
      <c r="G381" s="44">
        <v>480000</v>
      </c>
      <c r="H381" s="44">
        <f t="shared" ref="H381" si="80">SUM(E381+F381-G381)</f>
        <v>2400000</v>
      </c>
    </row>
    <row r="382" spans="1:8" s="17" customFormat="1" ht="22.9" customHeight="1" x14ac:dyDescent="0.2">
      <c r="A382" s="34"/>
      <c r="B382" s="33"/>
      <c r="C382" s="27"/>
      <c r="D382" s="393" t="s">
        <v>191</v>
      </c>
      <c r="E382" s="115">
        <v>51125</v>
      </c>
      <c r="F382" s="388">
        <f>SUM(F383:F386)</f>
        <v>51125</v>
      </c>
      <c r="G382" s="388">
        <f>SUM(G383:G386)</f>
        <v>51125</v>
      </c>
      <c r="H382" s="115">
        <f>SUM(E382+F382-G382)</f>
        <v>51125</v>
      </c>
    </row>
    <row r="383" spans="1:8" s="17" customFormat="1" ht="12" customHeight="1" x14ac:dyDescent="0.2">
      <c r="A383" s="34"/>
      <c r="B383" s="33"/>
      <c r="C383" s="65">
        <v>3110</v>
      </c>
      <c r="D383" s="86" t="s">
        <v>190</v>
      </c>
      <c r="E383" s="51">
        <v>8500</v>
      </c>
      <c r="F383" s="50"/>
      <c r="G383" s="50">
        <v>8500</v>
      </c>
      <c r="H383" s="44">
        <f t="shared" ref="H383:H386" si="81">SUM(E383+F383-G383)</f>
        <v>0</v>
      </c>
    </row>
    <row r="384" spans="1:8" s="17" customFormat="1" ht="21" customHeight="1" x14ac:dyDescent="0.2">
      <c r="A384" s="34"/>
      <c r="B384" s="33"/>
      <c r="C384" s="66">
        <v>3290</v>
      </c>
      <c r="D384" s="82" t="s">
        <v>192</v>
      </c>
      <c r="E384" s="51">
        <v>0</v>
      </c>
      <c r="F384" s="50">
        <v>8500</v>
      </c>
      <c r="G384" s="50"/>
      <c r="H384" s="44">
        <f t="shared" si="81"/>
        <v>8500</v>
      </c>
    </row>
    <row r="385" spans="1:8" s="17" customFormat="1" ht="12" customHeight="1" x14ac:dyDescent="0.2">
      <c r="A385" s="34"/>
      <c r="B385" s="33"/>
      <c r="C385" s="65">
        <v>4300</v>
      </c>
      <c r="D385" s="86" t="s">
        <v>99</v>
      </c>
      <c r="E385" s="51">
        <v>42625</v>
      </c>
      <c r="F385" s="44"/>
      <c r="G385" s="44">
        <v>42625</v>
      </c>
      <c r="H385" s="44">
        <f t="shared" si="81"/>
        <v>0</v>
      </c>
    </row>
    <row r="386" spans="1:8" s="17" customFormat="1" ht="12" customHeight="1" x14ac:dyDescent="0.2">
      <c r="A386" s="34"/>
      <c r="B386" s="33"/>
      <c r="C386" s="65">
        <v>4370</v>
      </c>
      <c r="D386" s="86" t="s">
        <v>115</v>
      </c>
      <c r="E386" s="51">
        <v>0</v>
      </c>
      <c r="F386" s="44">
        <v>42625</v>
      </c>
      <c r="G386" s="44"/>
      <c r="H386" s="44">
        <f t="shared" si="81"/>
        <v>42625</v>
      </c>
    </row>
    <row r="387" spans="1:8" s="17" customFormat="1" ht="12" customHeight="1" x14ac:dyDescent="0.2">
      <c r="A387" s="34"/>
      <c r="B387" s="52">
        <v>85295</v>
      </c>
      <c r="C387" s="27"/>
      <c r="D387" s="38" t="s">
        <v>40</v>
      </c>
      <c r="E387" s="39">
        <v>4516414.67</v>
      </c>
      <c r="F387" s="40">
        <f>SUM(F388)</f>
        <v>51150</v>
      </c>
      <c r="G387" s="40">
        <f>SUM(G388)</f>
        <v>0</v>
      </c>
      <c r="H387" s="39">
        <f>SUM(E387+F387-G387)</f>
        <v>4567564.67</v>
      </c>
    </row>
    <row r="388" spans="1:8" s="17" customFormat="1" ht="12" customHeight="1" x14ac:dyDescent="0.2">
      <c r="A388" s="34"/>
      <c r="B388" s="33"/>
      <c r="C388" s="60"/>
      <c r="D388" s="391" t="s">
        <v>177</v>
      </c>
      <c r="E388" s="115">
        <v>1271628</v>
      </c>
      <c r="F388" s="388">
        <f>SUM(F389:F392)</f>
        <v>51150</v>
      </c>
      <c r="G388" s="388">
        <f>SUM(G389:G392)</f>
        <v>0</v>
      </c>
      <c r="H388" s="115">
        <f t="shared" ref="H388:H399" si="82">SUM(E388+F388-G388)</f>
        <v>1322778</v>
      </c>
    </row>
    <row r="389" spans="1:8" s="17" customFormat="1" ht="12" customHeight="1" x14ac:dyDescent="0.2">
      <c r="A389" s="34"/>
      <c r="B389" s="33"/>
      <c r="C389" s="65">
        <v>4010</v>
      </c>
      <c r="D389" s="86" t="s">
        <v>124</v>
      </c>
      <c r="E389" s="44">
        <v>784731</v>
      </c>
      <c r="F389" s="43">
        <v>41000</v>
      </c>
      <c r="G389" s="45"/>
      <c r="H389" s="44">
        <f t="shared" si="82"/>
        <v>825731</v>
      </c>
    </row>
    <row r="390" spans="1:8" s="17" customFormat="1" ht="12" customHeight="1" x14ac:dyDescent="0.2">
      <c r="A390" s="34"/>
      <c r="B390" s="33"/>
      <c r="C390" s="65">
        <v>4110</v>
      </c>
      <c r="D390" s="86" t="s">
        <v>147</v>
      </c>
      <c r="E390" s="44">
        <v>124607</v>
      </c>
      <c r="F390" s="43">
        <v>7900</v>
      </c>
      <c r="G390" s="45"/>
      <c r="H390" s="44">
        <f t="shared" si="82"/>
        <v>132507</v>
      </c>
    </row>
    <row r="391" spans="1:8" s="17" customFormat="1" ht="12" customHeight="1" x14ac:dyDescent="0.2">
      <c r="A391" s="34"/>
      <c r="B391" s="33"/>
      <c r="C391" s="65">
        <v>4120</v>
      </c>
      <c r="D391" s="86" t="s">
        <v>148</v>
      </c>
      <c r="E391" s="44">
        <v>21527</v>
      </c>
      <c r="F391" s="43">
        <v>1250</v>
      </c>
      <c r="G391" s="45"/>
      <c r="H391" s="44">
        <f t="shared" si="82"/>
        <v>22777</v>
      </c>
    </row>
    <row r="392" spans="1:8" s="17" customFormat="1" ht="12" customHeight="1" x14ac:dyDescent="0.2">
      <c r="A392" s="34"/>
      <c r="B392" s="52"/>
      <c r="C392" s="65">
        <v>4710</v>
      </c>
      <c r="D392" s="71" t="s">
        <v>100</v>
      </c>
      <c r="E392" s="50">
        <v>897</v>
      </c>
      <c r="F392" s="50">
        <v>1000</v>
      </c>
      <c r="G392" s="50"/>
      <c r="H392" s="44">
        <f t="shared" si="82"/>
        <v>1897</v>
      </c>
    </row>
    <row r="393" spans="1:8" s="17" customFormat="1" ht="12" customHeight="1" thickBot="1" x14ac:dyDescent="0.25">
      <c r="A393" s="32">
        <v>853</v>
      </c>
      <c r="B393" s="33"/>
      <c r="C393" s="34"/>
      <c r="D393" s="35" t="s">
        <v>68</v>
      </c>
      <c r="E393" s="31">
        <v>10338903.59</v>
      </c>
      <c r="F393" s="36">
        <f>SUM(F394)</f>
        <v>10000</v>
      </c>
      <c r="G393" s="36">
        <f>SUM(G394)</f>
        <v>10000</v>
      </c>
      <c r="H393" s="31">
        <f t="shared" si="82"/>
        <v>10338903.59</v>
      </c>
    </row>
    <row r="394" spans="1:8" s="17" customFormat="1" ht="12" customHeight="1" thickTop="1" x14ac:dyDescent="0.2">
      <c r="A394" s="34"/>
      <c r="B394" s="52">
        <v>85395</v>
      </c>
      <c r="C394" s="27"/>
      <c r="D394" s="38" t="s">
        <v>40</v>
      </c>
      <c r="E394" s="84">
        <v>6378631.5899999999</v>
      </c>
      <c r="F394" s="39">
        <f>SUM(F395)</f>
        <v>10000</v>
      </c>
      <c r="G394" s="39">
        <f>SUM(G395)</f>
        <v>10000</v>
      </c>
      <c r="H394" s="39">
        <f t="shared" si="82"/>
        <v>6378631.5899999999</v>
      </c>
    </row>
    <row r="395" spans="1:8" s="17" customFormat="1" ht="12" customHeight="1" x14ac:dyDescent="0.2">
      <c r="A395" s="34"/>
      <c r="B395" s="52"/>
      <c r="C395" s="60"/>
      <c r="D395" s="394" t="s">
        <v>193</v>
      </c>
      <c r="E395" s="115">
        <v>4220806</v>
      </c>
      <c r="F395" s="388">
        <f>SUM(F396:F399)</f>
        <v>10000</v>
      </c>
      <c r="G395" s="388">
        <f>SUM(G396:G399)</f>
        <v>10000</v>
      </c>
      <c r="H395" s="115">
        <f t="shared" si="82"/>
        <v>4220806</v>
      </c>
    </row>
    <row r="396" spans="1:8" s="17" customFormat="1" ht="12" customHeight="1" x14ac:dyDescent="0.2">
      <c r="A396" s="34"/>
      <c r="B396" s="52"/>
      <c r="C396" s="65">
        <v>4270</v>
      </c>
      <c r="D396" s="86" t="s">
        <v>104</v>
      </c>
      <c r="E396" s="51">
        <v>27000</v>
      </c>
      <c r="F396" s="50">
        <v>9000</v>
      </c>
      <c r="G396" s="50"/>
      <c r="H396" s="44">
        <f t="shared" si="82"/>
        <v>36000</v>
      </c>
    </row>
    <row r="397" spans="1:8" s="17" customFormat="1" ht="12" customHeight="1" x14ac:dyDescent="0.2">
      <c r="A397" s="34"/>
      <c r="B397" s="52"/>
      <c r="C397" s="59">
        <v>4300</v>
      </c>
      <c r="D397" s="71" t="s">
        <v>99</v>
      </c>
      <c r="E397" s="51">
        <v>80000</v>
      </c>
      <c r="F397" s="50"/>
      <c r="G397" s="50">
        <v>8000</v>
      </c>
      <c r="H397" s="44">
        <f t="shared" si="82"/>
        <v>72000</v>
      </c>
    </row>
    <row r="398" spans="1:8" s="17" customFormat="1" ht="12" customHeight="1" x14ac:dyDescent="0.2">
      <c r="A398" s="34"/>
      <c r="B398" s="52"/>
      <c r="C398" s="65">
        <v>4430</v>
      </c>
      <c r="D398" s="86" t="s">
        <v>183</v>
      </c>
      <c r="E398" s="51">
        <v>10000</v>
      </c>
      <c r="F398" s="50">
        <v>1000</v>
      </c>
      <c r="G398" s="50"/>
      <c r="H398" s="44">
        <f t="shared" si="82"/>
        <v>11000</v>
      </c>
    </row>
    <row r="399" spans="1:8" s="17" customFormat="1" ht="12" customHeight="1" x14ac:dyDescent="0.2">
      <c r="A399" s="107"/>
      <c r="B399" s="99"/>
      <c r="C399" s="92">
        <v>4530</v>
      </c>
      <c r="D399" s="38" t="s">
        <v>194</v>
      </c>
      <c r="E399" s="84">
        <v>9400</v>
      </c>
      <c r="F399" s="81"/>
      <c r="G399" s="81">
        <v>2000</v>
      </c>
      <c r="H399" s="40">
        <f t="shared" si="82"/>
        <v>7400</v>
      </c>
    </row>
    <row r="400" spans="1:8" s="17" customFormat="1" ht="12" customHeight="1" thickBot="1" x14ac:dyDescent="0.25">
      <c r="A400" s="33">
        <v>854</v>
      </c>
      <c r="B400" s="33"/>
      <c r="C400" s="34"/>
      <c r="D400" s="35" t="s">
        <v>195</v>
      </c>
      <c r="E400" s="31">
        <v>15337723</v>
      </c>
      <c r="F400" s="36">
        <f>SUM(F401,F404,F410,F420,F430,F438)</f>
        <v>218820</v>
      </c>
      <c r="G400" s="36">
        <f>SUM(G401,G404,G410,G420,G430,G438)</f>
        <v>218820</v>
      </c>
      <c r="H400" s="31">
        <f t="shared" si="77"/>
        <v>15337723</v>
      </c>
    </row>
    <row r="401" spans="1:8" s="17" customFormat="1" ht="12" customHeight="1" thickTop="1" x14ac:dyDescent="0.2">
      <c r="A401" s="33"/>
      <c r="B401" s="52">
        <v>85402</v>
      </c>
      <c r="C401" s="65"/>
      <c r="D401" s="74" t="s">
        <v>196</v>
      </c>
      <c r="E401" s="39">
        <v>776538</v>
      </c>
      <c r="F401" s="40">
        <f>SUM(F402)</f>
        <v>160000</v>
      </c>
      <c r="G401" s="40">
        <f>SUM(G402)</f>
        <v>0</v>
      </c>
      <c r="H401" s="39">
        <f t="shared" si="77"/>
        <v>936538</v>
      </c>
    </row>
    <row r="402" spans="1:8" s="17" customFormat="1" ht="12" customHeight="1" x14ac:dyDescent="0.2">
      <c r="A402" s="33"/>
      <c r="B402" s="52"/>
      <c r="C402" s="27"/>
      <c r="D402" s="391" t="s">
        <v>197</v>
      </c>
      <c r="E402" s="108">
        <v>776538</v>
      </c>
      <c r="F402" s="395">
        <f>SUM(F403:F403)</f>
        <v>160000</v>
      </c>
      <c r="G402" s="395">
        <f>SUM(G403:G403)</f>
        <v>0</v>
      </c>
      <c r="H402" s="115">
        <f t="shared" si="77"/>
        <v>936538</v>
      </c>
    </row>
    <row r="403" spans="1:8" s="17" customFormat="1" ht="21" customHeight="1" x14ac:dyDescent="0.2">
      <c r="A403" s="33"/>
      <c r="B403" s="52"/>
      <c r="C403" s="66">
        <v>2540</v>
      </c>
      <c r="D403" s="82" t="s">
        <v>142</v>
      </c>
      <c r="E403" s="43">
        <v>776538</v>
      </c>
      <c r="F403" s="50">
        <v>160000</v>
      </c>
      <c r="G403" s="50"/>
      <c r="H403" s="44">
        <f t="shared" si="77"/>
        <v>936538</v>
      </c>
    </row>
    <row r="404" spans="1:8" s="17" customFormat="1" ht="12" customHeight="1" x14ac:dyDescent="0.2">
      <c r="A404" s="33"/>
      <c r="B404" s="65">
        <v>85404</v>
      </c>
      <c r="C404" s="27"/>
      <c r="D404" s="74" t="s">
        <v>198</v>
      </c>
      <c r="E404" s="39">
        <v>928130</v>
      </c>
      <c r="F404" s="40">
        <f>SUM(F405)</f>
        <v>4720</v>
      </c>
      <c r="G404" s="40">
        <f>SUM(G405)</f>
        <v>220</v>
      </c>
      <c r="H404" s="39">
        <f t="shared" si="77"/>
        <v>932630</v>
      </c>
    </row>
    <row r="405" spans="1:8" s="17" customFormat="1" ht="12" customHeight="1" x14ac:dyDescent="0.2">
      <c r="A405" s="33"/>
      <c r="B405" s="52"/>
      <c r="C405" s="27"/>
      <c r="D405" s="391" t="s">
        <v>122</v>
      </c>
      <c r="E405" s="108">
        <v>427942</v>
      </c>
      <c r="F405" s="395">
        <f>SUM(F406:F408)</f>
        <v>4720</v>
      </c>
      <c r="G405" s="395">
        <f>SUM(G406:G408)</f>
        <v>220</v>
      </c>
      <c r="H405" s="115">
        <f t="shared" si="77"/>
        <v>432442</v>
      </c>
    </row>
    <row r="406" spans="1:8" s="17" customFormat="1" ht="12" customHeight="1" x14ac:dyDescent="0.2">
      <c r="A406" s="33"/>
      <c r="B406" s="52"/>
      <c r="C406" s="65">
        <v>4110</v>
      </c>
      <c r="D406" s="86" t="s">
        <v>147</v>
      </c>
      <c r="E406" s="43">
        <v>57971</v>
      </c>
      <c r="F406" s="50">
        <f>200+4500</f>
        <v>4700</v>
      </c>
      <c r="G406" s="50"/>
      <c r="H406" s="44">
        <f t="shared" si="77"/>
        <v>62671</v>
      </c>
    </row>
    <row r="407" spans="1:8" s="17" customFormat="1" ht="12" customHeight="1" x14ac:dyDescent="0.2">
      <c r="A407" s="33"/>
      <c r="B407" s="52"/>
      <c r="C407" s="65">
        <v>4120</v>
      </c>
      <c r="D407" s="86" t="s">
        <v>148</v>
      </c>
      <c r="E407" s="43">
        <v>8402</v>
      </c>
      <c r="F407" s="50">
        <v>20</v>
      </c>
      <c r="G407" s="50"/>
      <c r="H407" s="44">
        <f t="shared" si="77"/>
        <v>8422</v>
      </c>
    </row>
    <row r="408" spans="1:8" s="17" customFormat="1" ht="12" customHeight="1" x14ac:dyDescent="0.2">
      <c r="A408" s="33"/>
      <c r="B408" s="52"/>
      <c r="C408" s="65">
        <v>4710</v>
      </c>
      <c r="D408" s="71" t="s">
        <v>100</v>
      </c>
      <c r="E408" s="43">
        <v>6216</v>
      </c>
      <c r="F408" s="50"/>
      <c r="G408" s="50">
        <v>220</v>
      </c>
      <c r="H408" s="44">
        <f t="shared" si="77"/>
        <v>5996</v>
      </c>
    </row>
    <row r="409" spans="1:8" s="17" customFormat="1" ht="12" customHeight="1" x14ac:dyDescent="0.2">
      <c r="A409" s="33"/>
      <c r="B409" s="65">
        <v>85406</v>
      </c>
      <c r="C409" s="65"/>
      <c r="D409" s="86" t="s">
        <v>199</v>
      </c>
      <c r="E409" s="72"/>
      <c r="F409" s="76"/>
      <c r="G409" s="76"/>
      <c r="H409" s="72"/>
    </row>
    <row r="410" spans="1:8" s="17" customFormat="1" ht="12" customHeight="1" x14ac:dyDescent="0.2">
      <c r="A410" s="33"/>
      <c r="B410" s="65"/>
      <c r="C410" s="27"/>
      <c r="D410" s="74" t="s">
        <v>200</v>
      </c>
      <c r="E410" s="39">
        <v>4088608</v>
      </c>
      <c r="F410" s="40">
        <f>SUM(F411,F413)</f>
        <v>4100</v>
      </c>
      <c r="G410" s="40">
        <f>SUM(G411,G413)</f>
        <v>106800</v>
      </c>
      <c r="H410" s="39">
        <f t="shared" ref="H410" si="83">SUM(E410+F410-G410)</f>
        <v>3985908</v>
      </c>
    </row>
    <row r="411" spans="1:8" s="17" customFormat="1" ht="12" customHeight="1" x14ac:dyDescent="0.2">
      <c r="A411" s="33"/>
      <c r="B411" s="65"/>
      <c r="C411" s="27"/>
      <c r="D411" s="391" t="s">
        <v>197</v>
      </c>
      <c r="E411" s="108">
        <v>147601</v>
      </c>
      <c r="F411" s="395">
        <f>SUM(F412:F412)</f>
        <v>0</v>
      </c>
      <c r="G411" s="395">
        <f>SUM(G412:G412)</f>
        <v>90000</v>
      </c>
      <c r="H411" s="115">
        <f>SUM(E411+F411-G411)</f>
        <v>57601</v>
      </c>
    </row>
    <row r="412" spans="1:8" s="17" customFormat="1" ht="20.25" customHeight="1" x14ac:dyDescent="0.2">
      <c r="A412" s="33"/>
      <c r="B412" s="65"/>
      <c r="C412" s="66">
        <v>2540</v>
      </c>
      <c r="D412" s="82" t="s">
        <v>142</v>
      </c>
      <c r="E412" s="43">
        <v>147601</v>
      </c>
      <c r="F412" s="50"/>
      <c r="G412" s="50">
        <v>90000</v>
      </c>
      <c r="H412" s="44">
        <f t="shared" ref="H412" si="84">SUM(E412+F412-G412)</f>
        <v>57601</v>
      </c>
    </row>
    <row r="413" spans="1:8" s="17" customFormat="1" ht="12" customHeight="1" x14ac:dyDescent="0.2">
      <c r="A413" s="33"/>
      <c r="B413" s="33"/>
      <c r="C413" s="27"/>
      <c r="D413" s="391" t="s">
        <v>122</v>
      </c>
      <c r="E413" s="108">
        <v>3941007</v>
      </c>
      <c r="F413" s="108">
        <f>SUM(F414:F419)</f>
        <v>4100</v>
      </c>
      <c r="G413" s="108">
        <f>SUM(G414:G419)</f>
        <v>16800</v>
      </c>
      <c r="H413" s="115">
        <f>SUM(E413+F413-G413)</f>
        <v>3928307</v>
      </c>
    </row>
    <row r="414" spans="1:8" s="17" customFormat="1" ht="12" customHeight="1" x14ac:dyDescent="0.2">
      <c r="A414" s="33"/>
      <c r="B414" s="33"/>
      <c r="C414" s="65">
        <v>4040</v>
      </c>
      <c r="D414" s="86" t="s">
        <v>125</v>
      </c>
      <c r="E414" s="51">
        <v>26897</v>
      </c>
      <c r="F414" s="51"/>
      <c r="G414" s="51">
        <v>500</v>
      </c>
      <c r="H414" s="43">
        <f t="shared" ref="H414:H419" si="85">SUM(E414+F414-G414)</f>
        <v>26397</v>
      </c>
    </row>
    <row r="415" spans="1:8" s="17" customFormat="1" ht="12" customHeight="1" x14ac:dyDescent="0.2">
      <c r="A415" s="33"/>
      <c r="B415" s="33"/>
      <c r="C415" s="60" t="s">
        <v>85</v>
      </c>
      <c r="D415" s="71" t="s">
        <v>86</v>
      </c>
      <c r="E415" s="51">
        <v>21309</v>
      </c>
      <c r="F415" s="50">
        <v>2600</v>
      </c>
      <c r="G415" s="50"/>
      <c r="H415" s="43">
        <f t="shared" si="85"/>
        <v>23909</v>
      </c>
    </row>
    <row r="416" spans="1:8" s="17" customFormat="1" ht="12" customHeight="1" x14ac:dyDescent="0.2">
      <c r="A416" s="33"/>
      <c r="B416" s="33"/>
      <c r="C416" s="65">
        <v>4300</v>
      </c>
      <c r="D416" s="86" t="s">
        <v>99</v>
      </c>
      <c r="E416" s="51">
        <v>21463</v>
      </c>
      <c r="F416" s="50"/>
      <c r="G416" s="50">
        <v>2000</v>
      </c>
      <c r="H416" s="43">
        <f t="shared" si="85"/>
        <v>19463</v>
      </c>
    </row>
    <row r="417" spans="1:8" s="17" customFormat="1" ht="12" customHeight="1" x14ac:dyDescent="0.2">
      <c r="A417" s="33"/>
      <c r="B417" s="33"/>
      <c r="C417" s="65">
        <v>4430</v>
      </c>
      <c r="D417" s="86" t="s">
        <v>183</v>
      </c>
      <c r="E417" s="51">
        <v>81</v>
      </c>
      <c r="F417" s="50">
        <v>1500</v>
      </c>
      <c r="G417" s="50"/>
      <c r="H417" s="43">
        <f t="shared" si="85"/>
        <v>1581</v>
      </c>
    </row>
    <row r="418" spans="1:8" s="17" customFormat="1" ht="12" customHeight="1" x14ac:dyDescent="0.2">
      <c r="A418" s="33"/>
      <c r="B418" s="33"/>
      <c r="C418" s="65">
        <v>4710</v>
      </c>
      <c r="D418" s="71" t="s">
        <v>100</v>
      </c>
      <c r="E418" s="51">
        <v>16471</v>
      </c>
      <c r="F418" s="50"/>
      <c r="G418" s="50">
        <v>14000</v>
      </c>
      <c r="H418" s="43">
        <f t="shared" si="85"/>
        <v>2471</v>
      </c>
    </row>
    <row r="419" spans="1:8" s="17" customFormat="1" ht="12" customHeight="1" x14ac:dyDescent="0.2">
      <c r="A419" s="33"/>
      <c r="B419" s="33"/>
      <c r="C419" s="55">
        <v>4800</v>
      </c>
      <c r="D419" s="101" t="s">
        <v>135</v>
      </c>
      <c r="E419" s="51">
        <v>201985</v>
      </c>
      <c r="F419" s="50"/>
      <c r="G419" s="50">
        <v>300</v>
      </c>
      <c r="H419" s="43">
        <f t="shared" si="85"/>
        <v>201685</v>
      </c>
    </row>
    <row r="420" spans="1:8" s="17" customFormat="1" ht="12.6" customHeight="1" x14ac:dyDescent="0.2">
      <c r="A420" s="33"/>
      <c r="B420" s="55">
        <v>85410</v>
      </c>
      <c r="C420" s="56"/>
      <c r="D420" s="57" t="s">
        <v>201</v>
      </c>
      <c r="E420" s="40">
        <v>3533394</v>
      </c>
      <c r="F420" s="40">
        <f>SUM(F421,F423)</f>
        <v>10000</v>
      </c>
      <c r="G420" s="40">
        <f>SUM(G421,G423)</f>
        <v>81000</v>
      </c>
      <c r="H420" s="39">
        <f>SUM(E420+F420-G420)</f>
        <v>3462394</v>
      </c>
    </row>
    <row r="421" spans="1:8" s="17" customFormat="1" ht="12.6" customHeight="1" x14ac:dyDescent="0.2">
      <c r="A421" s="33"/>
      <c r="B421" s="55"/>
      <c r="C421" s="27"/>
      <c r="D421" s="394" t="s">
        <v>141</v>
      </c>
      <c r="E421" s="108">
        <v>952007</v>
      </c>
      <c r="F421" s="108">
        <f>SUM(F422:F422)</f>
        <v>0</v>
      </c>
      <c r="G421" s="108">
        <f>SUM(G422:G422)</f>
        <v>70000</v>
      </c>
      <c r="H421" s="108">
        <f t="shared" ref="H421:H429" si="86">SUM(E421+F421-G421)</f>
        <v>882007</v>
      </c>
    </row>
    <row r="422" spans="1:8" s="17" customFormat="1" ht="38.25" customHeight="1" x14ac:dyDescent="0.2">
      <c r="A422" s="33"/>
      <c r="B422" s="55"/>
      <c r="C422" s="66">
        <v>2590</v>
      </c>
      <c r="D422" s="104" t="s">
        <v>163</v>
      </c>
      <c r="E422" s="109">
        <v>952007</v>
      </c>
      <c r="F422" s="51"/>
      <c r="G422" s="51">
        <v>70000</v>
      </c>
      <c r="H422" s="50">
        <f t="shared" si="86"/>
        <v>882007</v>
      </c>
    </row>
    <row r="423" spans="1:8" s="17" customFormat="1" ht="12" customHeight="1" x14ac:dyDescent="0.2">
      <c r="A423" s="33"/>
      <c r="B423" s="65"/>
      <c r="C423" s="27"/>
      <c r="D423" s="391" t="s">
        <v>122</v>
      </c>
      <c r="E423" s="115">
        <v>2381387</v>
      </c>
      <c r="F423" s="395">
        <f>SUM(F424:F429)</f>
        <v>10000</v>
      </c>
      <c r="G423" s="395">
        <f>SUM(G424:G429)</f>
        <v>11000</v>
      </c>
      <c r="H423" s="108">
        <f t="shared" si="86"/>
        <v>2380387</v>
      </c>
    </row>
    <row r="424" spans="1:8" s="17" customFormat="1" ht="20.25" customHeight="1" x14ac:dyDescent="0.2">
      <c r="A424" s="33"/>
      <c r="B424" s="65"/>
      <c r="C424" s="89">
        <v>4140</v>
      </c>
      <c r="D424" s="90" t="s">
        <v>97</v>
      </c>
      <c r="E424" s="51">
        <v>9532</v>
      </c>
      <c r="F424" s="51"/>
      <c r="G424" s="51">
        <v>1000</v>
      </c>
      <c r="H424" s="43">
        <f t="shared" si="86"/>
        <v>8532</v>
      </c>
    </row>
    <row r="425" spans="1:8" s="17" customFormat="1" ht="12" customHeight="1" x14ac:dyDescent="0.2">
      <c r="A425" s="33"/>
      <c r="B425" s="65"/>
      <c r="C425" s="65">
        <v>4170</v>
      </c>
      <c r="D425" s="86" t="s">
        <v>98</v>
      </c>
      <c r="E425" s="51">
        <v>2300</v>
      </c>
      <c r="F425" s="51"/>
      <c r="G425" s="51">
        <v>1000</v>
      </c>
      <c r="H425" s="43">
        <f t="shared" si="86"/>
        <v>1300</v>
      </c>
    </row>
    <row r="426" spans="1:8" s="17" customFormat="1" ht="12" customHeight="1" x14ac:dyDescent="0.2">
      <c r="A426" s="33"/>
      <c r="B426" s="65"/>
      <c r="C426" s="60" t="s">
        <v>85</v>
      </c>
      <c r="D426" s="71" t="s">
        <v>86</v>
      </c>
      <c r="E426" s="51">
        <v>39866</v>
      </c>
      <c r="F426" s="51"/>
      <c r="G426" s="51">
        <v>2000</v>
      </c>
      <c r="H426" s="43">
        <f t="shared" si="86"/>
        <v>37866</v>
      </c>
    </row>
    <row r="427" spans="1:8" s="17" customFormat="1" ht="12" customHeight="1" x14ac:dyDescent="0.2">
      <c r="A427" s="33"/>
      <c r="B427" s="65"/>
      <c r="C427" s="65">
        <v>4270</v>
      </c>
      <c r="D427" s="86" t="s">
        <v>104</v>
      </c>
      <c r="E427" s="51">
        <v>38000</v>
      </c>
      <c r="F427" s="51"/>
      <c r="G427" s="51">
        <v>3000</v>
      </c>
      <c r="H427" s="43">
        <f t="shared" si="86"/>
        <v>35000</v>
      </c>
    </row>
    <row r="428" spans="1:8" s="17" customFormat="1" ht="12" customHeight="1" x14ac:dyDescent="0.2">
      <c r="A428" s="33"/>
      <c r="B428" s="65"/>
      <c r="C428" s="65">
        <v>4300</v>
      </c>
      <c r="D428" s="86" t="s">
        <v>99</v>
      </c>
      <c r="E428" s="51">
        <v>51148</v>
      </c>
      <c r="F428" s="51">
        <v>10000</v>
      </c>
      <c r="G428" s="51"/>
      <c r="H428" s="43">
        <f t="shared" si="86"/>
        <v>61148</v>
      </c>
    </row>
    <row r="429" spans="1:8" s="17" customFormat="1" ht="12" customHeight="1" x14ac:dyDescent="0.2">
      <c r="A429" s="33"/>
      <c r="B429" s="65"/>
      <c r="C429" s="65">
        <v>4710</v>
      </c>
      <c r="D429" s="71" t="s">
        <v>100</v>
      </c>
      <c r="E429" s="51">
        <v>5389</v>
      </c>
      <c r="F429" s="51"/>
      <c r="G429" s="51">
        <v>4000</v>
      </c>
      <c r="H429" s="43">
        <f t="shared" si="86"/>
        <v>1389</v>
      </c>
    </row>
    <row r="430" spans="1:8" s="17" customFormat="1" ht="12" customHeight="1" x14ac:dyDescent="0.2">
      <c r="A430" s="33"/>
      <c r="B430" s="88">
        <v>85417</v>
      </c>
      <c r="C430" s="88"/>
      <c r="D430" s="57" t="s">
        <v>202</v>
      </c>
      <c r="E430" s="39">
        <v>124591</v>
      </c>
      <c r="F430" s="40">
        <f>SUM(F431)</f>
        <v>15000</v>
      </c>
      <c r="G430" s="40">
        <f>SUM(G431)</f>
        <v>12500</v>
      </c>
      <c r="H430" s="39">
        <f>SUM(E430+F430-G430)</f>
        <v>127091</v>
      </c>
    </row>
    <row r="431" spans="1:8" s="17" customFormat="1" ht="12" customHeight="1" x14ac:dyDescent="0.2">
      <c r="A431" s="33"/>
      <c r="B431" s="52"/>
      <c r="C431" s="27"/>
      <c r="D431" s="391" t="s">
        <v>122</v>
      </c>
      <c r="E431" s="115">
        <v>124591</v>
      </c>
      <c r="F431" s="395">
        <f>SUM(F432:F437)</f>
        <v>15000</v>
      </c>
      <c r="G431" s="395">
        <f>SUM(G432:G437)</f>
        <v>12500</v>
      </c>
      <c r="H431" s="115">
        <f>SUM(E431+F431-G431)</f>
        <v>127091</v>
      </c>
    </row>
    <row r="432" spans="1:8" s="17" customFormat="1" ht="12" customHeight="1" x14ac:dyDescent="0.2">
      <c r="A432" s="33"/>
      <c r="B432" s="52"/>
      <c r="C432" s="65">
        <v>4010</v>
      </c>
      <c r="D432" s="86" t="s">
        <v>124</v>
      </c>
      <c r="E432" s="51">
        <v>13352</v>
      </c>
      <c r="F432" s="50"/>
      <c r="G432" s="50">
        <v>8000</v>
      </c>
      <c r="H432" s="44">
        <f t="shared" ref="H432:H437" si="87">SUM(E432+F432-G432)</f>
        <v>5352</v>
      </c>
    </row>
    <row r="433" spans="1:8" s="17" customFormat="1" ht="12" customHeight="1" x14ac:dyDescent="0.2">
      <c r="A433" s="33"/>
      <c r="B433" s="52"/>
      <c r="C433" s="65">
        <v>4040</v>
      </c>
      <c r="D433" s="86" t="s">
        <v>125</v>
      </c>
      <c r="E433" s="51">
        <v>660</v>
      </c>
      <c r="F433" s="50"/>
      <c r="G433" s="50">
        <v>500</v>
      </c>
      <c r="H433" s="44">
        <f t="shared" si="87"/>
        <v>160</v>
      </c>
    </row>
    <row r="434" spans="1:8" s="17" customFormat="1" ht="12" customHeight="1" x14ac:dyDescent="0.2">
      <c r="A434" s="33"/>
      <c r="B434" s="52"/>
      <c r="C434" s="65">
        <v>4110</v>
      </c>
      <c r="D434" s="86" t="s">
        <v>147</v>
      </c>
      <c r="E434" s="51">
        <v>3127</v>
      </c>
      <c r="F434" s="50"/>
      <c r="G434" s="50">
        <v>2000</v>
      </c>
      <c r="H434" s="44">
        <f t="shared" si="87"/>
        <v>1127</v>
      </c>
    </row>
    <row r="435" spans="1:8" s="17" customFormat="1" ht="12" customHeight="1" x14ac:dyDescent="0.2">
      <c r="A435" s="33"/>
      <c r="B435" s="52"/>
      <c r="C435" s="60" t="s">
        <v>85</v>
      </c>
      <c r="D435" s="71" t="s">
        <v>86</v>
      </c>
      <c r="E435" s="51">
        <v>3059</v>
      </c>
      <c r="F435" s="50"/>
      <c r="G435" s="50">
        <v>1000</v>
      </c>
      <c r="H435" s="44">
        <f t="shared" si="87"/>
        <v>2059</v>
      </c>
    </row>
    <row r="436" spans="1:8" s="17" customFormat="1" ht="12" customHeight="1" x14ac:dyDescent="0.2">
      <c r="A436" s="33"/>
      <c r="B436" s="52"/>
      <c r="C436" s="65">
        <v>4260</v>
      </c>
      <c r="D436" s="86" t="s">
        <v>116</v>
      </c>
      <c r="E436" s="51">
        <v>84900</v>
      </c>
      <c r="F436" s="50">
        <v>15000</v>
      </c>
      <c r="G436" s="50"/>
      <c r="H436" s="44">
        <f t="shared" si="87"/>
        <v>99900</v>
      </c>
    </row>
    <row r="437" spans="1:8" s="17" customFormat="1" ht="12" customHeight="1" x14ac:dyDescent="0.2">
      <c r="A437" s="33"/>
      <c r="B437" s="59"/>
      <c r="C437" s="65">
        <v>4270</v>
      </c>
      <c r="D437" s="86" t="s">
        <v>104</v>
      </c>
      <c r="E437" s="51">
        <v>2722</v>
      </c>
      <c r="F437" s="51"/>
      <c r="G437" s="51">
        <v>1000</v>
      </c>
      <c r="H437" s="44">
        <f t="shared" si="87"/>
        <v>1722</v>
      </c>
    </row>
    <row r="438" spans="1:8" s="17" customFormat="1" ht="12" customHeight="1" x14ac:dyDescent="0.2">
      <c r="A438" s="33"/>
      <c r="B438" s="65">
        <v>85420</v>
      </c>
      <c r="C438" s="65"/>
      <c r="D438" s="74" t="s">
        <v>203</v>
      </c>
      <c r="E438" s="39">
        <v>4857922</v>
      </c>
      <c r="F438" s="40">
        <f>SUM(F439)</f>
        <v>25000</v>
      </c>
      <c r="G438" s="40">
        <f>SUM(G439)</f>
        <v>18300</v>
      </c>
      <c r="H438" s="39">
        <f>SUM(E438+F438-G438)</f>
        <v>4864622</v>
      </c>
    </row>
    <row r="439" spans="1:8" s="17" customFormat="1" ht="12" customHeight="1" x14ac:dyDescent="0.2">
      <c r="A439" s="33"/>
      <c r="B439" s="52"/>
      <c r="C439" s="27"/>
      <c r="D439" s="391" t="s">
        <v>122</v>
      </c>
      <c r="E439" s="115">
        <v>4857922</v>
      </c>
      <c r="F439" s="395">
        <f>SUM(F440:F445)</f>
        <v>25000</v>
      </c>
      <c r="G439" s="395">
        <f>SUM(G440:G445)</f>
        <v>18300</v>
      </c>
      <c r="H439" s="115">
        <f>SUM(E439+F439-G439)</f>
        <v>4864622</v>
      </c>
    </row>
    <row r="440" spans="1:8" s="17" customFormat="1" ht="12" customHeight="1" x14ac:dyDescent="0.2">
      <c r="A440" s="33"/>
      <c r="B440" s="52"/>
      <c r="C440" s="65">
        <v>4040</v>
      </c>
      <c r="D440" s="86" t="s">
        <v>125</v>
      </c>
      <c r="E440" s="43">
        <v>51218</v>
      </c>
      <c r="F440" s="50"/>
      <c r="G440" s="50">
        <v>300</v>
      </c>
      <c r="H440" s="44">
        <f t="shared" ref="H440:H445" si="88">SUM(E440+F440-G440)</f>
        <v>50918</v>
      </c>
    </row>
    <row r="441" spans="1:8" s="17" customFormat="1" ht="12" customHeight="1" x14ac:dyDescent="0.2">
      <c r="A441" s="33"/>
      <c r="B441" s="52"/>
      <c r="C441" s="65">
        <v>4170</v>
      </c>
      <c r="D441" s="86" t="s">
        <v>98</v>
      </c>
      <c r="E441" s="43">
        <v>10500</v>
      </c>
      <c r="F441" s="50"/>
      <c r="G441" s="50">
        <v>2000</v>
      </c>
      <c r="H441" s="44">
        <f t="shared" si="88"/>
        <v>8500</v>
      </c>
    </row>
    <row r="442" spans="1:8" s="17" customFormat="1" ht="12" customHeight="1" x14ac:dyDescent="0.2">
      <c r="A442" s="33"/>
      <c r="B442" s="52"/>
      <c r="C442" s="65">
        <v>4220</v>
      </c>
      <c r="D442" s="86" t="s">
        <v>126</v>
      </c>
      <c r="E442" s="43">
        <v>270000</v>
      </c>
      <c r="F442" s="50">
        <v>25000</v>
      </c>
      <c r="G442" s="50"/>
      <c r="H442" s="44">
        <f t="shared" si="88"/>
        <v>295000</v>
      </c>
    </row>
    <row r="443" spans="1:8" s="17" customFormat="1" ht="12" customHeight="1" x14ac:dyDescent="0.2">
      <c r="A443" s="33"/>
      <c r="B443" s="52"/>
      <c r="C443" s="65">
        <v>4270</v>
      </c>
      <c r="D443" s="86" t="s">
        <v>104</v>
      </c>
      <c r="E443" s="43">
        <v>24500</v>
      </c>
      <c r="F443" s="50"/>
      <c r="G443" s="50">
        <v>2000</v>
      </c>
      <c r="H443" s="44">
        <f t="shared" si="88"/>
        <v>22500</v>
      </c>
    </row>
    <row r="444" spans="1:8" s="17" customFormat="1" ht="20.45" customHeight="1" x14ac:dyDescent="0.2">
      <c r="A444" s="33"/>
      <c r="B444" s="52"/>
      <c r="C444" s="66">
        <v>4700</v>
      </c>
      <c r="D444" s="90" t="s">
        <v>110</v>
      </c>
      <c r="E444" s="43">
        <v>4000</v>
      </c>
      <c r="F444" s="50"/>
      <c r="G444" s="50">
        <v>1000</v>
      </c>
      <c r="H444" s="44">
        <f t="shared" si="88"/>
        <v>3000</v>
      </c>
    </row>
    <row r="445" spans="1:8" s="17" customFormat="1" ht="12" customHeight="1" x14ac:dyDescent="0.2">
      <c r="A445" s="33"/>
      <c r="B445" s="52"/>
      <c r="C445" s="65">
        <v>4710</v>
      </c>
      <c r="D445" s="71" t="s">
        <v>100</v>
      </c>
      <c r="E445" s="43">
        <v>15151</v>
      </c>
      <c r="F445" s="50"/>
      <c r="G445" s="50">
        <v>13000</v>
      </c>
      <c r="H445" s="44">
        <f t="shared" si="88"/>
        <v>2151</v>
      </c>
    </row>
    <row r="446" spans="1:8" s="17" customFormat="1" ht="12" customHeight="1" thickBot="1" x14ac:dyDescent="0.25">
      <c r="A446" s="33">
        <v>855</v>
      </c>
      <c r="B446" s="33"/>
      <c r="C446" s="34"/>
      <c r="D446" s="35" t="s">
        <v>47</v>
      </c>
      <c r="E446" s="36">
        <v>22321970.129999999</v>
      </c>
      <c r="F446" s="36">
        <f>SUM(F447,F460,F470,F477,F480)</f>
        <v>164986</v>
      </c>
      <c r="G446" s="36">
        <f>SUM(G447,G460,G470,G477,G480)</f>
        <v>159409</v>
      </c>
      <c r="H446" s="36">
        <f>SUM(E446+F446-G446)</f>
        <v>22327547.129999999</v>
      </c>
    </row>
    <row r="447" spans="1:8" s="17" customFormat="1" ht="31.9" customHeight="1" thickTop="1" x14ac:dyDescent="0.2">
      <c r="A447" s="33"/>
      <c r="B447" s="66">
        <v>85502</v>
      </c>
      <c r="C447" s="27"/>
      <c r="D447" s="67" t="s">
        <v>48</v>
      </c>
      <c r="E447" s="39">
        <v>1041264</v>
      </c>
      <c r="F447" s="40">
        <f>SUM(F448,F452)</f>
        <v>66081</v>
      </c>
      <c r="G447" s="40">
        <f>SUM(G448,G452)</f>
        <v>18221</v>
      </c>
      <c r="H447" s="39">
        <f>SUM(E447+F447-G447)</f>
        <v>1089124</v>
      </c>
    </row>
    <row r="448" spans="1:8" s="17" customFormat="1" ht="12.75" customHeight="1" x14ac:dyDescent="0.2">
      <c r="A448" s="33"/>
      <c r="B448" s="33"/>
      <c r="C448" s="60"/>
      <c r="D448" s="390" t="s">
        <v>177</v>
      </c>
      <c r="E448" s="115">
        <v>729819</v>
      </c>
      <c r="F448" s="388">
        <f>SUM(F449:F451)</f>
        <v>42283</v>
      </c>
      <c r="G448" s="388">
        <f>SUM(G449:G451)</f>
        <v>0</v>
      </c>
      <c r="H448" s="115">
        <f t="shared" ref="H448:H503" si="89">SUM(E448+F448-G448)</f>
        <v>772102</v>
      </c>
    </row>
    <row r="449" spans="1:8" s="17" customFormat="1" ht="12" customHeight="1" x14ac:dyDescent="0.2">
      <c r="A449" s="33"/>
      <c r="B449" s="33"/>
      <c r="C449" s="65">
        <v>4010</v>
      </c>
      <c r="D449" s="86" t="s">
        <v>124</v>
      </c>
      <c r="E449" s="43">
        <v>343160</v>
      </c>
      <c r="F449" s="43">
        <v>35927</v>
      </c>
      <c r="G449" s="44"/>
      <c r="H449" s="43">
        <f t="shared" si="89"/>
        <v>379087</v>
      </c>
    </row>
    <row r="450" spans="1:8" s="17" customFormat="1" ht="12" customHeight="1" x14ac:dyDescent="0.2">
      <c r="A450" s="33"/>
      <c r="B450" s="52"/>
      <c r="C450" s="65">
        <v>4110</v>
      </c>
      <c r="D450" s="86" t="s">
        <v>147</v>
      </c>
      <c r="E450" s="50">
        <v>64832</v>
      </c>
      <c r="F450" s="51">
        <v>5574</v>
      </c>
      <c r="G450" s="50"/>
      <c r="H450" s="43">
        <f t="shared" si="89"/>
        <v>70406</v>
      </c>
    </row>
    <row r="451" spans="1:8" s="17" customFormat="1" ht="12" customHeight="1" x14ac:dyDescent="0.2">
      <c r="A451" s="79"/>
      <c r="B451" s="99"/>
      <c r="C451" s="92">
        <v>4120</v>
      </c>
      <c r="D451" s="38" t="s">
        <v>148</v>
      </c>
      <c r="E451" s="81">
        <v>10534</v>
      </c>
      <c r="F451" s="84">
        <v>782</v>
      </c>
      <c r="G451" s="81"/>
      <c r="H451" s="39">
        <f t="shared" si="89"/>
        <v>11316</v>
      </c>
    </row>
    <row r="452" spans="1:8" s="17" customFormat="1" ht="23.45" customHeight="1" x14ac:dyDescent="0.2">
      <c r="A452" s="33"/>
      <c r="B452" s="52"/>
      <c r="C452" s="60"/>
      <c r="D452" s="390" t="s">
        <v>204</v>
      </c>
      <c r="E452" s="115">
        <v>25218</v>
      </c>
      <c r="F452" s="388">
        <f>SUM(F453:F459)</f>
        <v>23798</v>
      </c>
      <c r="G452" s="388">
        <f>SUM(G453:G459)</f>
        <v>18221</v>
      </c>
      <c r="H452" s="115">
        <f t="shared" si="89"/>
        <v>30795</v>
      </c>
    </row>
    <row r="453" spans="1:8" s="17" customFormat="1" ht="12" customHeight="1" x14ac:dyDescent="0.2">
      <c r="A453" s="33"/>
      <c r="B453" s="52"/>
      <c r="C453" s="65">
        <v>3110</v>
      </c>
      <c r="D453" s="86" t="s">
        <v>190</v>
      </c>
      <c r="E453" s="43">
        <v>17721</v>
      </c>
      <c r="F453" s="43"/>
      <c r="G453" s="44">
        <v>17721</v>
      </c>
      <c r="H453" s="43">
        <f t="shared" si="89"/>
        <v>0</v>
      </c>
    </row>
    <row r="454" spans="1:8" s="17" customFormat="1" ht="21" customHeight="1" x14ac:dyDescent="0.2">
      <c r="A454" s="33"/>
      <c r="B454" s="52"/>
      <c r="C454" s="66">
        <v>3290</v>
      </c>
      <c r="D454" s="82" t="s">
        <v>192</v>
      </c>
      <c r="E454" s="43">
        <v>6793</v>
      </c>
      <c r="F454" s="43">
        <f>17721+1255+4296</f>
        <v>23272</v>
      </c>
      <c r="G454" s="44"/>
      <c r="H454" s="43">
        <f t="shared" si="89"/>
        <v>30065</v>
      </c>
    </row>
    <row r="455" spans="1:8" s="17" customFormat="1" ht="12" customHeight="1" x14ac:dyDescent="0.2">
      <c r="A455" s="33"/>
      <c r="B455" s="52"/>
      <c r="C455" s="65">
        <v>4010</v>
      </c>
      <c r="D455" s="86" t="s">
        <v>124</v>
      </c>
      <c r="E455" s="50">
        <v>470</v>
      </c>
      <c r="F455" s="51"/>
      <c r="G455" s="50">
        <v>470</v>
      </c>
      <c r="H455" s="43">
        <f t="shared" si="89"/>
        <v>0</v>
      </c>
    </row>
    <row r="456" spans="1:8" s="17" customFormat="1" ht="12" customHeight="1" x14ac:dyDescent="0.2">
      <c r="A456" s="33"/>
      <c r="B456" s="52"/>
      <c r="C456" s="65">
        <v>4300</v>
      </c>
      <c r="D456" s="86" t="s">
        <v>99</v>
      </c>
      <c r="E456" s="50">
        <v>30</v>
      </c>
      <c r="F456" s="51"/>
      <c r="G456" s="50">
        <v>30</v>
      </c>
      <c r="H456" s="43">
        <f t="shared" si="89"/>
        <v>0</v>
      </c>
    </row>
    <row r="457" spans="1:8" s="17" customFormat="1" ht="12" customHeight="1" x14ac:dyDescent="0.2">
      <c r="A457" s="33"/>
      <c r="B457" s="52"/>
      <c r="C457" s="65">
        <v>4370</v>
      </c>
      <c r="D457" s="86" t="s">
        <v>115</v>
      </c>
      <c r="E457" s="50">
        <v>0</v>
      </c>
      <c r="F457" s="51">
        <v>30</v>
      </c>
      <c r="G457" s="50"/>
      <c r="H457" s="43">
        <f t="shared" si="89"/>
        <v>30</v>
      </c>
    </row>
    <row r="458" spans="1:8" s="17" customFormat="1" ht="20.25" customHeight="1" x14ac:dyDescent="0.2">
      <c r="A458" s="33"/>
      <c r="B458" s="52"/>
      <c r="C458" s="66">
        <v>4740</v>
      </c>
      <c r="D458" s="82" t="s">
        <v>129</v>
      </c>
      <c r="E458" s="50">
        <v>92</v>
      </c>
      <c r="F458" s="51">
        <f>470+21</f>
        <v>491</v>
      </c>
      <c r="G458" s="50"/>
      <c r="H458" s="43">
        <f t="shared" si="89"/>
        <v>583</v>
      </c>
    </row>
    <row r="459" spans="1:8" s="17" customFormat="1" ht="20.25" customHeight="1" x14ac:dyDescent="0.2">
      <c r="A459" s="33"/>
      <c r="B459" s="52"/>
      <c r="C459" s="66">
        <v>4850</v>
      </c>
      <c r="D459" s="82" t="s">
        <v>131</v>
      </c>
      <c r="E459" s="50">
        <v>112</v>
      </c>
      <c r="F459" s="51">
        <v>5</v>
      </c>
      <c r="G459" s="50"/>
      <c r="H459" s="43">
        <f t="shared" si="89"/>
        <v>117</v>
      </c>
    </row>
    <row r="460" spans="1:8" s="17" customFormat="1" ht="12" customHeight="1" x14ac:dyDescent="0.2">
      <c r="A460" s="33"/>
      <c r="B460" s="52">
        <v>85504</v>
      </c>
      <c r="C460" s="27"/>
      <c r="D460" s="110" t="s">
        <v>205</v>
      </c>
      <c r="E460" s="84">
        <v>1473759</v>
      </c>
      <c r="F460" s="39">
        <f>SUM(F462,F467)</f>
        <v>50505</v>
      </c>
      <c r="G460" s="39">
        <f>SUM(G462,G467)</f>
        <v>21650</v>
      </c>
      <c r="H460" s="39">
        <f t="shared" si="89"/>
        <v>1502614</v>
      </c>
    </row>
    <row r="461" spans="1:8" s="17" customFormat="1" ht="12" customHeight="1" x14ac:dyDescent="0.2">
      <c r="A461" s="33"/>
      <c r="B461" s="52"/>
      <c r="C461" s="27"/>
      <c r="D461" s="400" t="s">
        <v>206</v>
      </c>
      <c r="E461" s="51"/>
      <c r="F461" s="43"/>
      <c r="G461" s="43"/>
      <c r="H461" s="43"/>
    </row>
    <row r="462" spans="1:8" s="17" customFormat="1" ht="12" customHeight="1" x14ac:dyDescent="0.2">
      <c r="A462" s="33"/>
      <c r="B462" s="33"/>
      <c r="C462" s="27"/>
      <c r="D462" s="401" t="s">
        <v>207</v>
      </c>
      <c r="E462" s="115">
        <v>809295</v>
      </c>
      <c r="F462" s="395">
        <f>SUM(F463:F466)</f>
        <v>21650</v>
      </c>
      <c r="G462" s="395">
        <f>SUM(G463:G466)</f>
        <v>21650</v>
      </c>
      <c r="H462" s="115">
        <f t="shared" si="89"/>
        <v>809295</v>
      </c>
    </row>
    <row r="463" spans="1:8" s="17" customFormat="1" ht="12" customHeight="1" x14ac:dyDescent="0.2">
      <c r="A463" s="33"/>
      <c r="B463" s="33"/>
      <c r="C463" s="65">
        <v>4010</v>
      </c>
      <c r="D463" s="86" t="s">
        <v>124</v>
      </c>
      <c r="E463" s="51">
        <v>465970</v>
      </c>
      <c r="F463" s="44">
        <v>20650</v>
      </c>
      <c r="G463" s="44"/>
      <c r="H463" s="44">
        <f t="shared" si="89"/>
        <v>486620</v>
      </c>
    </row>
    <row r="464" spans="1:8" s="17" customFormat="1" ht="12" customHeight="1" x14ac:dyDescent="0.2">
      <c r="A464" s="33"/>
      <c r="B464" s="33"/>
      <c r="C464" s="65">
        <v>4220</v>
      </c>
      <c r="D464" s="86" t="s">
        <v>126</v>
      </c>
      <c r="E464" s="51">
        <v>27216</v>
      </c>
      <c r="F464" s="44"/>
      <c r="G464" s="44">
        <v>5000</v>
      </c>
      <c r="H464" s="44">
        <f t="shared" si="89"/>
        <v>22216</v>
      </c>
    </row>
    <row r="465" spans="1:8" s="17" customFormat="1" ht="12" customHeight="1" x14ac:dyDescent="0.2">
      <c r="A465" s="33"/>
      <c r="B465" s="33"/>
      <c r="C465" s="59">
        <v>4300</v>
      </c>
      <c r="D465" s="71" t="s">
        <v>99</v>
      </c>
      <c r="E465" s="51">
        <v>85692</v>
      </c>
      <c r="F465" s="44"/>
      <c r="G465" s="44">
        <v>16650</v>
      </c>
      <c r="H465" s="44">
        <f t="shared" si="89"/>
        <v>69042</v>
      </c>
    </row>
    <row r="466" spans="1:8" s="17" customFormat="1" ht="12" customHeight="1" x14ac:dyDescent="0.2">
      <c r="A466" s="33"/>
      <c r="B466" s="33"/>
      <c r="C466" s="65">
        <v>4710</v>
      </c>
      <c r="D466" s="71" t="s">
        <v>100</v>
      </c>
      <c r="E466" s="51">
        <v>850</v>
      </c>
      <c r="F466" s="44">
        <v>1000</v>
      </c>
      <c r="G466" s="44"/>
      <c r="H466" s="44">
        <f t="shared" si="89"/>
        <v>1850</v>
      </c>
    </row>
    <row r="467" spans="1:8" s="17" customFormat="1" ht="12" customHeight="1" x14ac:dyDescent="0.2">
      <c r="A467" s="33"/>
      <c r="B467" s="33"/>
      <c r="C467" s="55"/>
      <c r="D467" s="392" t="s">
        <v>208</v>
      </c>
      <c r="E467" s="108">
        <v>662814</v>
      </c>
      <c r="F467" s="388">
        <f>SUM(F468:F469)</f>
        <v>28855</v>
      </c>
      <c r="G467" s="388">
        <f>SUM(G468:G469)</f>
        <v>0</v>
      </c>
      <c r="H467" s="115">
        <f t="shared" si="89"/>
        <v>691669</v>
      </c>
    </row>
    <row r="468" spans="1:8" s="17" customFormat="1" ht="12" customHeight="1" x14ac:dyDescent="0.2">
      <c r="A468" s="33"/>
      <c r="B468" s="33"/>
      <c r="C468" s="65">
        <v>4010</v>
      </c>
      <c r="D468" s="86" t="s">
        <v>124</v>
      </c>
      <c r="E468" s="51">
        <v>468382</v>
      </c>
      <c r="F468" s="44">
        <v>28255</v>
      </c>
      <c r="G468" s="44"/>
      <c r="H468" s="44">
        <f t="shared" si="89"/>
        <v>496637</v>
      </c>
    </row>
    <row r="469" spans="1:8" s="17" customFormat="1" ht="12" customHeight="1" x14ac:dyDescent="0.2">
      <c r="A469" s="33"/>
      <c r="B469" s="33"/>
      <c r="C469" s="65">
        <v>4710</v>
      </c>
      <c r="D469" s="71" t="s">
        <v>100</v>
      </c>
      <c r="E469" s="51">
        <v>296</v>
      </c>
      <c r="F469" s="44">
        <v>600</v>
      </c>
      <c r="G469" s="44"/>
      <c r="H469" s="44">
        <f t="shared" si="89"/>
        <v>896</v>
      </c>
    </row>
    <row r="470" spans="1:8" s="17" customFormat="1" ht="12" customHeight="1" x14ac:dyDescent="0.2">
      <c r="A470" s="33"/>
      <c r="B470" s="65">
        <v>85508</v>
      </c>
      <c r="C470" s="48"/>
      <c r="D470" s="111" t="s">
        <v>209</v>
      </c>
      <c r="E470" s="84">
        <v>3301551</v>
      </c>
      <c r="F470" s="39">
        <f>SUM(F471,F474)</f>
        <v>30000</v>
      </c>
      <c r="G470" s="39">
        <f>SUM(G471,G474)</f>
        <v>30000</v>
      </c>
      <c r="H470" s="39">
        <f t="shared" si="89"/>
        <v>3301551</v>
      </c>
    </row>
    <row r="471" spans="1:8" s="17" customFormat="1" ht="12" customHeight="1" x14ac:dyDescent="0.2">
      <c r="A471" s="33"/>
      <c r="B471" s="88"/>
      <c r="C471" s="88"/>
      <c r="D471" s="392" t="s">
        <v>210</v>
      </c>
      <c r="E471" s="115">
        <v>2741713</v>
      </c>
      <c r="F471" s="395">
        <f>SUM(F472:F472)</f>
        <v>0</v>
      </c>
      <c r="G471" s="395">
        <f>SUM(G472:G472)</f>
        <v>30000</v>
      </c>
      <c r="H471" s="115">
        <f t="shared" si="89"/>
        <v>2711713</v>
      </c>
    </row>
    <row r="472" spans="1:8" s="17" customFormat="1" ht="12" customHeight="1" x14ac:dyDescent="0.2">
      <c r="A472" s="33"/>
      <c r="B472" s="33"/>
      <c r="C472" s="65">
        <v>3110</v>
      </c>
      <c r="D472" s="86" t="s">
        <v>190</v>
      </c>
      <c r="E472" s="51">
        <v>1823706</v>
      </c>
      <c r="F472" s="44"/>
      <c r="G472" s="44">
        <v>30000</v>
      </c>
      <c r="H472" s="44">
        <f t="shared" si="89"/>
        <v>1793706</v>
      </c>
    </row>
    <row r="473" spans="1:8" s="17" customFormat="1" ht="12" customHeight="1" x14ac:dyDescent="0.2">
      <c r="A473" s="33"/>
      <c r="B473" s="33"/>
      <c r="C473" s="65"/>
      <c r="D473" s="71" t="s">
        <v>211</v>
      </c>
      <c r="E473" s="51"/>
      <c r="F473" s="44"/>
      <c r="G473" s="44"/>
      <c r="H473" s="44"/>
    </row>
    <row r="474" spans="1:8" s="17" customFormat="1" ht="12" customHeight="1" x14ac:dyDescent="0.2">
      <c r="A474" s="33"/>
      <c r="B474" s="33"/>
      <c r="C474" s="55"/>
      <c r="D474" s="392" t="s">
        <v>212</v>
      </c>
      <c r="E474" s="108">
        <v>559838</v>
      </c>
      <c r="F474" s="388">
        <f>SUM(F475:F476)</f>
        <v>30000</v>
      </c>
      <c r="G474" s="388">
        <f>SUM(G475:G476)</f>
        <v>0</v>
      </c>
      <c r="H474" s="115">
        <f t="shared" ref="H474:H476" si="90">SUM(E474+F474-G474)</f>
        <v>589838</v>
      </c>
    </row>
    <row r="475" spans="1:8" s="17" customFormat="1" ht="12" customHeight="1" x14ac:dyDescent="0.2">
      <c r="A475" s="33"/>
      <c r="B475" s="33"/>
      <c r="C475" s="65">
        <v>4010</v>
      </c>
      <c r="D475" s="86" t="s">
        <v>124</v>
      </c>
      <c r="E475" s="51">
        <v>362308</v>
      </c>
      <c r="F475" s="44">
        <v>29000</v>
      </c>
      <c r="G475" s="44"/>
      <c r="H475" s="44">
        <f t="shared" si="90"/>
        <v>391308</v>
      </c>
    </row>
    <row r="476" spans="1:8" s="17" customFormat="1" ht="12" customHeight="1" x14ac:dyDescent="0.2">
      <c r="A476" s="33"/>
      <c r="B476" s="33"/>
      <c r="C476" s="65">
        <v>4710</v>
      </c>
      <c r="D476" s="71" t="s">
        <v>100</v>
      </c>
      <c r="E476" s="51">
        <v>2257</v>
      </c>
      <c r="F476" s="44">
        <v>1000</v>
      </c>
      <c r="G476" s="44"/>
      <c r="H476" s="44">
        <f t="shared" si="90"/>
        <v>3257</v>
      </c>
    </row>
    <row r="477" spans="1:8" s="17" customFormat="1" ht="12" customHeight="1" x14ac:dyDescent="0.2">
      <c r="A477" s="34"/>
      <c r="B477" s="52">
        <v>85510</v>
      </c>
      <c r="C477" s="65"/>
      <c r="D477" s="38" t="s">
        <v>213</v>
      </c>
      <c r="E477" s="84">
        <v>10391176</v>
      </c>
      <c r="F477" s="39">
        <f>SUM(F478)</f>
        <v>0</v>
      </c>
      <c r="G477" s="39">
        <f>SUM(G478)</f>
        <v>71138</v>
      </c>
      <c r="H477" s="39">
        <f t="shared" si="89"/>
        <v>10320038</v>
      </c>
    </row>
    <row r="478" spans="1:8" s="17" customFormat="1" ht="12" customHeight="1" x14ac:dyDescent="0.2">
      <c r="A478" s="34"/>
      <c r="B478" s="33"/>
      <c r="C478" s="27"/>
      <c r="D478" s="390" t="s">
        <v>177</v>
      </c>
      <c r="E478" s="115">
        <v>1050133</v>
      </c>
      <c r="F478" s="395">
        <f>SUM(F479:F479)</f>
        <v>0</v>
      </c>
      <c r="G478" s="395">
        <f>SUM(G479:G479)</f>
        <v>71138</v>
      </c>
      <c r="H478" s="115">
        <f t="shared" si="89"/>
        <v>978995</v>
      </c>
    </row>
    <row r="479" spans="1:8" s="17" customFormat="1" ht="20.25" customHeight="1" x14ac:dyDescent="0.2">
      <c r="A479" s="34"/>
      <c r="B479" s="33"/>
      <c r="C479" s="41" t="s">
        <v>214</v>
      </c>
      <c r="D479" s="112" t="s">
        <v>215</v>
      </c>
      <c r="E479" s="51">
        <v>767200</v>
      </c>
      <c r="F479" s="50"/>
      <c r="G479" s="50">
        <v>71138</v>
      </c>
      <c r="H479" s="50">
        <f t="shared" si="89"/>
        <v>696062</v>
      </c>
    </row>
    <row r="480" spans="1:8" s="17" customFormat="1" ht="12" customHeight="1" x14ac:dyDescent="0.2">
      <c r="A480" s="34"/>
      <c r="B480" s="52">
        <v>85595</v>
      </c>
      <c r="C480" s="27"/>
      <c r="D480" s="38" t="s">
        <v>40</v>
      </c>
      <c r="E480" s="84">
        <v>533021</v>
      </c>
      <c r="F480" s="39">
        <f>SUM(F481)</f>
        <v>18400</v>
      </c>
      <c r="G480" s="39">
        <f>SUM(G481)</f>
        <v>18400</v>
      </c>
      <c r="H480" s="39">
        <f>SUM(E480+F480-G480)</f>
        <v>533021</v>
      </c>
    </row>
    <row r="481" spans="1:8" s="17" customFormat="1" ht="18" customHeight="1" x14ac:dyDescent="0.2">
      <c r="A481" s="34"/>
      <c r="B481" s="52"/>
      <c r="C481" s="55"/>
      <c r="D481" s="402" t="s">
        <v>216</v>
      </c>
      <c r="E481" s="115">
        <v>52400</v>
      </c>
      <c r="F481" s="395">
        <f>SUM(F482:F490)</f>
        <v>18400</v>
      </c>
      <c r="G481" s="395">
        <f>SUM(G482:G490)</f>
        <v>18400</v>
      </c>
      <c r="H481" s="115">
        <f t="shared" ref="H481:H490" si="91">SUM(E481+F481-G481)</f>
        <v>52400</v>
      </c>
    </row>
    <row r="482" spans="1:8" s="17" customFormat="1" ht="12" customHeight="1" x14ac:dyDescent="0.2">
      <c r="A482" s="34"/>
      <c r="B482" s="33"/>
      <c r="C482" s="65">
        <v>4017</v>
      </c>
      <c r="D482" s="86" t="s">
        <v>124</v>
      </c>
      <c r="E482" s="51">
        <v>14047.56</v>
      </c>
      <c r="F482" s="50">
        <v>1200.9000000000001</v>
      </c>
      <c r="G482" s="50"/>
      <c r="H482" s="44">
        <f t="shared" si="91"/>
        <v>15248.46</v>
      </c>
    </row>
    <row r="483" spans="1:8" s="17" customFormat="1" ht="12" customHeight="1" x14ac:dyDescent="0.2">
      <c r="A483" s="34"/>
      <c r="B483" s="33"/>
      <c r="C483" s="55">
        <v>4117</v>
      </c>
      <c r="D483" s="71" t="s">
        <v>147</v>
      </c>
      <c r="E483" s="51">
        <v>2452.66</v>
      </c>
      <c r="F483" s="50">
        <v>209.68</v>
      </c>
      <c r="G483" s="50"/>
      <c r="H483" s="44">
        <f t="shared" si="91"/>
        <v>2662.3399999999997</v>
      </c>
    </row>
    <row r="484" spans="1:8" s="17" customFormat="1" ht="12" customHeight="1" x14ac:dyDescent="0.2">
      <c r="A484" s="34"/>
      <c r="B484" s="33"/>
      <c r="C484" s="65">
        <v>4127</v>
      </c>
      <c r="D484" s="86" t="s">
        <v>148</v>
      </c>
      <c r="E484" s="51">
        <v>344.2</v>
      </c>
      <c r="F484" s="50">
        <v>29.42</v>
      </c>
      <c r="G484" s="50"/>
      <c r="H484" s="44">
        <f t="shared" si="91"/>
        <v>373.62</v>
      </c>
    </row>
    <row r="485" spans="1:8" s="17" customFormat="1" ht="12" customHeight="1" x14ac:dyDescent="0.2">
      <c r="A485" s="34"/>
      <c r="B485" s="33"/>
      <c r="C485" s="65">
        <v>4177</v>
      </c>
      <c r="D485" s="86" t="s">
        <v>98</v>
      </c>
      <c r="E485" s="51">
        <v>6080</v>
      </c>
      <c r="F485" s="50">
        <v>14080</v>
      </c>
      <c r="G485" s="50">
        <v>1440</v>
      </c>
      <c r="H485" s="44">
        <f t="shared" si="91"/>
        <v>18720</v>
      </c>
    </row>
    <row r="486" spans="1:8" s="17" customFormat="1" ht="12" customHeight="1" x14ac:dyDescent="0.2">
      <c r="A486" s="34"/>
      <c r="B486" s="33"/>
      <c r="C486" s="65">
        <v>4179</v>
      </c>
      <c r="D486" s="86" t="s">
        <v>98</v>
      </c>
      <c r="E486" s="51">
        <v>0</v>
      </c>
      <c r="F486" s="50">
        <v>2880</v>
      </c>
      <c r="G486" s="50"/>
      <c r="H486" s="44">
        <f t="shared" si="91"/>
        <v>2880</v>
      </c>
    </row>
    <row r="487" spans="1:8" s="17" customFormat="1" ht="12" customHeight="1" x14ac:dyDescent="0.2">
      <c r="A487" s="34"/>
      <c r="B487" s="33"/>
      <c r="C487" s="65">
        <v>4217</v>
      </c>
      <c r="D487" s="86" t="s">
        <v>86</v>
      </c>
      <c r="E487" s="51">
        <v>1440</v>
      </c>
      <c r="F487" s="50"/>
      <c r="G487" s="50">
        <v>960</v>
      </c>
      <c r="H487" s="44">
        <f t="shared" si="91"/>
        <v>480</v>
      </c>
    </row>
    <row r="488" spans="1:8" s="17" customFormat="1" ht="12" customHeight="1" x14ac:dyDescent="0.2">
      <c r="A488" s="34"/>
      <c r="B488" s="33"/>
      <c r="C488" s="65">
        <v>4227</v>
      </c>
      <c r="D488" s="86" t="s">
        <v>126</v>
      </c>
      <c r="E488" s="51">
        <v>8640</v>
      </c>
      <c r="F488" s="50"/>
      <c r="G488" s="50">
        <v>5280</v>
      </c>
      <c r="H488" s="44">
        <f t="shared" si="91"/>
        <v>3360</v>
      </c>
    </row>
    <row r="489" spans="1:8" s="17" customFormat="1" ht="12" customHeight="1" x14ac:dyDescent="0.2">
      <c r="A489" s="34"/>
      <c r="B489" s="33"/>
      <c r="C489" s="52">
        <v>4307</v>
      </c>
      <c r="D489" s="86" t="s">
        <v>99</v>
      </c>
      <c r="E489" s="51">
        <v>16480</v>
      </c>
      <c r="F489" s="50"/>
      <c r="G489" s="50">
        <v>7840</v>
      </c>
      <c r="H489" s="44">
        <f t="shared" si="91"/>
        <v>8640</v>
      </c>
    </row>
    <row r="490" spans="1:8" s="17" customFormat="1" ht="12" customHeight="1" x14ac:dyDescent="0.2">
      <c r="A490" s="34"/>
      <c r="B490" s="33"/>
      <c r="C490" s="65">
        <v>4309</v>
      </c>
      <c r="D490" s="86" t="s">
        <v>99</v>
      </c>
      <c r="E490" s="51">
        <v>2880</v>
      </c>
      <c r="F490" s="50"/>
      <c r="G490" s="50">
        <v>2880</v>
      </c>
      <c r="H490" s="44">
        <f t="shared" si="91"/>
        <v>0</v>
      </c>
    </row>
    <row r="491" spans="1:8" s="17" customFormat="1" ht="12" customHeight="1" thickBot="1" x14ac:dyDescent="0.25">
      <c r="A491" s="33">
        <v>900</v>
      </c>
      <c r="B491" s="33"/>
      <c r="C491" s="34"/>
      <c r="D491" s="35" t="s">
        <v>217</v>
      </c>
      <c r="E491" s="31">
        <v>75149037.879999995</v>
      </c>
      <c r="F491" s="36">
        <f>SUM(F492,F495,F499,F503)</f>
        <v>45990</v>
      </c>
      <c r="G491" s="36">
        <f>SUM(G492,G495,G499,G503)</f>
        <v>45990</v>
      </c>
      <c r="H491" s="31">
        <f t="shared" si="89"/>
        <v>75149037.879999995</v>
      </c>
    </row>
    <row r="492" spans="1:8" s="17" customFormat="1" ht="12" customHeight="1" thickTop="1" x14ac:dyDescent="0.2">
      <c r="A492" s="33"/>
      <c r="B492" s="55">
        <v>90003</v>
      </c>
      <c r="C492" s="88"/>
      <c r="D492" s="57" t="s">
        <v>218</v>
      </c>
      <c r="E492" s="39">
        <v>691712</v>
      </c>
      <c r="F492" s="39">
        <f>SUM(F493)</f>
        <v>0</v>
      </c>
      <c r="G492" s="39">
        <f>SUM(G493)</f>
        <v>10000</v>
      </c>
      <c r="H492" s="39">
        <f t="shared" ref="H492:H494" si="92">SUM(E492+F492-G492)</f>
        <v>681712</v>
      </c>
    </row>
    <row r="493" spans="1:8" s="17" customFormat="1" ht="12" customHeight="1" x14ac:dyDescent="0.2">
      <c r="A493" s="33"/>
      <c r="B493" s="52"/>
      <c r="C493" s="65"/>
      <c r="D493" s="390" t="s">
        <v>121</v>
      </c>
      <c r="E493" s="108">
        <v>676712</v>
      </c>
      <c r="F493" s="108">
        <f>SUM(F494:F494)</f>
        <v>0</v>
      </c>
      <c r="G493" s="108">
        <f>SUM(G494:G494)</f>
        <v>10000</v>
      </c>
      <c r="H493" s="108">
        <f t="shared" si="92"/>
        <v>666712</v>
      </c>
    </row>
    <row r="494" spans="1:8" s="17" customFormat="1" ht="12" customHeight="1" x14ac:dyDescent="0.2">
      <c r="A494" s="33"/>
      <c r="B494" s="52"/>
      <c r="C494" s="60" t="s">
        <v>85</v>
      </c>
      <c r="D494" s="71" t="s">
        <v>86</v>
      </c>
      <c r="E494" s="44">
        <v>292512</v>
      </c>
      <c r="F494" s="44"/>
      <c r="G494" s="44">
        <v>10000</v>
      </c>
      <c r="H494" s="44">
        <f t="shared" si="92"/>
        <v>282512</v>
      </c>
    </row>
    <row r="495" spans="1:8" s="17" customFormat="1" ht="12" customHeight="1" x14ac:dyDescent="0.2">
      <c r="A495" s="113"/>
      <c r="B495" s="52">
        <v>90004</v>
      </c>
      <c r="C495" s="34"/>
      <c r="D495" s="38" t="s">
        <v>219</v>
      </c>
      <c r="E495" s="39">
        <v>604000</v>
      </c>
      <c r="F495" s="39">
        <f>SUM(F496)</f>
        <v>0</v>
      </c>
      <c r="G495" s="39">
        <f>SUM(G496)</f>
        <v>30000</v>
      </c>
      <c r="H495" s="39">
        <f t="shared" si="89"/>
        <v>574000</v>
      </c>
    </row>
    <row r="496" spans="1:8" s="17" customFormat="1" ht="12" customHeight="1" x14ac:dyDescent="0.2">
      <c r="A496" s="113"/>
      <c r="B496" s="52"/>
      <c r="C496" s="65"/>
      <c r="D496" s="390" t="s">
        <v>121</v>
      </c>
      <c r="E496" s="108">
        <v>384000</v>
      </c>
      <c r="F496" s="108">
        <f>SUM(F497:F498)</f>
        <v>0</v>
      </c>
      <c r="G496" s="108">
        <f>SUM(G497:G498)</f>
        <v>30000</v>
      </c>
      <c r="H496" s="108">
        <f t="shared" si="89"/>
        <v>354000</v>
      </c>
    </row>
    <row r="497" spans="1:8" s="17" customFormat="1" ht="12" customHeight="1" x14ac:dyDescent="0.2">
      <c r="A497" s="113"/>
      <c r="B497" s="52"/>
      <c r="C497" s="60" t="s">
        <v>85</v>
      </c>
      <c r="D497" s="71" t="s">
        <v>86</v>
      </c>
      <c r="E497" s="44">
        <v>290000</v>
      </c>
      <c r="F497" s="44"/>
      <c r="G497" s="44">
        <v>10000</v>
      </c>
      <c r="H497" s="44">
        <f t="shared" si="89"/>
        <v>280000</v>
      </c>
    </row>
    <row r="498" spans="1:8" s="17" customFormat="1" ht="12" customHeight="1" x14ac:dyDescent="0.2">
      <c r="A498" s="34"/>
      <c r="B498" s="52"/>
      <c r="C498" s="59">
        <v>4300</v>
      </c>
      <c r="D498" s="71" t="s">
        <v>99</v>
      </c>
      <c r="E498" s="51">
        <v>60000</v>
      </c>
      <c r="F498" s="44"/>
      <c r="G498" s="44">
        <v>20000</v>
      </c>
      <c r="H498" s="44">
        <f t="shared" si="89"/>
        <v>40000</v>
      </c>
    </row>
    <row r="499" spans="1:8" s="17" customFormat="1" ht="12" customHeight="1" x14ac:dyDescent="0.2">
      <c r="A499" s="34"/>
      <c r="B499" s="65">
        <v>90013</v>
      </c>
      <c r="C499" s="34"/>
      <c r="D499" s="38" t="s">
        <v>220</v>
      </c>
      <c r="E499" s="39">
        <v>1488529</v>
      </c>
      <c r="F499" s="40">
        <f t="shared" ref="F499:G499" si="93">SUM(F500)</f>
        <v>5990</v>
      </c>
      <c r="G499" s="40">
        <f t="shared" si="93"/>
        <v>5990</v>
      </c>
      <c r="H499" s="39">
        <f t="shared" si="89"/>
        <v>1488529</v>
      </c>
    </row>
    <row r="500" spans="1:8" s="17" customFormat="1" ht="12" customHeight="1" x14ac:dyDescent="0.2">
      <c r="A500" s="34"/>
      <c r="B500" s="65"/>
      <c r="C500" s="65"/>
      <c r="D500" s="403" t="s">
        <v>221</v>
      </c>
      <c r="E500" s="108">
        <v>1488529</v>
      </c>
      <c r="F500" s="108">
        <f>SUM(F501:F502)</f>
        <v>5990</v>
      </c>
      <c r="G500" s="108">
        <f>SUM(G501:G502)</f>
        <v>5990</v>
      </c>
      <c r="H500" s="108">
        <f t="shared" si="89"/>
        <v>1488529</v>
      </c>
    </row>
    <row r="501" spans="1:8" s="17" customFormat="1" ht="12" customHeight="1" x14ac:dyDescent="0.2">
      <c r="A501" s="34"/>
      <c r="B501" s="65"/>
      <c r="C501" s="65">
        <v>4010</v>
      </c>
      <c r="D501" s="86" t="s">
        <v>124</v>
      </c>
      <c r="E501" s="50">
        <v>789382</v>
      </c>
      <c r="F501" s="50">
        <v>5990</v>
      </c>
      <c r="G501" s="50"/>
      <c r="H501" s="44">
        <f t="shared" si="89"/>
        <v>795372</v>
      </c>
    </row>
    <row r="502" spans="1:8" s="17" customFormat="1" ht="12" customHeight="1" x14ac:dyDescent="0.2">
      <c r="A502" s="34"/>
      <c r="B502" s="65"/>
      <c r="C502" s="65">
        <v>4040</v>
      </c>
      <c r="D502" s="86" t="s">
        <v>125</v>
      </c>
      <c r="E502" s="50">
        <v>59478</v>
      </c>
      <c r="F502" s="50"/>
      <c r="G502" s="50">
        <v>5990</v>
      </c>
      <c r="H502" s="44">
        <f t="shared" si="89"/>
        <v>53488</v>
      </c>
    </row>
    <row r="503" spans="1:8" s="17" customFormat="1" ht="12" customHeight="1" x14ac:dyDescent="0.2">
      <c r="A503" s="34"/>
      <c r="B503" s="52">
        <v>90095</v>
      </c>
      <c r="C503" s="34"/>
      <c r="D503" s="114" t="s">
        <v>40</v>
      </c>
      <c r="E503" s="39">
        <v>32891539.549999997</v>
      </c>
      <c r="F503" s="39">
        <f>SUM(F504)</f>
        <v>40000</v>
      </c>
      <c r="G503" s="39">
        <f>SUM(G504)</f>
        <v>0</v>
      </c>
      <c r="H503" s="39">
        <f t="shared" si="89"/>
        <v>32931539.549999997</v>
      </c>
    </row>
    <row r="504" spans="1:8" s="17" customFormat="1" ht="12" customHeight="1" x14ac:dyDescent="0.2">
      <c r="A504" s="34"/>
      <c r="B504" s="52"/>
      <c r="C504" s="27"/>
      <c r="D504" s="394" t="s">
        <v>121</v>
      </c>
      <c r="E504" s="397">
        <v>7119565</v>
      </c>
      <c r="F504" s="388">
        <f>SUM(F505:F506)</f>
        <v>40000</v>
      </c>
      <c r="G504" s="388">
        <f>SUM(G505:G506)</f>
        <v>0</v>
      </c>
      <c r="H504" s="115">
        <f>SUM(E504+F504-G504)</f>
        <v>7159565</v>
      </c>
    </row>
    <row r="505" spans="1:8" s="17" customFormat="1" ht="12" customHeight="1" x14ac:dyDescent="0.2">
      <c r="A505" s="34"/>
      <c r="B505" s="52"/>
      <c r="C505" s="60" t="s">
        <v>85</v>
      </c>
      <c r="D505" s="71" t="s">
        <v>86</v>
      </c>
      <c r="E505" s="51">
        <v>337536</v>
      </c>
      <c r="F505" s="50">
        <v>30000</v>
      </c>
      <c r="G505" s="50"/>
      <c r="H505" s="51">
        <f t="shared" ref="H505:H508" si="94">SUM(E505+F505-G505)</f>
        <v>367536</v>
      </c>
    </row>
    <row r="506" spans="1:8" s="17" customFormat="1" ht="12" customHeight="1" x14ac:dyDescent="0.2">
      <c r="A506" s="107"/>
      <c r="B506" s="99"/>
      <c r="C506" s="57">
        <v>4300</v>
      </c>
      <c r="D506" s="114" t="s">
        <v>99</v>
      </c>
      <c r="E506" s="84">
        <v>189200</v>
      </c>
      <c r="F506" s="81">
        <v>10000</v>
      </c>
      <c r="G506" s="81"/>
      <c r="H506" s="84">
        <f t="shared" si="94"/>
        <v>199200</v>
      </c>
    </row>
    <row r="507" spans="1:8" s="17" customFormat="1" ht="12" customHeight="1" thickBot="1" x14ac:dyDescent="0.25">
      <c r="A507" s="32">
        <v>921</v>
      </c>
      <c r="B507" s="32"/>
      <c r="C507" s="34"/>
      <c r="D507" s="35" t="s">
        <v>222</v>
      </c>
      <c r="E507" s="31">
        <v>11919839.02</v>
      </c>
      <c r="F507" s="36">
        <f>SUM(F508)</f>
        <v>42900</v>
      </c>
      <c r="G507" s="36">
        <f>SUM(G508)</f>
        <v>42900</v>
      </c>
      <c r="H507" s="31">
        <f t="shared" si="94"/>
        <v>11919839.02</v>
      </c>
    </row>
    <row r="508" spans="1:8" s="17" customFormat="1" ht="12" customHeight="1" thickTop="1" x14ac:dyDescent="0.2">
      <c r="A508" s="32"/>
      <c r="B508" s="52">
        <v>92195</v>
      </c>
      <c r="C508" s="34"/>
      <c r="D508" s="114" t="s">
        <v>40</v>
      </c>
      <c r="E508" s="39">
        <v>982066.26</v>
      </c>
      <c r="F508" s="39">
        <f>SUM(F509)</f>
        <v>42900</v>
      </c>
      <c r="G508" s="39">
        <f>SUM(G509)</f>
        <v>42900</v>
      </c>
      <c r="H508" s="39">
        <f t="shared" si="94"/>
        <v>982066.26</v>
      </c>
    </row>
    <row r="509" spans="1:8" s="17" customFormat="1" ht="12" customHeight="1" x14ac:dyDescent="0.2">
      <c r="A509" s="32"/>
      <c r="B509" s="59"/>
      <c r="C509" s="27"/>
      <c r="D509" s="392" t="s">
        <v>223</v>
      </c>
      <c r="E509" s="115">
        <v>661530</v>
      </c>
      <c r="F509" s="388">
        <f>SUM(F510:F513)</f>
        <v>42900</v>
      </c>
      <c r="G509" s="388">
        <f>SUM(G510:G513)</f>
        <v>42900</v>
      </c>
      <c r="H509" s="115">
        <f>SUM(E509+F509-G509)</f>
        <v>661530</v>
      </c>
    </row>
    <row r="510" spans="1:8" s="17" customFormat="1" ht="21" customHeight="1" x14ac:dyDescent="0.2">
      <c r="A510" s="32"/>
      <c r="B510" s="59"/>
      <c r="C510" s="41" t="s">
        <v>224</v>
      </c>
      <c r="D510" s="112" t="s">
        <v>225</v>
      </c>
      <c r="E510" s="51">
        <v>0</v>
      </c>
      <c r="F510" s="50">
        <v>15000</v>
      </c>
      <c r="G510" s="50"/>
      <c r="H510" s="51">
        <f t="shared" ref="H510:H513" si="95">SUM(E510+F510-G510)</f>
        <v>15000</v>
      </c>
    </row>
    <row r="511" spans="1:8" s="17" customFormat="1" ht="21.75" customHeight="1" x14ac:dyDescent="0.2">
      <c r="A511" s="32"/>
      <c r="B511" s="59"/>
      <c r="C511" s="66">
        <v>2810</v>
      </c>
      <c r="D511" s="82" t="s">
        <v>226</v>
      </c>
      <c r="E511" s="51">
        <v>44100</v>
      </c>
      <c r="F511" s="50">
        <v>27900</v>
      </c>
      <c r="G511" s="50"/>
      <c r="H511" s="51">
        <f t="shared" si="95"/>
        <v>72000</v>
      </c>
    </row>
    <row r="512" spans="1:8" s="17" customFormat="1" ht="31.15" customHeight="1" x14ac:dyDescent="0.2">
      <c r="A512" s="32"/>
      <c r="B512" s="59"/>
      <c r="C512" s="98" t="s">
        <v>227</v>
      </c>
      <c r="D512" s="90" t="s">
        <v>228</v>
      </c>
      <c r="E512" s="51">
        <v>195000</v>
      </c>
      <c r="F512" s="50"/>
      <c r="G512" s="50">
        <v>27900</v>
      </c>
      <c r="H512" s="51">
        <f t="shared" si="95"/>
        <v>167100</v>
      </c>
    </row>
    <row r="513" spans="1:8" s="17" customFormat="1" ht="12" customHeight="1" x14ac:dyDescent="0.2">
      <c r="A513" s="32"/>
      <c r="B513" s="33"/>
      <c r="C513" s="65">
        <v>4300</v>
      </c>
      <c r="D513" s="86" t="s">
        <v>99</v>
      </c>
      <c r="E513" s="51">
        <v>392800</v>
      </c>
      <c r="F513" s="50"/>
      <c r="G513" s="50">
        <v>15000</v>
      </c>
      <c r="H513" s="51">
        <f t="shared" si="95"/>
        <v>377800</v>
      </c>
    </row>
    <row r="514" spans="1:8" s="17" customFormat="1" ht="18.600000000000001" customHeight="1" thickBot="1" x14ac:dyDescent="0.25">
      <c r="A514" s="113"/>
      <c r="B514" s="52"/>
      <c r="C514" s="65"/>
      <c r="D514" s="30" t="s">
        <v>229</v>
      </c>
      <c r="E514" s="31">
        <v>83016620.699999988</v>
      </c>
      <c r="F514" s="31">
        <f>SUM(F515,F524,F547,F558,F574,F585)</f>
        <v>3564056.67</v>
      </c>
      <c r="G514" s="31">
        <f>SUM(G515,G524,G547,G558,G574,G585)</f>
        <v>1889369.07</v>
      </c>
      <c r="H514" s="31">
        <f t="shared" ref="H514" si="96">SUM(E514+F514-G514)</f>
        <v>84691308.299999997</v>
      </c>
    </row>
    <row r="515" spans="1:8" s="17" customFormat="1" ht="18.600000000000001" customHeight="1" thickTop="1" thickBot="1" x14ac:dyDescent="0.25">
      <c r="A515" s="33">
        <v>750</v>
      </c>
      <c r="B515" s="33"/>
      <c r="C515" s="34"/>
      <c r="D515" s="35" t="s">
        <v>53</v>
      </c>
      <c r="E515" s="31">
        <v>1677049.8899999997</v>
      </c>
      <c r="F515" s="31">
        <f>SUM(F516)</f>
        <v>13448.25</v>
      </c>
      <c r="G515" s="31">
        <f>SUM(G516)</f>
        <v>13448.25</v>
      </c>
      <c r="H515" s="31">
        <f t="shared" ref="H515:H522" si="97">SUM(E515+F515-G515)</f>
        <v>1677049.8899999997</v>
      </c>
    </row>
    <row r="516" spans="1:8" s="17" customFormat="1" ht="12" customHeight="1" thickTop="1" x14ac:dyDescent="0.2">
      <c r="A516" s="33"/>
      <c r="B516" s="65">
        <v>75011</v>
      </c>
      <c r="C516" s="37"/>
      <c r="D516" s="69" t="s">
        <v>54</v>
      </c>
      <c r="E516" s="84">
        <v>1677049.8899999997</v>
      </c>
      <c r="F516" s="40">
        <f>SUM(F517)</f>
        <v>13448.25</v>
      </c>
      <c r="G516" s="40">
        <f>SUM(G517)</f>
        <v>13448.25</v>
      </c>
      <c r="H516" s="39">
        <f t="shared" si="97"/>
        <v>1677049.8899999997</v>
      </c>
    </row>
    <row r="517" spans="1:8" s="17" customFormat="1" ht="22.15" customHeight="1" x14ac:dyDescent="0.2">
      <c r="A517" s="33"/>
      <c r="B517" s="33"/>
      <c r="C517" s="27"/>
      <c r="D517" s="404" t="s">
        <v>230</v>
      </c>
      <c r="E517" s="397">
        <v>14649.89</v>
      </c>
      <c r="F517" s="395">
        <f>SUM(F518:F522)</f>
        <v>13448.25</v>
      </c>
      <c r="G517" s="395">
        <f>SUM(G518:G522)</f>
        <v>13448.25</v>
      </c>
      <c r="H517" s="108">
        <f t="shared" si="97"/>
        <v>14649.89</v>
      </c>
    </row>
    <row r="518" spans="1:8" s="17" customFormat="1" ht="12" customHeight="1" x14ac:dyDescent="0.2">
      <c r="A518" s="33"/>
      <c r="B518" s="33"/>
      <c r="C518" s="65">
        <v>4010</v>
      </c>
      <c r="D518" s="86" t="s">
        <v>124</v>
      </c>
      <c r="E518" s="50">
        <v>11240.6</v>
      </c>
      <c r="F518" s="50"/>
      <c r="G518" s="50">
        <v>11240.6</v>
      </c>
      <c r="H518" s="44">
        <f t="shared" si="97"/>
        <v>0</v>
      </c>
    </row>
    <row r="519" spans="1:8" s="17" customFormat="1" ht="12" customHeight="1" x14ac:dyDescent="0.2">
      <c r="A519" s="33"/>
      <c r="B519" s="33"/>
      <c r="C519" s="65">
        <v>4110</v>
      </c>
      <c r="D519" s="86" t="s">
        <v>147</v>
      </c>
      <c r="E519" s="50">
        <v>1932.27</v>
      </c>
      <c r="F519" s="50"/>
      <c r="G519" s="50">
        <v>1932.27</v>
      </c>
      <c r="H519" s="44">
        <f t="shared" si="97"/>
        <v>0</v>
      </c>
    </row>
    <row r="520" spans="1:8" s="17" customFormat="1" ht="12" customHeight="1" x14ac:dyDescent="0.2">
      <c r="A520" s="33"/>
      <c r="B520" s="33"/>
      <c r="C520" s="65">
        <v>4120</v>
      </c>
      <c r="D520" s="86" t="s">
        <v>168</v>
      </c>
      <c r="E520" s="50">
        <v>275.38</v>
      </c>
      <c r="F520" s="50"/>
      <c r="G520" s="50">
        <v>275.38</v>
      </c>
      <c r="H520" s="44">
        <f t="shared" si="97"/>
        <v>0</v>
      </c>
    </row>
    <row r="521" spans="1:8" s="17" customFormat="1" ht="20.25" customHeight="1" x14ac:dyDescent="0.2">
      <c r="A521" s="33"/>
      <c r="B521" s="33"/>
      <c r="C521" s="66">
        <v>4740</v>
      </c>
      <c r="D521" s="82" t="s">
        <v>129</v>
      </c>
      <c r="E521" s="50">
        <v>1004.38</v>
      </c>
      <c r="F521" s="50">
        <v>11240.6</v>
      </c>
      <c r="G521" s="50"/>
      <c r="H521" s="44">
        <f t="shared" si="97"/>
        <v>12244.98</v>
      </c>
    </row>
    <row r="522" spans="1:8" s="17" customFormat="1" ht="20.45" customHeight="1" x14ac:dyDescent="0.2">
      <c r="A522" s="33"/>
      <c r="B522" s="33"/>
      <c r="C522" s="66">
        <v>4850</v>
      </c>
      <c r="D522" s="82" t="s">
        <v>131</v>
      </c>
      <c r="E522" s="50">
        <v>197.26</v>
      </c>
      <c r="F522" s="50">
        <v>2207.65</v>
      </c>
      <c r="G522" s="50"/>
      <c r="H522" s="44">
        <f t="shared" si="97"/>
        <v>2404.91</v>
      </c>
    </row>
    <row r="523" spans="1:8" s="17" customFormat="1" ht="12" customHeight="1" x14ac:dyDescent="0.2">
      <c r="A523" s="33">
        <v>754</v>
      </c>
      <c r="B523" s="33"/>
      <c r="C523" s="34"/>
      <c r="D523" s="35" t="s">
        <v>56</v>
      </c>
      <c r="E523" s="50"/>
      <c r="F523" s="43"/>
      <c r="G523" s="43"/>
      <c r="H523" s="50"/>
    </row>
    <row r="524" spans="1:8" s="17" customFormat="1" ht="12" customHeight="1" thickBot="1" x14ac:dyDescent="0.25">
      <c r="A524" s="33"/>
      <c r="B524" s="33"/>
      <c r="C524" s="34"/>
      <c r="D524" s="35" t="s">
        <v>57</v>
      </c>
      <c r="E524" s="36">
        <v>1807248</v>
      </c>
      <c r="F524" s="36">
        <f>SUM(F525)</f>
        <v>1882009.8199999998</v>
      </c>
      <c r="G524" s="36">
        <f>SUM(G525)</f>
        <v>1583125.82</v>
      </c>
      <c r="H524" s="36">
        <f>SUM(E524+F524-G524)</f>
        <v>2106132</v>
      </c>
    </row>
    <row r="525" spans="1:8" s="17" customFormat="1" ht="12" customHeight="1" thickTop="1" x14ac:dyDescent="0.2">
      <c r="A525" s="52"/>
      <c r="B525" s="52">
        <v>75495</v>
      </c>
      <c r="C525" s="27"/>
      <c r="D525" s="38" t="s">
        <v>40</v>
      </c>
      <c r="E525" s="39">
        <v>1807248</v>
      </c>
      <c r="F525" s="40">
        <f>SUM(F526,F534,F537,F545)</f>
        <v>1882009.8199999998</v>
      </c>
      <c r="G525" s="40">
        <f>SUM(G526,G534,G537,G545)</f>
        <v>1583125.82</v>
      </c>
      <c r="H525" s="39">
        <f>SUM(E525+F525-G525)</f>
        <v>2106132</v>
      </c>
    </row>
    <row r="526" spans="1:8" s="17" customFormat="1" ht="21.6" customHeight="1" x14ac:dyDescent="0.2">
      <c r="A526" s="52"/>
      <c r="B526" s="52"/>
      <c r="C526" s="60"/>
      <c r="D526" s="390" t="s">
        <v>231</v>
      </c>
      <c r="E526" s="115">
        <v>1058808</v>
      </c>
      <c r="F526" s="388">
        <f>SUM(F527:F533)</f>
        <v>1113192</v>
      </c>
      <c r="G526" s="388">
        <f>SUM(G527:G533)</f>
        <v>1058808</v>
      </c>
      <c r="H526" s="115">
        <f t="shared" ref="H526:H533" si="98">SUM(E526+F526-G526)</f>
        <v>1113192</v>
      </c>
    </row>
    <row r="527" spans="1:8" s="17" customFormat="1" ht="12" customHeight="1" x14ac:dyDescent="0.2">
      <c r="A527" s="52"/>
      <c r="B527" s="52"/>
      <c r="C527" s="65">
        <v>3110</v>
      </c>
      <c r="D527" s="86" t="s">
        <v>190</v>
      </c>
      <c r="E527" s="51">
        <v>1055480</v>
      </c>
      <c r="F527" s="50"/>
      <c r="G527" s="50">
        <v>1055480</v>
      </c>
      <c r="H527" s="51">
        <f t="shared" si="98"/>
        <v>0</v>
      </c>
    </row>
    <row r="528" spans="1:8" s="17" customFormat="1" ht="20.25" customHeight="1" x14ac:dyDescent="0.2">
      <c r="A528" s="52"/>
      <c r="B528" s="52"/>
      <c r="C528" s="66">
        <v>3280</v>
      </c>
      <c r="D528" s="82" t="s">
        <v>232</v>
      </c>
      <c r="E528" s="51">
        <v>0</v>
      </c>
      <c r="F528" s="50">
        <f>1055480+50000</f>
        <v>1105480</v>
      </c>
      <c r="G528" s="50"/>
      <c r="H528" s="51">
        <f t="shared" si="98"/>
        <v>1105480</v>
      </c>
    </row>
    <row r="529" spans="1:8" s="17" customFormat="1" ht="12" customHeight="1" x14ac:dyDescent="0.2">
      <c r="A529" s="52"/>
      <c r="B529" s="52"/>
      <c r="C529" s="65">
        <v>4010</v>
      </c>
      <c r="D529" s="86" t="s">
        <v>124</v>
      </c>
      <c r="E529" s="43">
        <v>2774</v>
      </c>
      <c r="F529" s="43"/>
      <c r="G529" s="44">
        <v>2774</v>
      </c>
      <c r="H529" s="43">
        <f t="shared" si="98"/>
        <v>0</v>
      </c>
    </row>
    <row r="530" spans="1:8" s="17" customFormat="1" ht="12" customHeight="1" x14ac:dyDescent="0.2">
      <c r="A530" s="52"/>
      <c r="B530" s="52"/>
      <c r="C530" s="65">
        <v>4110</v>
      </c>
      <c r="D530" s="86" t="s">
        <v>147</v>
      </c>
      <c r="E530" s="43">
        <v>485</v>
      </c>
      <c r="F530" s="43"/>
      <c r="G530" s="44">
        <v>485</v>
      </c>
      <c r="H530" s="43">
        <f t="shared" si="98"/>
        <v>0</v>
      </c>
    </row>
    <row r="531" spans="1:8" s="17" customFormat="1" ht="12" customHeight="1" x14ac:dyDescent="0.2">
      <c r="A531" s="52"/>
      <c r="B531" s="52"/>
      <c r="C531" s="65">
        <v>4120</v>
      </c>
      <c r="D531" s="86" t="s">
        <v>148</v>
      </c>
      <c r="E531" s="43">
        <v>69</v>
      </c>
      <c r="F531" s="43"/>
      <c r="G531" s="44">
        <v>69</v>
      </c>
      <c r="H531" s="43">
        <f t="shared" si="98"/>
        <v>0</v>
      </c>
    </row>
    <row r="532" spans="1:8" s="17" customFormat="1" ht="22.5" customHeight="1" x14ac:dyDescent="0.2">
      <c r="A532" s="52"/>
      <c r="B532" s="52"/>
      <c r="C532" s="66">
        <v>4740</v>
      </c>
      <c r="D532" s="82" t="s">
        <v>129</v>
      </c>
      <c r="E532" s="50">
        <v>0</v>
      </c>
      <c r="F532" s="51">
        <f>2774+3656</f>
        <v>6430</v>
      </c>
      <c r="G532" s="50"/>
      <c r="H532" s="43">
        <f t="shared" si="98"/>
        <v>6430</v>
      </c>
    </row>
    <row r="533" spans="1:8" s="17" customFormat="1" ht="22.5" customHeight="1" x14ac:dyDescent="0.2">
      <c r="A533" s="52"/>
      <c r="B533" s="52"/>
      <c r="C533" s="66">
        <v>4850</v>
      </c>
      <c r="D533" s="82" t="s">
        <v>131</v>
      </c>
      <c r="E533" s="50">
        <v>0</v>
      </c>
      <c r="F533" s="51">
        <f>485+69+728</f>
        <v>1282</v>
      </c>
      <c r="G533" s="50"/>
      <c r="H533" s="43">
        <f t="shared" si="98"/>
        <v>1282</v>
      </c>
    </row>
    <row r="534" spans="1:8" s="17" customFormat="1" ht="34.5" customHeight="1" x14ac:dyDescent="0.2">
      <c r="A534" s="26"/>
      <c r="B534" s="33"/>
      <c r="C534" s="60"/>
      <c r="D534" s="404" t="s">
        <v>233</v>
      </c>
      <c r="E534" s="108">
        <v>719742.15999999992</v>
      </c>
      <c r="F534" s="108">
        <f>SUM(F535:F536)</f>
        <v>676242.15999999992</v>
      </c>
      <c r="G534" s="108">
        <f>SUM(G535:G536)</f>
        <v>495619.98</v>
      </c>
      <c r="H534" s="115">
        <f>SUM(E534+F534-G534)</f>
        <v>900364.33999999985</v>
      </c>
    </row>
    <row r="535" spans="1:8" s="17" customFormat="1" ht="12" customHeight="1" x14ac:dyDescent="0.2">
      <c r="A535" s="26"/>
      <c r="B535" s="33"/>
      <c r="C535" s="52">
        <v>4300</v>
      </c>
      <c r="D535" s="86" t="s">
        <v>99</v>
      </c>
      <c r="E535" s="51">
        <v>431742.16</v>
      </c>
      <c r="F535" s="51"/>
      <c r="G535" s="51">
        <v>431742.16</v>
      </c>
      <c r="H535" s="43">
        <f t="shared" ref="H535:H536" si="99">SUM(E535+F535-G535)</f>
        <v>0</v>
      </c>
    </row>
    <row r="536" spans="1:8" s="17" customFormat="1" ht="12" customHeight="1" x14ac:dyDescent="0.2">
      <c r="A536" s="26"/>
      <c r="B536" s="33"/>
      <c r="C536" s="52">
        <v>4370</v>
      </c>
      <c r="D536" s="86" t="s">
        <v>115</v>
      </c>
      <c r="E536" s="51">
        <v>288000</v>
      </c>
      <c r="F536" s="50">
        <f>431742.16+244500</f>
        <v>676242.15999999992</v>
      </c>
      <c r="G536" s="50">
        <f>40114.41+23763.41</f>
        <v>63877.820000000007</v>
      </c>
      <c r="H536" s="51">
        <f t="shared" si="99"/>
        <v>900364.33999999985</v>
      </c>
    </row>
    <row r="537" spans="1:8" s="17" customFormat="1" ht="33.75" customHeight="1" x14ac:dyDescent="0.2">
      <c r="A537" s="26"/>
      <c r="B537" s="33"/>
      <c r="C537" s="27"/>
      <c r="D537" s="405" t="s">
        <v>234</v>
      </c>
      <c r="E537" s="108">
        <v>28697.84</v>
      </c>
      <c r="F537" s="388">
        <f>SUM(F538:F544)</f>
        <v>92261.97</v>
      </c>
      <c r="G537" s="388">
        <f>SUM(G538:G544)</f>
        <v>28697.84</v>
      </c>
      <c r="H537" s="115">
        <f>SUM(E537+F537-G537)</f>
        <v>92261.97</v>
      </c>
    </row>
    <row r="538" spans="1:8" s="17" customFormat="1" ht="12" customHeight="1" x14ac:dyDescent="0.2">
      <c r="A538" s="26"/>
      <c r="B538" s="33"/>
      <c r="C538" s="65">
        <v>4260</v>
      </c>
      <c r="D538" s="86" t="s">
        <v>116</v>
      </c>
      <c r="E538" s="51">
        <v>14528.59</v>
      </c>
      <c r="F538" s="51"/>
      <c r="G538" s="51">
        <v>14528.59</v>
      </c>
      <c r="H538" s="43">
        <f t="shared" ref="H538:H585" si="100">SUM(E538+F538-G538)</f>
        <v>0</v>
      </c>
    </row>
    <row r="539" spans="1:8" s="17" customFormat="1" ht="12" customHeight="1" x14ac:dyDescent="0.2">
      <c r="A539" s="26"/>
      <c r="B539" s="33"/>
      <c r="C539" s="65">
        <v>4270</v>
      </c>
      <c r="D539" s="86" t="s">
        <v>104</v>
      </c>
      <c r="E539" s="51">
        <v>6422.5</v>
      </c>
      <c r="F539" s="51"/>
      <c r="G539" s="51">
        <v>6422.5</v>
      </c>
      <c r="H539" s="43">
        <f t="shared" si="100"/>
        <v>0</v>
      </c>
    </row>
    <row r="540" spans="1:8" s="17" customFormat="1" ht="12" customHeight="1" x14ac:dyDescent="0.2">
      <c r="A540" s="26"/>
      <c r="B540" s="33"/>
      <c r="C540" s="65">
        <v>4300</v>
      </c>
      <c r="D540" s="86" t="s">
        <v>99</v>
      </c>
      <c r="E540" s="51">
        <v>2056.23</v>
      </c>
      <c r="F540" s="51"/>
      <c r="G540" s="51">
        <v>2056.23</v>
      </c>
      <c r="H540" s="43">
        <f t="shared" si="100"/>
        <v>0</v>
      </c>
    </row>
    <row r="541" spans="1:8" s="17" customFormat="1" ht="21" customHeight="1" x14ac:dyDescent="0.2">
      <c r="A541" s="26"/>
      <c r="B541" s="33"/>
      <c r="C541" s="98" t="s">
        <v>117</v>
      </c>
      <c r="D541" s="90" t="s">
        <v>118</v>
      </c>
      <c r="E541" s="51">
        <v>0</v>
      </c>
      <c r="F541" s="50">
        <v>386.17</v>
      </c>
      <c r="G541" s="50"/>
      <c r="H541" s="51">
        <f t="shared" si="100"/>
        <v>386.17</v>
      </c>
    </row>
    <row r="542" spans="1:8" s="17" customFormat="1" ht="12" customHeight="1" x14ac:dyDescent="0.2">
      <c r="A542" s="26"/>
      <c r="B542" s="33"/>
      <c r="C542" s="65">
        <v>4370</v>
      </c>
      <c r="D542" s="86" t="s">
        <v>115</v>
      </c>
      <c r="E542" s="51">
        <v>0</v>
      </c>
      <c r="F542" s="51">
        <f>12473.87+2056.23+3535.72</f>
        <v>18065.82</v>
      </c>
      <c r="G542" s="51"/>
      <c r="H542" s="43">
        <f t="shared" si="100"/>
        <v>18065.82</v>
      </c>
    </row>
    <row r="543" spans="1:8" s="17" customFormat="1" ht="12" customHeight="1" x14ac:dyDescent="0.2">
      <c r="A543" s="26"/>
      <c r="B543" s="33"/>
      <c r="C543" s="65">
        <v>4430</v>
      </c>
      <c r="D543" s="86" t="s">
        <v>119</v>
      </c>
      <c r="E543" s="51">
        <v>5690.52</v>
      </c>
      <c r="F543" s="51"/>
      <c r="G543" s="51">
        <v>5690.52</v>
      </c>
      <c r="H543" s="43">
        <f t="shared" si="100"/>
        <v>0</v>
      </c>
    </row>
    <row r="544" spans="1:8" s="17" customFormat="1" ht="21" customHeight="1" x14ac:dyDescent="0.2">
      <c r="A544" s="26"/>
      <c r="B544" s="33"/>
      <c r="C544" s="66">
        <v>4860</v>
      </c>
      <c r="D544" s="82" t="s">
        <v>120</v>
      </c>
      <c r="E544" s="51">
        <v>0</v>
      </c>
      <c r="F544" s="51">
        <f>27326.85+26641.61+19841.52</f>
        <v>73809.98</v>
      </c>
      <c r="G544" s="51"/>
      <c r="H544" s="43">
        <f t="shared" si="100"/>
        <v>73809.98</v>
      </c>
    </row>
    <row r="545" spans="1:8" s="17" customFormat="1" ht="32.25" customHeight="1" x14ac:dyDescent="0.2">
      <c r="A545" s="26"/>
      <c r="B545" s="33"/>
      <c r="C545" s="27"/>
      <c r="D545" s="404" t="s">
        <v>235</v>
      </c>
      <c r="E545" s="115">
        <v>0</v>
      </c>
      <c r="F545" s="388">
        <f>SUM(F546:F546)</f>
        <v>313.69</v>
      </c>
      <c r="G545" s="388">
        <f>SUM(G546:G546)</f>
        <v>0</v>
      </c>
      <c r="H545" s="115">
        <f>SUM(E545+F545-G545)</f>
        <v>313.69</v>
      </c>
    </row>
    <row r="546" spans="1:8" s="17" customFormat="1" ht="21" customHeight="1" x14ac:dyDescent="0.2">
      <c r="A546" s="70"/>
      <c r="B546" s="79"/>
      <c r="C546" s="116" t="s">
        <v>117</v>
      </c>
      <c r="D546" s="117" t="s">
        <v>118</v>
      </c>
      <c r="E546" s="84">
        <v>0</v>
      </c>
      <c r="F546" s="81">
        <v>313.69</v>
      </c>
      <c r="G546" s="81"/>
      <c r="H546" s="84">
        <f t="shared" ref="H546" si="101">SUM(E546+F546-G546)</f>
        <v>313.69</v>
      </c>
    </row>
    <row r="547" spans="1:8" s="17" customFormat="1" ht="12" customHeight="1" thickBot="1" x14ac:dyDescent="0.25">
      <c r="A547" s="32">
        <v>801</v>
      </c>
      <c r="B547" s="33"/>
      <c r="C547" s="34"/>
      <c r="D547" s="35" t="s">
        <v>29</v>
      </c>
      <c r="E547" s="31">
        <v>362556.77</v>
      </c>
      <c r="F547" s="31">
        <f>SUM(F550)</f>
        <v>170936.6</v>
      </c>
      <c r="G547" s="31">
        <f>SUM(G550)</f>
        <v>0</v>
      </c>
      <c r="H547" s="31">
        <f>SUM(E547+F547-G547)</f>
        <v>533493.37</v>
      </c>
    </row>
    <row r="548" spans="1:8" s="17" customFormat="1" ht="12" customHeight="1" thickTop="1" x14ac:dyDescent="0.2">
      <c r="A548" s="32"/>
      <c r="B548" s="52">
        <v>80153</v>
      </c>
      <c r="C548" s="34"/>
      <c r="D548" s="71" t="s">
        <v>62</v>
      </c>
      <c r="E548" s="72"/>
      <c r="F548" s="72"/>
      <c r="G548" s="72"/>
      <c r="H548" s="72"/>
    </row>
    <row r="549" spans="1:8" s="17" customFormat="1" ht="12" customHeight="1" x14ac:dyDescent="0.2">
      <c r="A549" s="32"/>
      <c r="B549" s="33"/>
      <c r="C549" s="34"/>
      <c r="D549" s="71" t="s">
        <v>63</v>
      </c>
      <c r="E549" s="72"/>
      <c r="F549" s="72"/>
      <c r="G549" s="72"/>
      <c r="H549" s="72"/>
    </row>
    <row r="550" spans="1:8" s="17" customFormat="1" ht="12" customHeight="1" x14ac:dyDescent="0.2">
      <c r="A550" s="33"/>
      <c r="B550" s="52"/>
      <c r="C550" s="27"/>
      <c r="D550" s="38" t="s">
        <v>64</v>
      </c>
      <c r="E550" s="39">
        <v>362556.77</v>
      </c>
      <c r="F550" s="39">
        <f>SUM(F551,F553)</f>
        <v>170936.6</v>
      </c>
      <c r="G550" s="39">
        <f>SUM(G551,G553)</f>
        <v>0</v>
      </c>
      <c r="H550" s="39">
        <f>SUM(E550+F550-G550)</f>
        <v>533493.37</v>
      </c>
    </row>
    <row r="551" spans="1:8" s="17" customFormat="1" ht="12" customHeight="1" x14ac:dyDescent="0.2">
      <c r="A551" s="68"/>
      <c r="B551" s="52"/>
      <c r="C551" s="27"/>
      <c r="D551" s="391" t="s">
        <v>122</v>
      </c>
      <c r="E551" s="115">
        <v>325125</v>
      </c>
      <c r="F551" s="388">
        <f>SUM(F552:F552)</f>
        <v>153288</v>
      </c>
      <c r="G551" s="388">
        <f>SUM(G552:G552)</f>
        <v>0</v>
      </c>
      <c r="H551" s="115">
        <f>SUM(E551+F551-G551)</f>
        <v>478413</v>
      </c>
    </row>
    <row r="552" spans="1:8" s="17" customFormat="1" ht="12" customHeight="1" x14ac:dyDescent="0.2">
      <c r="A552" s="32"/>
      <c r="B552" s="26"/>
      <c r="C552" s="65">
        <v>4240</v>
      </c>
      <c r="D552" s="86" t="s">
        <v>127</v>
      </c>
      <c r="E552" s="43">
        <v>325125</v>
      </c>
      <c r="F552" s="44">
        <v>153288</v>
      </c>
      <c r="G552" s="45"/>
      <c r="H552" s="43">
        <f>SUM(E552+F552-G552)</f>
        <v>478413</v>
      </c>
    </row>
    <row r="553" spans="1:8" s="17" customFormat="1" ht="12" customHeight="1" x14ac:dyDescent="0.2">
      <c r="A553" s="32"/>
      <c r="B553" s="26"/>
      <c r="C553" s="27"/>
      <c r="D553" s="394" t="s">
        <v>141</v>
      </c>
      <c r="E553" s="115">
        <v>37431.769999999997</v>
      </c>
      <c r="F553" s="388">
        <f>SUM(F556:F557)</f>
        <v>17648.599999999999</v>
      </c>
      <c r="G553" s="388">
        <f>SUM(G556:G557)</f>
        <v>0</v>
      </c>
      <c r="H553" s="115">
        <f>SUM(E553+F553-G553)</f>
        <v>55080.369999999995</v>
      </c>
    </row>
    <row r="554" spans="1:8" s="17" customFormat="1" ht="12" customHeight="1" x14ac:dyDescent="0.2">
      <c r="A554" s="32"/>
      <c r="B554" s="26"/>
      <c r="C554" s="65">
        <v>2830</v>
      </c>
      <c r="D554" s="52" t="s">
        <v>236</v>
      </c>
      <c r="E554" s="43"/>
      <c r="F554" s="45"/>
      <c r="G554" s="44"/>
      <c r="H554" s="43"/>
    </row>
    <row r="555" spans="1:8" s="17" customFormat="1" ht="12" customHeight="1" x14ac:dyDescent="0.2">
      <c r="A555" s="32"/>
      <c r="B555" s="26"/>
      <c r="C555" s="65"/>
      <c r="D555" s="52" t="s">
        <v>237</v>
      </c>
      <c r="E555" s="43"/>
      <c r="F555" s="45"/>
      <c r="G555" s="44"/>
      <c r="H555" s="43"/>
    </row>
    <row r="556" spans="1:8" s="17" customFormat="1" ht="12" customHeight="1" x14ac:dyDescent="0.2">
      <c r="A556" s="32"/>
      <c r="B556" s="26"/>
      <c r="C556" s="65"/>
      <c r="D556" s="52" t="s">
        <v>238</v>
      </c>
      <c r="E556" s="43">
        <v>33841</v>
      </c>
      <c r="F556" s="44">
        <v>15955</v>
      </c>
      <c r="G556" s="44"/>
      <c r="H556" s="43">
        <f>SUM(E556+F556-G556)</f>
        <v>49796</v>
      </c>
    </row>
    <row r="557" spans="1:8" s="17" customFormat="1" ht="12" customHeight="1" x14ac:dyDescent="0.2">
      <c r="A557" s="32"/>
      <c r="B557" s="26"/>
      <c r="C557" s="55">
        <v>4210</v>
      </c>
      <c r="D557" s="71" t="s">
        <v>86</v>
      </c>
      <c r="E557" s="43">
        <v>3590.77</v>
      </c>
      <c r="F557" s="44">
        <v>1693.6</v>
      </c>
      <c r="G557" s="45"/>
      <c r="H557" s="43">
        <f>SUM(E557+F557-G557)</f>
        <v>5284.37</v>
      </c>
    </row>
    <row r="558" spans="1:8" s="17" customFormat="1" ht="12" customHeight="1" thickBot="1" x14ac:dyDescent="0.25">
      <c r="A558" s="34" t="s">
        <v>180</v>
      </c>
      <c r="B558" s="33"/>
      <c r="C558" s="34"/>
      <c r="D558" s="35" t="s">
        <v>44</v>
      </c>
      <c r="E558" s="31">
        <v>8462434.620000001</v>
      </c>
      <c r="F558" s="31">
        <f>SUM(F559,F571)</f>
        <v>298722</v>
      </c>
      <c r="G558" s="31">
        <f>SUM(G559,G571)</f>
        <v>6500</v>
      </c>
      <c r="H558" s="31">
        <f t="shared" si="100"/>
        <v>8754656.620000001</v>
      </c>
    </row>
    <row r="559" spans="1:8" s="17" customFormat="1" ht="12" customHeight="1" thickTop="1" x14ac:dyDescent="0.2">
      <c r="A559" s="34"/>
      <c r="B559" s="52">
        <v>85203</v>
      </c>
      <c r="C559" s="27"/>
      <c r="D559" s="74" t="s">
        <v>67</v>
      </c>
      <c r="E559" s="84">
        <v>1067344</v>
      </c>
      <c r="F559" s="40">
        <f>SUM(F560,F567)</f>
        <v>18722</v>
      </c>
      <c r="G559" s="40">
        <f>SUM(G560,G567)</f>
        <v>6500</v>
      </c>
      <c r="H559" s="39">
        <f t="shared" si="100"/>
        <v>1079566</v>
      </c>
    </row>
    <row r="560" spans="1:8" s="17" customFormat="1" ht="12" customHeight="1" x14ac:dyDescent="0.2">
      <c r="A560" s="34"/>
      <c r="B560" s="52"/>
      <c r="C560" s="27"/>
      <c r="D560" s="391" t="s">
        <v>239</v>
      </c>
      <c r="E560" s="397">
        <v>955644</v>
      </c>
      <c r="F560" s="395">
        <f>SUM(F561:F565)</f>
        <v>15222</v>
      </c>
      <c r="G560" s="395">
        <f>SUM(G561:G565)</f>
        <v>3000</v>
      </c>
      <c r="H560" s="108">
        <f t="shared" si="100"/>
        <v>967866</v>
      </c>
    </row>
    <row r="561" spans="1:8" s="17" customFormat="1" ht="12" customHeight="1" x14ac:dyDescent="0.2">
      <c r="A561" s="34"/>
      <c r="B561" s="52"/>
      <c r="C561" s="65">
        <v>4010</v>
      </c>
      <c r="D561" s="86" t="s">
        <v>124</v>
      </c>
      <c r="E561" s="51">
        <v>623412</v>
      </c>
      <c r="F561" s="50">
        <v>10213</v>
      </c>
      <c r="G561" s="50"/>
      <c r="H561" s="50">
        <f t="shared" si="100"/>
        <v>633625</v>
      </c>
    </row>
    <row r="562" spans="1:8" s="17" customFormat="1" ht="12" customHeight="1" x14ac:dyDescent="0.2">
      <c r="A562" s="34"/>
      <c r="B562" s="52"/>
      <c r="C562" s="65">
        <v>4110</v>
      </c>
      <c r="D562" s="86" t="s">
        <v>147</v>
      </c>
      <c r="E562" s="51">
        <v>114464</v>
      </c>
      <c r="F562" s="50">
        <v>1759</v>
      </c>
      <c r="G562" s="50"/>
      <c r="H562" s="50">
        <f t="shared" si="100"/>
        <v>116223</v>
      </c>
    </row>
    <row r="563" spans="1:8" s="17" customFormat="1" ht="12" customHeight="1" x14ac:dyDescent="0.2">
      <c r="A563" s="34"/>
      <c r="B563" s="52"/>
      <c r="C563" s="65">
        <v>4120</v>
      </c>
      <c r="D563" s="86" t="s">
        <v>148</v>
      </c>
      <c r="E563" s="51">
        <v>14990</v>
      </c>
      <c r="F563" s="50">
        <v>250</v>
      </c>
      <c r="G563" s="50"/>
      <c r="H563" s="50">
        <f t="shared" si="100"/>
        <v>15240</v>
      </c>
    </row>
    <row r="564" spans="1:8" s="17" customFormat="1" ht="12" customHeight="1" x14ac:dyDescent="0.2">
      <c r="A564" s="34"/>
      <c r="B564" s="52"/>
      <c r="C564" s="55">
        <v>4300</v>
      </c>
      <c r="D564" s="59" t="s">
        <v>240</v>
      </c>
      <c r="E564" s="51">
        <v>54640</v>
      </c>
      <c r="F564" s="50">
        <v>3000</v>
      </c>
      <c r="G564" s="50"/>
      <c r="H564" s="50">
        <f t="shared" si="100"/>
        <v>57640</v>
      </c>
    </row>
    <row r="565" spans="1:8" s="17" customFormat="1" ht="22.15" customHeight="1" x14ac:dyDescent="0.2">
      <c r="A565" s="34"/>
      <c r="B565" s="33"/>
      <c r="C565" s="66">
        <v>4700</v>
      </c>
      <c r="D565" s="90" t="s">
        <v>110</v>
      </c>
      <c r="E565" s="50">
        <v>6000</v>
      </c>
      <c r="F565" s="51"/>
      <c r="G565" s="51">
        <v>3000</v>
      </c>
      <c r="H565" s="50">
        <f t="shared" si="100"/>
        <v>3000</v>
      </c>
    </row>
    <row r="566" spans="1:8" s="17" customFormat="1" ht="12" customHeight="1" x14ac:dyDescent="0.2">
      <c r="A566" s="34"/>
      <c r="B566" s="33"/>
      <c r="C566" s="59"/>
      <c r="D566" s="71" t="s">
        <v>241</v>
      </c>
      <c r="E566" s="50"/>
      <c r="F566" s="51"/>
      <c r="G566" s="51"/>
      <c r="H566" s="44"/>
    </row>
    <row r="567" spans="1:8" s="17" customFormat="1" ht="12" customHeight="1" x14ac:dyDescent="0.2">
      <c r="A567" s="34"/>
      <c r="B567" s="33"/>
      <c r="C567" s="27"/>
      <c r="D567" s="391" t="s">
        <v>242</v>
      </c>
      <c r="E567" s="115">
        <v>111700</v>
      </c>
      <c r="F567" s="395">
        <f>SUM(F568:F570)</f>
        <v>3500</v>
      </c>
      <c r="G567" s="395">
        <f>SUM(G568:G570)</f>
        <v>3500</v>
      </c>
      <c r="H567" s="108">
        <f t="shared" ref="H567:H570" si="102">SUM(E567+F567-G567)</f>
        <v>111700</v>
      </c>
    </row>
    <row r="568" spans="1:8" s="17" customFormat="1" ht="12" customHeight="1" x14ac:dyDescent="0.2">
      <c r="A568" s="34"/>
      <c r="B568" s="33"/>
      <c r="C568" s="55">
        <v>4210</v>
      </c>
      <c r="D568" s="71" t="s">
        <v>86</v>
      </c>
      <c r="E568" s="51">
        <v>12984</v>
      </c>
      <c r="F568" s="50"/>
      <c r="G568" s="50">
        <v>3500</v>
      </c>
      <c r="H568" s="50">
        <f t="shared" si="102"/>
        <v>9484</v>
      </c>
    </row>
    <row r="569" spans="1:8" s="17" customFormat="1" ht="12" customHeight="1" x14ac:dyDescent="0.2">
      <c r="A569" s="34"/>
      <c r="B569" s="33"/>
      <c r="C569" s="65">
        <v>4260</v>
      </c>
      <c r="D569" s="86" t="s">
        <v>116</v>
      </c>
      <c r="E569" s="51">
        <v>8800</v>
      </c>
      <c r="F569" s="50">
        <v>2000</v>
      </c>
      <c r="G569" s="50"/>
      <c r="H569" s="50">
        <f t="shared" si="102"/>
        <v>10800</v>
      </c>
    </row>
    <row r="570" spans="1:8" s="17" customFormat="1" ht="12" customHeight="1" x14ac:dyDescent="0.2">
      <c r="A570" s="34"/>
      <c r="B570" s="33"/>
      <c r="C570" s="55">
        <v>4300</v>
      </c>
      <c r="D570" s="59" t="s">
        <v>240</v>
      </c>
      <c r="E570" s="50">
        <v>11500</v>
      </c>
      <c r="F570" s="51">
        <v>1500</v>
      </c>
      <c r="G570" s="51"/>
      <c r="H570" s="50">
        <f t="shared" si="102"/>
        <v>13000</v>
      </c>
    </row>
    <row r="571" spans="1:8" s="17" customFormat="1" ht="12" customHeight="1" x14ac:dyDescent="0.2">
      <c r="A571" s="118"/>
      <c r="B571" s="52">
        <v>85295</v>
      </c>
      <c r="C571" s="27"/>
      <c r="D571" s="38" t="s">
        <v>40</v>
      </c>
      <c r="E571" s="84">
        <v>4538513.4400000004</v>
      </c>
      <c r="F571" s="40">
        <f t="shared" ref="F571:G571" si="103">SUM(F572)</f>
        <v>280000</v>
      </c>
      <c r="G571" s="40">
        <f t="shared" si="103"/>
        <v>0</v>
      </c>
      <c r="H571" s="39">
        <f t="shared" si="100"/>
        <v>4818513.4400000004</v>
      </c>
    </row>
    <row r="572" spans="1:8" s="17" customFormat="1" ht="12" customHeight="1" x14ac:dyDescent="0.2">
      <c r="A572" s="118"/>
      <c r="B572" s="33"/>
      <c r="C572" s="27"/>
      <c r="D572" s="391" t="s">
        <v>243</v>
      </c>
      <c r="E572" s="397">
        <v>4538513.4400000004</v>
      </c>
      <c r="F572" s="395">
        <f>SUM(F573:F573)</f>
        <v>280000</v>
      </c>
      <c r="G572" s="395">
        <f>SUM(G573:G573)</f>
        <v>0</v>
      </c>
      <c r="H572" s="108">
        <f t="shared" si="100"/>
        <v>4818513.4400000004</v>
      </c>
    </row>
    <row r="573" spans="1:8" s="17" customFormat="1" ht="12" customHeight="1" x14ac:dyDescent="0.2">
      <c r="A573" s="118"/>
      <c r="B573" s="33"/>
      <c r="C573" s="65">
        <v>3110</v>
      </c>
      <c r="D573" s="86" t="s">
        <v>190</v>
      </c>
      <c r="E573" s="50">
        <v>4449527.4400000004</v>
      </c>
      <c r="F573" s="50">
        <v>280000</v>
      </c>
      <c r="G573" s="50"/>
      <c r="H573" s="44">
        <f t="shared" si="100"/>
        <v>4729527.4400000004</v>
      </c>
    </row>
    <row r="574" spans="1:8" s="17" customFormat="1" ht="12" customHeight="1" thickBot="1" x14ac:dyDescent="0.25">
      <c r="A574" s="32">
        <v>853</v>
      </c>
      <c r="B574" s="33"/>
      <c r="C574" s="34"/>
      <c r="D574" s="35" t="s">
        <v>68</v>
      </c>
      <c r="E574" s="31">
        <v>297432</v>
      </c>
      <c r="F574" s="36">
        <f>SUM(F575)</f>
        <v>302634</v>
      </c>
      <c r="G574" s="36">
        <f>SUM(G575)</f>
        <v>284580</v>
      </c>
      <c r="H574" s="31">
        <f t="shared" ref="H574:H575" si="104">SUM(E574+F574-G574)</f>
        <v>315486</v>
      </c>
    </row>
    <row r="575" spans="1:8" s="17" customFormat="1" ht="12" customHeight="1" thickTop="1" x14ac:dyDescent="0.2">
      <c r="A575" s="34"/>
      <c r="B575" s="52">
        <v>85395</v>
      </c>
      <c r="C575" s="27"/>
      <c r="D575" s="38" t="s">
        <v>40</v>
      </c>
      <c r="E575" s="84">
        <v>297432</v>
      </c>
      <c r="F575" s="39">
        <f>SUM(F576)</f>
        <v>302634</v>
      </c>
      <c r="G575" s="39">
        <f>SUM(G576)</f>
        <v>284580</v>
      </c>
      <c r="H575" s="39">
        <f t="shared" si="104"/>
        <v>315486</v>
      </c>
    </row>
    <row r="576" spans="1:8" s="17" customFormat="1" ht="21.6" customHeight="1" x14ac:dyDescent="0.2">
      <c r="A576" s="34"/>
      <c r="B576" s="52"/>
      <c r="C576" s="60"/>
      <c r="D576" s="406" t="s">
        <v>244</v>
      </c>
      <c r="E576" s="115">
        <v>297432</v>
      </c>
      <c r="F576" s="388">
        <f>SUM(F577:F584)</f>
        <v>302634</v>
      </c>
      <c r="G576" s="388">
        <f>SUM(G577:G584)</f>
        <v>284580</v>
      </c>
      <c r="H576" s="115">
        <f>SUM(E576+F576-G576)</f>
        <v>315486</v>
      </c>
    </row>
    <row r="577" spans="1:8" s="17" customFormat="1" ht="12" customHeight="1" x14ac:dyDescent="0.2">
      <c r="A577" s="34"/>
      <c r="B577" s="52"/>
      <c r="C577" s="65">
        <v>3110</v>
      </c>
      <c r="D577" s="86" t="s">
        <v>190</v>
      </c>
      <c r="E577" s="51">
        <v>279000</v>
      </c>
      <c r="F577" s="44"/>
      <c r="G577" s="44">
        <v>279000</v>
      </c>
      <c r="H577" s="44">
        <f>SUM(E577+F577-G577)</f>
        <v>0</v>
      </c>
    </row>
    <row r="578" spans="1:8" s="17" customFormat="1" ht="21.75" customHeight="1" x14ac:dyDescent="0.2">
      <c r="A578" s="34"/>
      <c r="B578" s="52"/>
      <c r="C578" s="66">
        <v>3290</v>
      </c>
      <c r="D578" s="82" t="s">
        <v>192</v>
      </c>
      <c r="E578" s="43">
        <v>12600</v>
      </c>
      <c r="F578" s="44">
        <f>279000+12300+5400</f>
        <v>296700</v>
      </c>
      <c r="G578" s="44"/>
      <c r="H578" s="44">
        <f>SUM(E578+F578-G578)</f>
        <v>309300</v>
      </c>
    </row>
    <row r="579" spans="1:8" s="17" customFormat="1" ht="12" customHeight="1" x14ac:dyDescent="0.2">
      <c r="A579" s="34"/>
      <c r="B579" s="52"/>
      <c r="C579" s="65">
        <v>4010</v>
      </c>
      <c r="D579" s="86" t="s">
        <v>124</v>
      </c>
      <c r="E579" s="51">
        <v>4638</v>
      </c>
      <c r="F579" s="44"/>
      <c r="G579" s="44">
        <v>4638</v>
      </c>
      <c r="H579" s="44">
        <f t="shared" ref="H579:H584" si="105">SUM(E579+F579-G579)</f>
        <v>0</v>
      </c>
    </row>
    <row r="580" spans="1:8" s="17" customFormat="1" ht="12" customHeight="1" x14ac:dyDescent="0.2">
      <c r="A580" s="34"/>
      <c r="B580" s="52"/>
      <c r="C580" s="65">
        <v>4110</v>
      </c>
      <c r="D580" s="86" t="s">
        <v>147</v>
      </c>
      <c r="E580" s="51">
        <v>815</v>
      </c>
      <c r="F580" s="44"/>
      <c r="G580" s="44">
        <v>815</v>
      </c>
      <c r="H580" s="44">
        <f t="shared" si="105"/>
        <v>0</v>
      </c>
    </row>
    <row r="581" spans="1:8" s="17" customFormat="1" ht="12" customHeight="1" x14ac:dyDescent="0.2">
      <c r="A581" s="34"/>
      <c r="B581" s="52"/>
      <c r="C581" s="65">
        <v>4120</v>
      </c>
      <c r="D581" s="86" t="s">
        <v>168</v>
      </c>
      <c r="E581" s="51">
        <v>115</v>
      </c>
      <c r="F581" s="44"/>
      <c r="G581" s="44">
        <v>115</v>
      </c>
      <c r="H581" s="44">
        <f t="shared" si="105"/>
        <v>0</v>
      </c>
    </row>
    <row r="582" spans="1:8" s="17" customFormat="1" ht="12" customHeight="1" x14ac:dyDescent="0.2">
      <c r="A582" s="34"/>
      <c r="B582" s="52"/>
      <c r="C582" s="65">
        <v>4710</v>
      </c>
      <c r="D582" s="71" t="s">
        <v>100</v>
      </c>
      <c r="E582" s="43">
        <v>12</v>
      </c>
      <c r="F582" s="44"/>
      <c r="G582" s="44">
        <v>12</v>
      </c>
      <c r="H582" s="44">
        <f t="shared" si="105"/>
        <v>0</v>
      </c>
    </row>
    <row r="583" spans="1:8" s="17" customFormat="1" ht="20.25" customHeight="1" x14ac:dyDescent="0.2">
      <c r="A583" s="34"/>
      <c r="B583" s="52"/>
      <c r="C583" s="66">
        <v>4740</v>
      </c>
      <c r="D583" s="82" t="s">
        <v>129</v>
      </c>
      <c r="E583" s="50">
        <v>210</v>
      </c>
      <c r="F583" s="44">
        <f>4638+205+90</f>
        <v>4933</v>
      </c>
      <c r="G583" s="44"/>
      <c r="H583" s="44">
        <f t="shared" si="105"/>
        <v>5143</v>
      </c>
    </row>
    <row r="584" spans="1:8" s="17" customFormat="1" ht="21.6" customHeight="1" x14ac:dyDescent="0.2">
      <c r="A584" s="34"/>
      <c r="B584" s="52"/>
      <c r="C584" s="66">
        <v>4850</v>
      </c>
      <c r="D584" s="82" t="s">
        <v>131</v>
      </c>
      <c r="E584" s="50">
        <v>42</v>
      </c>
      <c r="F584" s="44">
        <f>815+115+12+41+18</f>
        <v>1001</v>
      </c>
      <c r="G584" s="44"/>
      <c r="H584" s="44">
        <f t="shared" si="105"/>
        <v>1043</v>
      </c>
    </row>
    <row r="585" spans="1:8" s="17" customFormat="1" ht="12" customHeight="1" thickBot="1" x14ac:dyDescent="0.25">
      <c r="A585" s="33">
        <v>855</v>
      </c>
      <c r="B585" s="33"/>
      <c r="C585" s="34"/>
      <c r="D585" s="35" t="s">
        <v>47</v>
      </c>
      <c r="E585" s="36">
        <v>70385427</v>
      </c>
      <c r="F585" s="31">
        <f>SUM(F588,F598,F604)</f>
        <v>896306</v>
      </c>
      <c r="G585" s="31">
        <f>SUM(G588,G598,G604)</f>
        <v>1715</v>
      </c>
      <c r="H585" s="31">
        <f t="shared" si="100"/>
        <v>71280018</v>
      </c>
    </row>
    <row r="586" spans="1:8" s="17" customFormat="1" ht="12" customHeight="1" thickTop="1" x14ac:dyDescent="0.2">
      <c r="A586" s="33"/>
      <c r="B586" s="59">
        <v>85502</v>
      </c>
      <c r="C586" s="60"/>
      <c r="D586" s="75" t="s">
        <v>70</v>
      </c>
      <c r="E586" s="50"/>
      <c r="F586" s="50"/>
      <c r="G586" s="119"/>
      <c r="H586" s="44"/>
    </row>
    <row r="587" spans="1:8" s="17" customFormat="1" ht="12" customHeight="1" x14ac:dyDescent="0.2">
      <c r="A587" s="33"/>
      <c r="B587" s="59"/>
      <c r="C587" s="60"/>
      <c r="D587" s="75" t="s">
        <v>71</v>
      </c>
      <c r="E587" s="50"/>
      <c r="F587" s="50"/>
      <c r="G587" s="119"/>
      <c r="H587" s="44"/>
    </row>
    <row r="588" spans="1:8" s="17" customFormat="1" ht="12" customHeight="1" x14ac:dyDescent="0.2">
      <c r="A588" s="33"/>
      <c r="B588" s="59"/>
      <c r="C588" s="60"/>
      <c r="D588" s="77" t="s">
        <v>72</v>
      </c>
      <c r="E588" s="40">
        <v>33401400</v>
      </c>
      <c r="F588" s="40">
        <f t="shared" ref="F588:G588" si="106">SUM(F589)</f>
        <v>888796</v>
      </c>
      <c r="G588" s="40">
        <f t="shared" si="106"/>
        <v>1715</v>
      </c>
      <c r="H588" s="39">
        <f t="shared" ref="H588:H601" si="107">SUM(E588+F588-G588)</f>
        <v>34288481</v>
      </c>
    </row>
    <row r="589" spans="1:8" s="17" customFormat="1" ht="12" customHeight="1" x14ac:dyDescent="0.2">
      <c r="A589" s="33"/>
      <c r="B589" s="52"/>
      <c r="C589" s="27"/>
      <c r="D589" s="391" t="s">
        <v>177</v>
      </c>
      <c r="E589" s="395">
        <v>33401400</v>
      </c>
      <c r="F589" s="395">
        <f>SUM(F590:F597)</f>
        <v>888796</v>
      </c>
      <c r="G589" s="395">
        <f>SUM(G590:G597)</f>
        <v>1715</v>
      </c>
      <c r="H589" s="108">
        <f t="shared" si="107"/>
        <v>34288481</v>
      </c>
    </row>
    <row r="590" spans="1:8" s="17" customFormat="1" ht="12" customHeight="1" x14ac:dyDescent="0.2">
      <c r="A590" s="33"/>
      <c r="B590" s="33"/>
      <c r="C590" s="65">
        <v>3110</v>
      </c>
      <c r="D590" s="86" t="s">
        <v>190</v>
      </c>
      <c r="E590" s="50">
        <v>30053209</v>
      </c>
      <c r="F590" s="51">
        <v>500555</v>
      </c>
      <c r="G590" s="51"/>
      <c r="H590" s="44">
        <f t="shared" si="107"/>
        <v>30553764</v>
      </c>
    </row>
    <row r="591" spans="1:8" s="17" customFormat="1" ht="12" customHeight="1" x14ac:dyDescent="0.2">
      <c r="A591" s="33"/>
      <c r="B591" s="33"/>
      <c r="C591" s="65">
        <v>4010</v>
      </c>
      <c r="D591" s="86" t="s">
        <v>124</v>
      </c>
      <c r="E591" s="50">
        <v>669351</v>
      </c>
      <c r="F591" s="51">
        <v>46245</v>
      </c>
      <c r="G591" s="51"/>
      <c r="H591" s="44">
        <f t="shared" si="107"/>
        <v>715596</v>
      </c>
    </row>
    <row r="592" spans="1:8" s="17" customFormat="1" ht="12" customHeight="1" x14ac:dyDescent="0.2">
      <c r="A592" s="33"/>
      <c r="B592" s="33"/>
      <c r="C592" s="65">
        <v>4040</v>
      </c>
      <c r="D592" s="86" t="s">
        <v>125</v>
      </c>
      <c r="E592" s="50">
        <v>63105</v>
      </c>
      <c r="F592" s="51"/>
      <c r="G592" s="51">
        <v>1515</v>
      </c>
      <c r="H592" s="44">
        <f t="shared" si="107"/>
        <v>61590</v>
      </c>
    </row>
    <row r="593" spans="1:8" s="17" customFormat="1" ht="12" customHeight="1" x14ac:dyDescent="0.2">
      <c r="A593" s="33"/>
      <c r="B593" s="33"/>
      <c r="C593" s="65">
        <v>4110</v>
      </c>
      <c r="D593" s="86" t="s">
        <v>147</v>
      </c>
      <c r="E593" s="50">
        <v>2564395</v>
      </c>
      <c r="F593" s="51">
        <v>329358</v>
      </c>
      <c r="G593" s="51"/>
      <c r="H593" s="44">
        <f t="shared" si="107"/>
        <v>2893753</v>
      </c>
    </row>
    <row r="594" spans="1:8" s="17" customFormat="1" ht="12" customHeight="1" x14ac:dyDescent="0.2">
      <c r="A594" s="33"/>
      <c r="B594" s="33"/>
      <c r="C594" s="65">
        <v>4120</v>
      </c>
      <c r="D594" s="86" t="s">
        <v>148</v>
      </c>
      <c r="E594" s="50">
        <v>17945</v>
      </c>
      <c r="F594" s="51">
        <v>1105</v>
      </c>
      <c r="G594" s="51"/>
      <c r="H594" s="44">
        <f t="shared" si="107"/>
        <v>19050</v>
      </c>
    </row>
    <row r="595" spans="1:8" s="17" customFormat="1" ht="12" customHeight="1" x14ac:dyDescent="0.2">
      <c r="A595" s="33"/>
      <c r="B595" s="33"/>
      <c r="C595" s="55">
        <v>4300</v>
      </c>
      <c r="D595" s="59" t="s">
        <v>99</v>
      </c>
      <c r="E595" s="50">
        <v>2190</v>
      </c>
      <c r="F595" s="51">
        <v>4290</v>
      </c>
      <c r="G595" s="51"/>
      <c r="H595" s="44">
        <f t="shared" si="107"/>
        <v>6480</v>
      </c>
    </row>
    <row r="596" spans="1:8" s="17" customFormat="1" ht="12" customHeight="1" x14ac:dyDescent="0.2">
      <c r="A596" s="33"/>
      <c r="B596" s="33"/>
      <c r="C596" s="65">
        <v>4440</v>
      </c>
      <c r="D596" s="86" t="s">
        <v>245</v>
      </c>
      <c r="E596" s="50">
        <v>31005</v>
      </c>
      <c r="F596" s="51">
        <v>7243</v>
      </c>
      <c r="G596" s="51"/>
      <c r="H596" s="44">
        <f t="shared" si="107"/>
        <v>38248</v>
      </c>
    </row>
    <row r="597" spans="1:8" s="17" customFormat="1" ht="12" customHeight="1" x14ac:dyDescent="0.2">
      <c r="A597" s="33"/>
      <c r="B597" s="33"/>
      <c r="C597" s="65">
        <v>4710</v>
      </c>
      <c r="D597" s="71" t="s">
        <v>100</v>
      </c>
      <c r="E597" s="50">
        <v>200</v>
      </c>
      <c r="F597" s="51"/>
      <c r="G597" s="51">
        <v>200</v>
      </c>
      <c r="H597" s="44">
        <f t="shared" si="107"/>
        <v>0</v>
      </c>
    </row>
    <row r="598" spans="1:8" s="17" customFormat="1" ht="12" customHeight="1" x14ac:dyDescent="0.2">
      <c r="A598" s="33"/>
      <c r="B598" s="65">
        <v>85503</v>
      </c>
      <c r="C598" s="52"/>
      <c r="D598" s="38" t="s">
        <v>73</v>
      </c>
      <c r="E598" s="84">
        <v>1900</v>
      </c>
      <c r="F598" s="40">
        <f t="shared" ref="F598:G598" si="108">SUM(F599)</f>
        <v>1000</v>
      </c>
      <c r="G598" s="40">
        <f t="shared" si="108"/>
        <v>0</v>
      </c>
      <c r="H598" s="39">
        <f t="shared" si="107"/>
        <v>2900</v>
      </c>
    </row>
    <row r="599" spans="1:8" s="17" customFormat="1" ht="12" customHeight="1" x14ac:dyDescent="0.2">
      <c r="A599" s="33"/>
      <c r="B599" s="52"/>
      <c r="C599" s="27"/>
      <c r="D599" s="398" t="s">
        <v>178</v>
      </c>
      <c r="E599" s="397">
        <v>1900</v>
      </c>
      <c r="F599" s="395">
        <f>SUM(F600:F601)</f>
        <v>1000</v>
      </c>
      <c r="G599" s="395">
        <f>SUM(G600:G601)</f>
        <v>0</v>
      </c>
      <c r="H599" s="108">
        <f t="shared" si="107"/>
        <v>2900</v>
      </c>
    </row>
    <row r="600" spans="1:8" s="17" customFormat="1" ht="12" customHeight="1" x14ac:dyDescent="0.2">
      <c r="A600" s="33"/>
      <c r="B600" s="33"/>
      <c r="C600" s="55">
        <v>4210</v>
      </c>
      <c r="D600" s="71" t="s">
        <v>86</v>
      </c>
      <c r="E600" s="50">
        <v>500</v>
      </c>
      <c r="F600" s="51">
        <v>500</v>
      </c>
      <c r="G600" s="51"/>
      <c r="H600" s="44">
        <f t="shared" si="107"/>
        <v>1000</v>
      </c>
    </row>
    <row r="601" spans="1:8" s="17" customFormat="1" ht="21.75" customHeight="1" x14ac:dyDescent="0.2">
      <c r="A601" s="79"/>
      <c r="B601" s="79"/>
      <c r="C601" s="100">
        <v>4700</v>
      </c>
      <c r="D601" s="117" t="s">
        <v>110</v>
      </c>
      <c r="E601" s="81">
        <v>400</v>
      </c>
      <c r="F601" s="84">
        <v>500</v>
      </c>
      <c r="G601" s="84"/>
      <c r="H601" s="40">
        <f t="shared" si="107"/>
        <v>900</v>
      </c>
    </row>
    <row r="602" spans="1:8" s="17" customFormat="1" ht="12" customHeight="1" x14ac:dyDescent="0.2">
      <c r="A602" s="26"/>
      <c r="B602" s="52">
        <v>85513</v>
      </c>
      <c r="C602" s="27"/>
      <c r="D602" s="59" t="s">
        <v>74</v>
      </c>
      <c r="E602" s="44"/>
      <c r="F602" s="44"/>
      <c r="G602" s="44"/>
      <c r="H602" s="44"/>
    </row>
    <row r="603" spans="1:8" s="17" customFormat="1" ht="12" customHeight="1" x14ac:dyDescent="0.2">
      <c r="A603" s="26"/>
      <c r="B603" s="26"/>
      <c r="C603" s="27"/>
      <c r="D603" s="78" t="s">
        <v>75</v>
      </c>
      <c r="E603" s="44"/>
      <c r="F603" s="44"/>
      <c r="G603" s="44"/>
      <c r="H603" s="44"/>
    </row>
    <row r="604" spans="1:8" s="17" customFormat="1" ht="12" customHeight="1" x14ac:dyDescent="0.2">
      <c r="A604" s="26"/>
      <c r="B604" s="52"/>
      <c r="C604" s="27"/>
      <c r="D604" s="38" t="s">
        <v>76</v>
      </c>
      <c r="E604" s="39">
        <v>271281</v>
      </c>
      <c r="F604" s="40">
        <f t="shared" ref="F604:G604" si="109">SUM(F605)</f>
        <v>6510</v>
      </c>
      <c r="G604" s="40">
        <f t="shared" si="109"/>
        <v>0</v>
      </c>
      <c r="H604" s="39">
        <f>SUM(E604+F604-G604)</f>
        <v>277791</v>
      </c>
    </row>
    <row r="605" spans="1:8" s="17" customFormat="1" ht="12" customHeight="1" x14ac:dyDescent="0.2">
      <c r="A605" s="26"/>
      <c r="B605" s="52"/>
      <c r="C605" s="27"/>
      <c r="D605" s="391" t="s">
        <v>177</v>
      </c>
      <c r="E605" s="115">
        <v>271281</v>
      </c>
      <c r="F605" s="388">
        <f>SUM(F606)</f>
        <v>6510</v>
      </c>
      <c r="G605" s="388">
        <f>SUM(G606)</f>
        <v>0</v>
      </c>
      <c r="H605" s="115">
        <f>SUM(E605+F605-G605)</f>
        <v>277791</v>
      </c>
    </row>
    <row r="606" spans="1:8" s="17" customFormat="1" ht="12" customHeight="1" x14ac:dyDescent="0.2">
      <c r="A606" s="26"/>
      <c r="B606" s="33"/>
      <c r="C606" s="65">
        <v>4130</v>
      </c>
      <c r="D606" s="86" t="s">
        <v>246</v>
      </c>
      <c r="E606" s="50">
        <v>271281</v>
      </c>
      <c r="F606" s="44">
        <v>6510</v>
      </c>
      <c r="G606" s="44"/>
      <c r="H606" s="50">
        <f>SUM(E606+F606-G606)</f>
        <v>277791</v>
      </c>
    </row>
    <row r="607" spans="1:8" s="17" customFormat="1" ht="18" customHeight="1" thickBot="1" x14ac:dyDescent="0.25">
      <c r="A607" s="118"/>
      <c r="B607" s="52"/>
      <c r="C607" s="65"/>
      <c r="D607" s="30" t="s">
        <v>247</v>
      </c>
      <c r="E607" s="31">
        <v>19112576.710000001</v>
      </c>
      <c r="F607" s="31">
        <f>SUM(F608,F620,F630)</f>
        <v>1323179.81</v>
      </c>
      <c r="G607" s="31">
        <f>SUM(G608,G620,G630)</f>
        <v>102723</v>
      </c>
      <c r="H607" s="31">
        <f>SUM(E607+F607-G607)</f>
        <v>20333033.52</v>
      </c>
    </row>
    <row r="608" spans="1:8" s="17" customFormat="1" ht="18.75" customHeight="1" thickTop="1" thickBot="1" x14ac:dyDescent="0.25">
      <c r="A608" s="94">
        <v>750</v>
      </c>
      <c r="B608" s="120"/>
      <c r="C608" s="121"/>
      <c r="D608" s="122" t="s">
        <v>53</v>
      </c>
      <c r="E608" s="31">
        <v>146000</v>
      </c>
      <c r="F608" s="36">
        <f t="shared" ref="F608:G609" si="110">SUM(F609)</f>
        <v>0</v>
      </c>
      <c r="G608" s="36">
        <f t="shared" si="110"/>
        <v>6845</v>
      </c>
      <c r="H608" s="31">
        <f t="shared" ref="H608:H609" si="111">SUM(E608+F608-G608)</f>
        <v>139155</v>
      </c>
    </row>
    <row r="609" spans="1:8" s="17" customFormat="1" ht="12" customHeight="1" thickTop="1" x14ac:dyDescent="0.2">
      <c r="A609" s="113"/>
      <c r="B609" s="59">
        <v>75045</v>
      </c>
      <c r="C609" s="60"/>
      <c r="D609" s="77" t="s">
        <v>78</v>
      </c>
      <c r="E609" s="39">
        <v>35000</v>
      </c>
      <c r="F609" s="40">
        <f t="shared" si="110"/>
        <v>0</v>
      </c>
      <c r="G609" s="40">
        <f t="shared" si="110"/>
        <v>6845</v>
      </c>
      <c r="H609" s="39">
        <f t="shared" si="111"/>
        <v>28155</v>
      </c>
    </row>
    <row r="610" spans="1:8" s="17" customFormat="1" ht="12" customHeight="1" x14ac:dyDescent="0.2">
      <c r="A610" s="113"/>
      <c r="B610" s="120"/>
      <c r="C610" s="60"/>
      <c r="D610" s="394" t="s">
        <v>248</v>
      </c>
      <c r="E610" s="108">
        <v>35000</v>
      </c>
      <c r="F610" s="388">
        <f>SUM(F611:F618)</f>
        <v>0</v>
      </c>
      <c r="G610" s="388">
        <f>SUM(G611:G618)</f>
        <v>6845</v>
      </c>
      <c r="H610" s="115">
        <f>SUM(E610+F610-G610)</f>
        <v>28155</v>
      </c>
    </row>
    <row r="611" spans="1:8" s="17" customFormat="1" ht="12" customHeight="1" x14ac:dyDescent="0.2">
      <c r="A611" s="113"/>
      <c r="B611" s="120"/>
      <c r="C611" s="55">
        <v>4110</v>
      </c>
      <c r="D611" s="71" t="s">
        <v>147</v>
      </c>
      <c r="E611" s="51">
        <v>2926</v>
      </c>
      <c r="F611" s="50"/>
      <c r="G611" s="50">
        <v>1533.61</v>
      </c>
      <c r="H611" s="44">
        <f t="shared" ref="H611:H618" si="112">SUM(E611+F611-G611)</f>
        <v>1392.39</v>
      </c>
    </row>
    <row r="612" spans="1:8" s="17" customFormat="1" ht="12" customHeight="1" x14ac:dyDescent="0.2">
      <c r="A612" s="113"/>
      <c r="B612" s="120"/>
      <c r="C612" s="55">
        <v>4120</v>
      </c>
      <c r="D612" s="71" t="s">
        <v>148</v>
      </c>
      <c r="E612" s="51">
        <v>285</v>
      </c>
      <c r="F612" s="50"/>
      <c r="G612" s="50">
        <v>218.85</v>
      </c>
      <c r="H612" s="44">
        <f t="shared" si="112"/>
        <v>66.150000000000006</v>
      </c>
    </row>
    <row r="613" spans="1:8" s="17" customFormat="1" ht="12" customHeight="1" x14ac:dyDescent="0.2">
      <c r="A613" s="113"/>
      <c r="B613" s="120"/>
      <c r="C613" s="55">
        <v>4170</v>
      </c>
      <c r="D613" s="71" t="s">
        <v>249</v>
      </c>
      <c r="E613" s="51">
        <v>13500</v>
      </c>
      <c r="F613" s="50"/>
      <c r="G613" s="50">
        <v>122.73</v>
      </c>
      <c r="H613" s="44">
        <f t="shared" si="112"/>
        <v>13377.27</v>
      </c>
    </row>
    <row r="614" spans="1:8" s="17" customFormat="1" ht="12" customHeight="1" x14ac:dyDescent="0.2">
      <c r="A614" s="113"/>
      <c r="B614" s="120"/>
      <c r="C614" s="55">
        <v>4210</v>
      </c>
      <c r="D614" s="71" t="s">
        <v>86</v>
      </c>
      <c r="E614" s="51">
        <v>7700</v>
      </c>
      <c r="F614" s="50"/>
      <c r="G614" s="50">
        <v>3861.1</v>
      </c>
      <c r="H614" s="44">
        <f t="shared" si="112"/>
        <v>3838.9</v>
      </c>
    </row>
    <row r="615" spans="1:8" s="17" customFormat="1" ht="12" customHeight="1" x14ac:dyDescent="0.2">
      <c r="A615" s="113"/>
      <c r="B615" s="120"/>
      <c r="C615" s="27" t="s">
        <v>250</v>
      </c>
      <c r="D615" s="78" t="s">
        <v>251</v>
      </c>
      <c r="E615" s="51">
        <v>1311</v>
      </c>
      <c r="F615" s="50"/>
      <c r="G615" s="50">
        <v>694.32</v>
      </c>
      <c r="H615" s="44">
        <f t="shared" si="112"/>
        <v>616.67999999999995</v>
      </c>
    </row>
    <row r="616" spans="1:8" s="17" customFormat="1" ht="12" customHeight="1" x14ac:dyDescent="0.2">
      <c r="A616" s="113"/>
      <c r="B616" s="120"/>
      <c r="C616" s="55">
        <v>4270</v>
      </c>
      <c r="D616" s="71" t="s">
        <v>104</v>
      </c>
      <c r="E616" s="51">
        <v>70</v>
      </c>
      <c r="F616" s="50"/>
      <c r="G616" s="50">
        <v>70</v>
      </c>
      <c r="H616" s="44">
        <f t="shared" si="112"/>
        <v>0</v>
      </c>
    </row>
    <row r="617" spans="1:8" s="17" customFormat="1" ht="12" customHeight="1" x14ac:dyDescent="0.2">
      <c r="A617" s="113"/>
      <c r="B617" s="120"/>
      <c r="C617" s="59">
        <v>4300</v>
      </c>
      <c r="D617" s="71" t="s">
        <v>99</v>
      </c>
      <c r="E617" s="51">
        <v>9000</v>
      </c>
      <c r="F617" s="50"/>
      <c r="G617" s="50">
        <v>276.89</v>
      </c>
      <c r="H617" s="44">
        <f t="shared" si="112"/>
        <v>8723.11</v>
      </c>
    </row>
    <row r="618" spans="1:8" s="17" customFormat="1" ht="12" customHeight="1" x14ac:dyDescent="0.2">
      <c r="A618" s="113"/>
      <c r="B618" s="120"/>
      <c r="C618" s="65">
        <v>4710</v>
      </c>
      <c r="D618" s="71" t="s">
        <v>100</v>
      </c>
      <c r="E618" s="51">
        <v>108</v>
      </c>
      <c r="F618" s="50"/>
      <c r="G618" s="50">
        <v>67.5</v>
      </c>
      <c r="H618" s="44">
        <f t="shared" si="112"/>
        <v>40.5</v>
      </c>
    </row>
    <row r="619" spans="1:8" s="17" customFormat="1" ht="12.75" customHeight="1" x14ac:dyDescent="0.2">
      <c r="A619" s="33">
        <v>754</v>
      </c>
      <c r="B619" s="33"/>
      <c r="C619" s="34"/>
      <c r="D619" s="33" t="s">
        <v>111</v>
      </c>
      <c r="E619" s="50"/>
      <c r="F619" s="51"/>
      <c r="G619" s="51"/>
      <c r="H619" s="44"/>
    </row>
    <row r="620" spans="1:8" s="17" customFormat="1" ht="11.25" customHeight="1" thickBot="1" x14ac:dyDescent="0.25">
      <c r="A620" s="33"/>
      <c r="B620" s="33"/>
      <c r="C620" s="34"/>
      <c r="D620" s="33" t="s">
        <v>57</v>
      </c>
      <c r="E620" s="36">
        <v>15735157</v>
      </c>
      <c r="F620" s="31">
        <f>SUM(F621)</f>
        <v>1312028</v>
      </c>
      <c r="G620" s="31">
        <f>SUM(G621)</f>
        <v>95878</v>
      </c>
      <c r="H620" s="31">
        <f>SUM(E620+F620-G620)</f>
        <v>16951307</v>
      </c>
    </row>
    <row r="621" spans="1:8" s="17" customFormat="1" ht="12" customHeight="1" thickTop="1" x14ac:dyDescent="0.2">
      <c r="A621" s="33"/>
      <c r="B621" s="52">
        <v>75411</v>
      </c>
      <c r="C621" s="65"/>
      <c r="D621" s="99" t="s">
        <v>252</v>
      </c>
      <c r="E621" s="40">
        <v>15735157</v>
      </c>
      <c r="F621" s="40">
        <f>SUM(F622)</f>
        <v>1312028</v>
      </c>
      <c r="G621" s="40">
        <f>SUM(G622)</f>
        <v>95878</v>
      </c>
      <c r="H621" s="39">
        <f>SUM(E621+F621-G621)</f>
        <v>16951307</v>
      </c>
    </row>
    <row r="622" spans="1:8" s="17" customFormat="1" ht="12" customHeight="1" x14ac:dyDescent="0.2">
      <c r="A622" s="33"/>
      <c r="B622" s="52"/>
      <c r="C622" s="65"/>
      <c r="D622" s="392" t="s">
        <v>253</v>
      </c>
      <c r="E622" s="395">
        <v>15735157</v>
      </c>
      <c r="F622" s="395">
        <f>SUM(F623:F629)</f>
        <v>1312028</v>
      </c>
      <c r="G622" s="395">
        <f>SUM(G623:G629)</f>
        <v>95878</v>
      </c>
      <c r="H622" s="108">
        <f>SUM(E622+F622-G622)</f>
        <v>16951307</v>
      </c>
    </row>
    <row r="623" spans="1:8" s="17" customFormat="1" ht="22.5" customHeight="1" x14ac:dyDescent="0.2">
      <c r="A623" s="33"/>
      <c r="B623" s="52"/>
      <c r="C623" s="66">
        <v>3070</v>
      </c>
      <c r="D623" s="82" t="s">
        <v>254</v>
      </c>
      <c r="E623" s="50">
        <v>492603</v>
      </c>
      <c r="F623" s="50">
        <v>16888</v>
      </c>
      <c r="G623" s="50">
        <v>20000</v>
      </c>
      <c r="H623" s="44">
        <f t="shared" ref="H623:H629" si="113">SUM(E623+F623-G623)</f>
        <v>489491</v>
      </c>
    </row>
    <row r="624" spans="1:8" s="17" customFormat="1" ht="12" customHeight="1" x14ac:dyDescent="0.2">
      <c r="A624" s="33"/>
      <c r="B624" s="52"/>
      <c r="C624" s="65">
        <v>4050</v>
      </c>
      <c r="D624" s="123" t="s">
        <v>255</v>
      </c>
      <c r="E624" s="50">
        <v>10857458</v>
      </c>
      <c r="F624" s="50">
        <v>168858</v>
      </c>
      <c r="G624" s="50">
        <v>75878</v>
      </c>
      <c r="H624" s="44">
        <f t="shared" si="113"/>
        <v>10950438</v>
      </c>
    </row>
    <row r="625" spans="1:8" s="17" customFormat="1" ht="21.75" customHeight="1" x14ac:dyDescent="0.2">
      <c r="A625" s="33"/>
      <c r="B625" s="52"/>
      <c r="C625" s="66">
        <v>4060</v>
      </c>
      <c r="D625" s="124" t="s">
        <v>256</v>
      </c>
      <c r="E625" s="50">
        <v>283279</v>
      </c>
      <c r="F625" s="50">
        <f>2835+75878</f>
        <v>78713</v>
      </c>
      <c r="G625" s="50"/>
      <c r="H625" s="44">
        <f t="shared" si="113"/>
        <v>361992</v>
      </c>
    </row>
    <row r="626" spans="1:8" s="17" customFormat="1" ht="22.5" customHeight="1" x14ac:dyDescent="0.2">
      <c r="A626" s="33"/>
      <c r="B626" s="52"/>
      <c r="C626" s="89">
        <v>4180</v>
      </c>
      <c r="D626" s="125" t="s">
        <v>257</v>
      </c>
      <c r="E626" s="50">
        <v>1928103</v>
      </c>
      <c r="F626" s="50">
        <v>930732</v>
      </c>
      <c r="G626" s="50"/>
      <c r="H626" s="44">
        <f t="shared" si="113"/>
        <v>2858835</v>
      </c>
    </row>
    <row r="627" spans="1:8" s="17" customFormat="1" ht="12" customHeight="1" x14ac:dyDescent="0.2">
      <c r="A627" s="113"/>
      <c r="B627" s="59"/>
      <c r="C627" s="60" t="s">
        <v>85</v>
      </c>
      <c r="D627" s="71" t="s">
        <v>86</v>
      </c>
      <c r="E627" s="50">
        <v>253323</v>
      </c>
      <c r="F627" s="50">
        <f>70000+20000</f>
        <v>90000</v>
      </c>
      <c r="G627" s="50"/>
      <c r="H627" s="44">
        <f t="shared" si="113"/>
        <v>343323</v>
      </c>
    </row>
    <row r="628" spans="1:8" s="17" customFormat="1" ht="12" customHeight="1" x14ac:dyDescent="0.2">
      <c r="A628" s="113"/>
      <c r="B628" s="59"/>
      <c r="C628" s="65">
        <v>4300</v>
      </c>
      <c r="D628" s="86" t="s">
        <v>99</v>
      </c>
      <c r="E628" s="50">
        <v>114390</v>
      </c>
      <c r="F628" s="50">
        <v>21837</v>
      </c>
      <c r="G628" s="50"/>
      <c r="H628" s="44">
        <f t="shared" si="113"/>
        <v>136227</v>
      </c>
    </row>
    <row r="629" spans="1:8" s="17" customFormat="1" ht="20.25" customHeight="1" x14ac:dyDescent="0.2">
      <c r="A629" s="113"/>
      <c r="B629" s="59"/>
      <c r="C629" s="66">
        <v>4390</v>
      </c>
      <c r="D629" s="82" t="s">
        <v>87</v>
      </c>
      <c r="E629" s="50">
        <v>1200</v>
      </c>
      <c r="F629" s="50">
        <v>5000</v>
      </c>
      <c r="G629" s="50"/>
      <c r="H629" s="44">
        <f t="shared" si="113"/>
        <v>6200</v>
      </c>
    </row>
    <row r="630" spans="1:8" s="17" customFormat="1" ht="12" customHeight="1" thickBot="1" x14ac:dyDescent="0.25">
      <c r="A630" s="32">
        <v>801</v>
      </c>
      <c r="B630" s="33"/>
      <c r="C630" s="34"/>
      <c r="D630" s="35" t="s">
        <v>29</v>
      </c>
      <c r="E630" s="31">
        <v>19256.91</v>
      </c>
      <c r="F630" s="31">
        <f>SUM(F633)</f>
        <v>11151.81</v>
      </c>
      <c r="G630" s="31">
        <f>SUM(G633)</f>
        <v>0</v>
      </c>
      <c r="H630" s="31">
        <f>SUM(E630+F630-G630)</f>
        <v>30408.720000000001</v>
      </c>
    </row>
    <row r="631" spans="1:8" s="17" customFormat="1" ht="12" customHeight="1" thickTop="1" x14ac:dyDescent="0.2">
      <c r="A631" s="32"/>
      <c r="B631" s="52">
        <v>80153</v>
      </c>
      <c r="C631" s="34"/>
      <c r="D631" s="71" t="s">
        <v>62</v>
      </c>
      <c r="E631" s="72"/>
      <c r="F631" s="72"/>
      <c r="G631" s="72"/>
      <c r="H631" s="72"/>
    </row>
    <row r="632" spans="1:8" s="17" customFormat="1" ht="12" customHeight="1" x14ac:dyDescent="0.2">
      <c r="A632" s="32"/>
      <c r="B632" s="33"/>
      <c r="C632" s="34"/>
      <c r="D632" s="71" t="s">
        <v>63</v>
      </c>
      <c r="E632" s="72"/>
      <c r="F632" s="72"/>
      <c r="G632" s="72"/>
      <c r="H632" s="72"/>
    </row>
    <row r="633" spans="1:8" s="17" customFormat="1" ht="12" customHeight="1" x14ac:dyDescent="0.2">
      <c r="A633" s="33"/>
      <c r="B633" s="52"/>
      <c r="C633" s="27"/>
      <c r="D633" s="38" t="s">
        <v>64</v>
      </c>
      <c r="E633" s="39">
        <v>19256.91</v>
      </c>
      <c r="F633" s="39">
        <f>SUM(F634,F636)</f>
        <v>11151.81</v>
      </c>
      <c r="G633" s="39">
        <f>SUM(G634,G636)</f>
        <v>0</v>
      </c>
      <c r="H633" s="39">
        <f>SUM(E633+F633-G633)</f>
        <v>30408.720000000001</v>
      </c>
    </row>
    <row r="634" spans="1:8" s="17" customFormat="1" ht="12" customHeight="1" x14ac:dyDescent="0.2">
      <c r="A634" s="68"/>
      <c r="B634" s="52"/>
      <c r="C634" s="27"/>
      <c r="D634" s="391" t="s">
        <v>122</v>
      </c>
      <c r="E634" s="115">
        <v>19066</v>
      </c>
      <c r="F634" s="388">
        <f>SUM(F635:F635)</f>
        <v>11041</v>
      </c>
      <c r="G634" s="388">
        <f>SUM(G635:G635)</f>
        <v>0</v>
      </c>
      <c r="H634" s="115">
        <f>SUM(E634+F634-G634)</f>
        <v>30107</v>
      </c>
    </row>
    <row r="635" spans="1:8" s="17" customFormat="1" ht="12" customHeight="1" x14ac:dyDescent="0.2">
      <c r="A635" s="32"/>
      <c r="B635" s="26"/>
      <c r="C635" s="65">
        <v>4240</v>
      </c>
      <c r="D635" s="86" t="s">
        <v>127</v>
      </c>
      <c r="E635" s="43">
        <v>19066</v>
      </c>
      <c r="F635" s="44">
        <v>11041</v>
      </c>
      <c r="G635" s="45"/>
      <c r="H635" s="43">
        <f>SUM(E635+F635-G635)</f>
        <v>30107</v>
      </c>
    </row>
    <row r="636" spans="1:8" s="17" customFormat="1" ht="12" customHeight="1" x14ac:dyDescent="0.2">
      <c r="A636" s="32"/>
      <c r="B636" s="26"/>
      <c r="C636" s="27"/>
      <c r="D636" s="394" t="s">
        <v>141</v>
      </c>
      <c r="E636" s="115">
        <v>190.91</v>
      </c>
      <c r="F636" s="388">
        <f>SUM(F637:F637)</f>
        <v>110.81</v>
      </c>
      <c r="G636" s="388">
        <f>SUM(G637:G637)</f>
        <v>0</v>
      </c>
      <c r="H636" s="115">
        <f>SUM(E636+F636-G636)</f>
        <v>301.72000000000003</v>
      </c>
    </row>
    <row r="637" spans="1:8" s="17" customFormat="1" ht="12" customHeight="1" x14ac:dyDescent="0.2">
      <c r="A637" s="32"/>
      <c r="B637" s="26"/>
      <c r="C637" s="55">
        <v>4210</v>
      </c>
      <c r="D637" s="71" t="s">
        <v>86</v>
      </c>
      <c r="E637" s="43">
        <v>190.91</v>
      </c>
      <c r="F637" s="44">
        <v>110.81</v>
      </c>
      <c r="G637" s="45"/>
      <c r="H637" s="43">
        <f>SUM(E637+F637-G637)</f>
        <v>301.72000000000003</v>
      </c>
    </row>
    <row r="638" spans="1:8" s="17" customFormat="1" ht="3.75" customHeight="1" x14ac:dyDescent="0.2">
      <c r="A638" s="126"/>
      <c r="B638" s="126"/>
      <c r="C638" s="127"/>
      <c r="D638" s="128"/>
      <c r="E638" s="39"/>
      <c r="F638" s="39"/>
      <c r="G638" s="39"/>
      <c r="H638" s="39"/>
    </row>
    <row r="639" spans="1:8" s="17" customFormat="1" ht="12.6" customHeight="1" x14ac:dyDescent="0.2"/>
    <row r="640" spans="1:8" s="17" customFormat="1" ht="12.6" customHeight="1" x14ac:dyDescent="0.2"/>
    <row r="641" s="17" customFormat="1" ht="12.6" customHeight="1" x14ac:dyDescent="0.2"/>
    <row r="642" s="17" customFormat="1" ht="12.6" customHeight="1" x14ac:dyDescent="0.2"/>
    <row r="643" s="17" customFormat="1" ht="12.6" customHeight="1" x14ac:dyDescent="0.2"/>
    <row r="644" s="17" customFormat="1" ht="12.6" customHeight="1" x14ac:dyDescent="0.2"/>
    <row r="645" s="17" customFormat="1" ht="12.6" customHeight="1" x14ac:dyDescent="0.2"/>
    <row r="646" s="17" customFormat="1" ht="12.6" customHeight="1" x14ac:dyDescent="0.2"/>
    <row r="647" s="17" customFormat="1" ht="12.6" customHeight="1" x14ac:dyDescent="0.2"/>
    <row r="648" s="17" customFormat="1" ht="12.6" customHeight="1" x14ac:dyDescent="0.2"/>
    <row r="649" s="17" customFormat="1" ht="12.6" customHeight="1" x14ac:dyDescent="0.2"/>
    <row r="650" s="17" customFormat="1" ht="12.6" customHeight="1" x14ac:dyDescent="0.2"/>
    <row r="651" s="17" customFormat="1" ht="12.6" customHeight="1" x14ac:dyDescent="0.2"/>
    <row r="652" s="17" customFormat="1" ht="12.6" customHeight="1" x14ac:dyDescent="0.2"/>
    <row r="653" s="17" customFormat="1" ht="12.6" customHeight="1" x14ac:dyDescent="0.2"/>
    <row r="654" s="17" customFormat="1" ht="12.6" customHeight="1" x14ac:dyDescent="0.2"/>
    <row r="655" s="17" customFormat="1" ht="12.6" customHeight="1" x14ac:dyDescent="0.2"/>
    <row r="656" s="17" customFormat="1" ht="12.6" customHeight="1" x14ac:dyDescent="0.2"/>
    <row r="657" s="17" customFormat="1" ht="12.6" customHeight="1" x14ac:dyDescent="0.2"/>
    <row r="658" s="17" customFormat="1" ht="12.6" customHeight="1" x14ac:dyDescent="0.2"/>
    <row r="659" s="17" customFormat="1" ht="12.6" customHeight="1" x14ac:dyDescent="0.2"/>
    <row r="660" s="17" customFormat="1" ht="12.6" customHeight="1" x14ac:dyDescent="0.2"/>
    <row r="661" s="17" customFormat="1" ht="12.6" customHeight="1" x14ac:dyDescent="0.2"/>
    <row r="662" s="17" customFormat="1" ht="12.6" customHeight="1" x14ac:dyDescent="0.2"/>
    <row r="663" s="17" customFormat="1" ht="12.6" customHeight="1" x14ac:dyDescent="0.2"/>
    <row r="664" s="17" customFormat="1" ht="12.6" customHeight="1" x14ac:dyDescent="0.2"/>
    <row r="665" s="17" customFormat="1" ht="12.6" customHeight="1" x14ac:dyDescent="0.2"/>
    <row r="666" s="17" customFormat="1" ht="12.6" customHeight="1" x14ac:dyDescent="0.2"/>
    <row r="667" s="17" customFormat="1" ht="12.6" customHeight="1" x14ac:dyDescent="0.2"/>
    <row r="668" s="17" customFormat="1" ht="12.6" customHeight="1" x14ac:dyDescent="0.2"/>
    <row r="669" s="17" customFormat="1" ht="12.6" customHeight="1" x14ac:dyDescent="0.2"/>
    <row r="670" s="17" customFormat="1" ht="12.6" customHeight="1" x14ac:dyDescent="0.2"/>
    <row r="671" s="17" customFormat="1" ht="12.6" customHeight="1" x14ac:dyDescent="0.2"/>
    <row r="672" s="17" customFormat="1" ht="12.6" customHeight="1" x14ac:dyDescent="0.2"/>
    <row r="673" s="17" customFormat="1" ht="12.6" customHeight="1" x14ac:dyDescent="0.2"/>
    <row r="674" s="17" customFormat="1" ht="12.6" customHeight="1" x14ac:dyDescent="0.2"/>
    <row r="675" s="17" customFormat="1" ht="12.6" customHeight="1" x14ac:dyDescent="0.2"/>
    <row r="676" s="17" customFormat="1" ht="12.6" customHeight="1" x14ac:dyDescent="0.2"/>
    <row r="677" s="17" customFormat="1" ht="12.2" customHeight="1" x14ac:dyDescent="0.2"/>
    <row r="678" s="17" customFormat="1" ht="12.2" customHeight="1" x14ac:dyDescent="0.2"/>
    <row r="679" s="17" customFormat="1" ht="12.2" customHeight="1" x14ac:dyDescent="0.2"/>
    <row r="680" s="17" customFormat="1" ht="12.95" customHeight="1" x14ac:dyDescent="0.2"/>
    <row r="681" s="17" customFormat="1" ht="12.95" customHeight="1" x14ac:dyDescent="0.2"/>
    <row r="682" s="17" customFormat="1" ht="12.95" customHeight="1" x14ac:dyDescent="0.2"/>
    <row r="683" s="17" customFormat="1" ht="12.95" customHeight="1" x14ac:dyDescent="0.2"/>
    <row r="684" s="17" customFormat="1" ht="12.95" customHeight="1" x14ac:dyDescent="0.2"/>
    <row r="685" s="17" customFormat="1" ht="12.95" customHeight="1" x14ac:dyDescent="0.2"/>
    <row r="686" s="17" customFormat="1" ht="12.95" customHeight="1" x14ac:dyDescent="0.2"/>
    <row r="687" s="17" customFormat="1" ht="12.95" customHeight="1" x14ac:dyDescent="0.2"/>
    <row r="688" s="17" customFormat="1" ht="12.95" customHeight="1" x14ac:dyDescent="0.2"/>
    <row r="689" s="17" customFormat="1" ht="12.95" customHeight="1" x14ac:dyDescent="0.2"/>
    <row r="690" s="17" customFormat="1" ht="12.95" customHeight="1" x14ac:dyDescent="0.2"/>
    <row r="691" s="17" customFormat="1" ht="12.95" customHeight="1" x14ac:dyDescent="0.2"/>
    <row r="692" s="17" customFormat="1" ht="12.95" customHeight="1" x14ac:dyDescent="0.2"/>
    <row r="693" s="17" customFormat="1" ht="12.95" customHeight="1" x14ac:dyDescent="0.2"/>
    <row r="694" s="17" customFormat="1" ht="12.95" customHeight="1" x14ac:dyDescent="0.2"/>
    <row r="695" s="17" customFormat="1" ht="12.95" customHeight="1" x14ac:dyDescent="0.2"/>
    <row r="696" s="17" customFormat="1" ht="12.95" customHeight="1" x14ac:dyDescent="0.2"/>
    <row r="697" s="17" customFormat="1" ht="12.95" customHeight="1" x14ac:dyDescent="0.2"/>
    <row r="698" s="17" customFormat="1" ht="12.95" customHeight="1" x14ac:dyDescent="0.2"/>
    <row r="699" s="17" customFormat="1" ht="12.95" customHeight="1" x14ac:dyDescent="0.2"/>
    <row r="700" s="17" customFormat="1" ht="12.95" customHeight="1" x14ac:dyDescent="0.2"/>
    <row r="701" s="17" customFormat="1" ht="12.95" customHeight="1" x14ac:dyDescent="0.2"/>
    <row r="702" s="17" customFormat="1" ht="12.95" customHeight="1" x14ac:dyDescent="0.2"/>
    <row r="703" s="17" customFormat="1" ht="12.95" customHeight="1" x14ac:dyDescent="0.2"/>
    <row r="704" s="17" customFormat="1" ht="12.95" customHeight="1" x14ac:dyDescent="0.2"/>
    <row r="705" s="17" customFormat="1" ht="12.95" customHeight="1" x14ac:dyDescent="0.2"/>
    <row r="706" s="17" customFormat="1" ht="12.95" customHeight="1" x14ac:dyDescent="0.2"/>
    <row r="707" s="17" customFormat="1" ht="12.95" customHeight="1" x14ac:dyDescent="0.2"/>
    <row r="708" s="17" customFormat="1" ht="12.95" customHeight="1" x14ac:dyDescent="0.2"/>
    <row r="709" s="17" customFormat="1" ht="12.95" customHeight="1" x14ac:dyDescent="0.2"/>
    <row r="710" s="17" customFormat="1" ht="12.95" customHeight="1" x14ac:dyDescent="0.2"/>
    <row r="711" s="17" customFormat="1" ht="12.95" customHeight="1" x14ac:dyDescent="0.2"/>
    <row r="712" s="17" customFormat="1" ht="12.95" customHeight="1" x14ac:dyDescent="0.2"/>
    <row r="713" s="17" customFormat="1" ht="12.95" customHeight="1" x14ac:dyDescent="0.2"/>
    <row r="714" s="17" customFormat="1" ht="12.95" customHeight="1" x14ac:dyDescent="0.2"/>
    <row r="715" s="17" customFormat="1" ht="12.95" customHeight="1" x14ac:dyDescent="0.2"/>
    <row r="716" s="17" customFormat="1" ht="12.95" customHeight="1" x14ac:dyDescent="0.2"/>
    <row r="717" s="17" customFormat="1" ht="12.95" customHeight="1" x14ac:dyDescent="0.2"/>
    <row r="718" s="17" customFormat="1" ht="12.95" customHeight="1" x14ac:dyDescent="0.2"/>
    <row r="719" s="17" customFormat="1" ht="12.95" customHeight="1" x14ac:dyDescent="0.2"/>
    <row r="720" s="17" customFormat="1" ht="12.95" customHeight="1" x14ac:dyDescent="0.2"/>
    <row r="721" s="17" customFormat="1" ht="12.95" customHeight="1" x14ac:dyDescent="0.2"/>
    <row r="722" s="17" customFormat="1" ht="12.95" customHeight="1" x14ac:dyDescent="0.2"/>
    <row r="723" s="17" customFormat="1" ht="12.95" customHeight="1" x14ac:dyDescent="0.2"/>
    <row r="724" s="17" customFormat="1" ht="12.95" customHeight="1" x14ac:dyDescent="0.2"/>
    <row r="725" s="17" customFormat="1" ht="12.95" customHeight="1" x14ac:dyDescent="0.2"/>
    <row r="726" s="17" customFormat="1" ht="12.95" customHeight="1" x14ac:dyDescent="0.2"/>
    <row r="727" s="17" customFormat="1" ht="12.95" customHeight="1" x14ac:dyDescent="0.2"/>
    <row r="728" s="17" customFormat="1" ht="12.95" customHeight="1" x14ac:dyDescent="0.2"/>
    <row r="729" s="17" customFormat="1" ht="12.95" customHeight="1" x14ac:dyDescent="0.2"/>
    <row r="730" s="17" customFormat="1" ht="12.95" customHeight="1" x14ac:dyDescent="0.2"/>
    <row r="731" s="17" customFormat="1" ht="12.95" customHeight="1" x14ac:dyDescent="0.2"/>
    <row r="732" s="17" customFormat="1" ht="12.95" customHeight="1" x14ac:dyDescent="0.2"/>
    <row r="733" s="17" customFormat="1" ht="12.95" customHeight="1" x14ac:dyDescent="0.2"/>
    <row r="734" s="17" customFormat="1" ht="12.95" customHeight="1" x14ac:dyDescent="0.2"/>
    <row r="735" s="17" customFormat="1" ht="12.95" customHeight="1" x14ac:dyDescent="0.2"/>
    <row r="736" s="17" customFormat="1" ht="12.95" customHeight="1" x14ac:dyDescent="0.2"/>
    <row r="737" s="17" customFormat="1" ht="12.95" customHeight="1" x14ac:dyDescent="0.2"/>
    <row r="738" s="17" customFormat="1" ht="12.95" customHeight="1" x14ac:dyDescent="0.2"/>
    <row r="739" s="17" customFormat="1" ht="12.95" customHeight="1" x14ac:dyDescent="0.2"/>
    <row r="740" s="17" customFormat="1" ht="12.95" customHeight="1" x14ac:dyDescent="0.2"/>
    <row r="741" s="17" customFormat="1" ht="12.95" customHeight="1" x14ac:dyDescent="0.2"/>
    <row r="742" s="17" customFormat="1" ht="12.95" customHeight="1" x14ac:dyDescent="0.2"/>
    <row r="743" s="17" customFormat="1" ht="12.95" customHeight="1" x14ac:dyDescent="0.2"/>
    <row r="744" s="17" customFormat="1" ht="12.95" customHeight="1" x14ac:dyDescent="0.2"/>
    <row r="745" s="17" customFormat="1" ht="12.95" customHeight="1" x14ac:dyDescent="0.2"/>
    <row r="746" s="17" customFormat="1" ht="12.95" customHeight="1" x14ac:dyDescent="0.2"/>
    <row r="747" ht="12.95" customHeight="1" x14ac:dyDescent="0.25"/>
    <row r="748" ht="12.95" customHeight="1" x14ac:dyDescent="0.25"/>
    <row r="749" ht="12.95" customHeight="1" x14ac:dyDescent="0.25"/>
    <row r="750" ht="12.95" customHeight="1" x14ac:dyDescent="0.25"/>
    <row r="751" ht="12.95" customHeight="1" x14ac:dyDescent="0.25"/>
    <row r="752" ht="12.95" customHeight="1" x14ac:dyDescent="0.25"/>
    <row r="753" ht="12.95" customHeight="1" x14ac:dyDescent="0.25"/>
    <row r="754" ht="12.95" customHeight="1" x14ac:dyDescent="0.25"/>
    <row r="755" ht="12.95" customHeight="1" x14ac:dyDescent="0.25"/>
    <row r="756" ht="12.95" customHeight="1" x14ac:dyDescent="0.25"/>
    <row r="757" ht="12.95" customHeight="1" x14ac:dyDescent="0.25"/>
    <row r="758" ht="12.9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</sheetData>
  <pageMargins left="0.11811023622047245" right="0.11811023622047245" top="0.74803149606299213" bottom="0.74803149606299213" header="0.31496062992125984" footer="0.31496062992125984"/>
  <pageSetup paperSize="9" orientation="portrait" r:id="rId1"/>
  <headerFooter>
    <oddFooter>&amp;C&amp;"Arial,Pogrubiony"&amp;8&amp;P</oddFooter>
  </headerFooter>
  <rowBreaks count="11" manualBreakCount="11">
    <brk id="37" max="16383" man="1"/>
    <brk id="67" max="16383" man="1"/>
    <brk id="99" max="16383" man="1"/>
    <brk id="143" max="16383" man="1"/>
    <brk id="235" max="16383" man="1"/>
    <brk id="343" max="16383" man="1"/>
    <brk id="399" max="16383" man="1"/>
    <brk id="451" max="16383" man="1"/>
    <brk id="506" max="16383" man="1"/>
    <brk id="546" max="16383" man="1"/>
    <brk id="60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17714-C367-4835-AC3F-BF7F72EDF29C}">
  <dimension ref="A1:L54"/>
  <sheetViews>
    <sheetView zoomScale="120" zoomScaleNormal="120" workbookViewId="0">
      <pane ySplit="17" topLeftCell="A18" activePane="bottomLeft" state="frozen"/>
      <selection pane="bottomLeft"/>
    </sheetView>
  </sheetViews>
  <sheetFormatPr defaultColWidth="10.28515625" defaultRowHeight="11.25" x14ac:dyDescent="0.2"/>
  <cols>
    <col min="1" max="1" width="6.42578125" style="129" customWidth="1"/>
    <col min="2" max="2" width="58.28515625" style="129" customWidth="1"/>
    <col min="3" max="3" width="10.28515625" style="129"/>
    <col min="4" max="4" width="11.42578125" style="129" customWidth="1"/>
    <col min="5" max="7" width="10.7109375" style="129" customWidth="1"/>
    <col min="8" max="9" width="11.28515625" style="129" customWidth="1"/>
    <col min="10" max="10" width="17" style="129" customWidth="1"/>
    <col min="11" max="11" width="16.28515625" style="129" customWidth="1"/>
    <col min="12" max="256" width="10.28515625" style="129"/>
    <col min="257" max="257" width="6.42578125" style="129" customWidth="1"/>
    <col min="258" max="258" width="58.28515625" style="129" customWidth="1"/>
    <col min="259" max="259" width="10.28515625" style="129"/>
    <col min="260" max="260" width="11" style="129" customWidth="1"/>
    <col min="261" max="262" width="9.7109375" style="129" customWidth="1"/>
    <col min="263" max="263" width="10.7109375" style="129" customWidth="1"/>
    <col min="264" max="265" width="11.28515625" style="129" customWidth="1"/>
    <col min="266" max="266" width="17" style="129" customWidth="1"/>
    <col min="267" max="267" width="16.28515625" style="129" customWidth="1"/>
    <col min="268" max="512" width="10.28515625" style="129"/>
    <col min="513" max="513" width="6.42578125" style="129" customWidth="1"/>
    <col min="514" max="514" width="58.28515625" style="129" customWidth="1"/>
    <col min="515" max="515" width="10.28515625" style="129"/>
    <col min="516" max="516" width="11" style="129" customWidth="1"/>
    <col min="517" max="518" width="9.7109375" style="129" customWidth="1"/>
    <col min="519" max="519" width="10.7109375" style="129" customWidth="1"/>
    <col min="520" max="521" width="11.28515625" style="129" customWidth="1"/>
    <col min="522" max="522" width="17" style="129" customWidth="1"/>
    <col min="523" max="523" width="16.28515625" style="129" customWidth="1"/>
    <col min="524" max="768" width="10.28515625" style="129"/>
    <col min="769" max="769" width="6.42578125" style="129" customWidth="1"/>
    <col min="770" max="770" width="58.28515625" style="129" customWidth="1"/>
    <col min="771" max="771" width="10.28515625" style="129"/>
    <col min="772" max="772" width="11" style="129" customWidth="1"/>
    <col min="773" max="774" width="9.7109375" style="129" customWidth="1"/>
    <col min="775" max="775" width="10.7109375" style="129" customWidth="1"/>
    <col min="776" max="777" width="11.28515625" style="129" customWidth="1"/>
    <col min="778" max="778" width="17" style="129" customWidth="1"/>
    <col min="779" max="779" width="16.28515625" style="129" customWidth="1"/>
    <col min="780" max="1024" width="10.28515625" style="129"/>
    <col min="1025" max="1025" width="6.42578125" style="129" customWidth="1"/>
    <col min="1026" max="1026" width="58.28515625" style="129" customWidth="1"/>
    <col min="1027" max="1027" width="10.28515625" style="129"/>
    <col min="1028" max="1028" width="11" style="129" customWidth="1"/>
    <col min="1029" max="1030" width="9.7109375" style="129" customWidth="1"/>
    <col min="1031" max="1031" width="10.7109375" style="129" customWidth="1"/>
    <col min="1032" max="1033" width="11.28515625" style="129" customWidth="1"/>
    <col min="1034" max="1034" width="17" style="129" customWidth="1"/>
    <col min="1035" max="1035" width="16.28515625" style="129" customWidth="1"/>
    <col min="1036" max="1280" width="10.28515625" style="129"/>
    <col min="1281" max="1281" width="6.42578125" style="129" customWidth="1"/>
    <col min="1282" max="1282" width="58.28515625" style="129" customWidth="1"/>
    <col min="1283" max="1283" width="10.28515625" style="129"/>
    <col min="1284" max="1284" width="11" style="129" customWidth="1"/>
    <col min="1285" max="1286" width="9.7109375" style="129" customWidth="1"/>
    <col min="1287" max="1287" width="10.7109375" style="129" customWidth="1"/>
    <col min="1288" max="1289" width="11.28515625" style="129" customWidth="1"/>
    <col min="1290" max="1290" width="17" style="129" customWidth="1"/>
    <col min="1291" max="1291" width="16.28515625" style="129" customWidth="1"/>
    <col min="1292" max="1536" width="10.28515625" style="129"/>
    <col min="1537" max="1537" width="6.42578125" style="129" customWidth="1"/>
    <col min="1538" max="1538" width="58.28515625" style="129" customWidth="1"/>
    <col min="1539" max="1539" width="10.28515625" style="129"/>
    <col min="1540" max="1540" width="11" style="129" customWidth="1"/>
    <col min="1541" max="1542" width="9.7109375" style="129" customWidth="1"/>
    <col min="1543" max="1543" width="10.7109375" style="129" customWidth="1"/>
    <col min="1544" max="1545" width="11.28515625" style="129" customWidth="1"/>
    <col min="1546" max="1546" width="17" style="129" customWidth="1"/>
    <col min="1547" max="1547" width="16.28515625" style="129" customWidth="1"/>
    <col min="1548" max="1792" width="10.28515625" style="129"/>
    <col min="1793" max="1793" width="6.42578125" style="129" customWidth="1"/>
    <col min="1794" max="1794" width="58.28515625" style="129" customWidth="1"/>
    <col min="1795" max="1795" width="10.28515625" style="129"/>
    <col min="1796" max="1796" width="11" style="129" customWidth="1"/>
    <col min="1797" max="1798" width="9.7109375" style="129" customWidth="1"/>
    <col min="1799" max="1799" width="10.7109375" style="129" customWidth="1"/>
    <col min="1800" max="1801" width="11.28515625" style="129" customWidth="1"/>
    <col min="1802" max="1802" width="17" style="129" customWidth="1"/>
    <col min="1803" max="1803" width="16.28515625" style="129" customWidth="1"/>
    <col min="1804" max="2048" width="10.28515625" style="129"/>
    <col min="2049" max="2049" width="6.42578125" style="129" customWidth="1"/>
    <col min="2050" max="2050" width="58.28515625" style="129" customWidth="1"/>
    <col min="2051" max="2051" width="10.28515625" style="129"/>
    <col min="2052" max="2052" width="11" style="129" customWidth="1"/>
    <col min="2053" max="2054" width="9.7109375" style="129" customWidth="1"/>
    <col min="2055" max="2055" width="10.7109375" style="129" customWidth="1"/>
    <col min="2056" max="2057" width="11.28515625" style="129" customWidth="1"/>
    <col min="2058" max="2058" width="17" style="129" customWidth="1"/>
    <col min="2059" max="2059" width="16.28515625" style="129" customWidth="1"/>
    <col min="2060" max="2304" width="10.28515625" style="129"/>
    <col min="2305" max="2305" width="6.42578125" style="129" customWidth="1"/>
    <col min="2306" max="2306" width="58.28515625" style="129" customWidth="1"/>
    <col min="2307" max="2307" width="10.28515625" style="129"/>
    <col min="2308" max="2308" width="11" style="129" customWidth="1"/>
    <col min="2309" max="2310" width="9.7109375" style="129" customWidth="1"/>
    <col min="2311" max="2311" width="10.7109375" style="129" customWidth="1"/>
    <col min="2312" max="2313" width="11.28515625" style="129" customWidth="1"/>
    <col min="2314" max="2314" width="17" style="129" customWidth="1"/>
    <col min="2315" max="2315" width="16.28515625" style="129" customWidth="1"/>
    <col min="2316" max="2560" width="10.28515625" style="129"/>
    <col min="2561" max="2561" width="6.42578125" style="129" customWidth="1"/>
    <col min="2562" max="2562" width="58.28515625" style="129" customWidth="1"/>
    <col min="2563" max="2563" width="10.28515625" style="129"/>
    <col min="2564" max="2564" width="11" style="129" customWidth="1"/>
    <col min="2565" max="2566" width="9.7109375" style="129" customWidth="1"/>
    <col min="2567" max="2567" width="10.7109375" style="129" customWidth="1"/>
    <col min="2568" max="2569" width="11.28515625" style="129" customWidth="1"/>
    <col min="2570" max="2570" width="17" style="129" customWidth="1"/>
    <col min="2571" max="2571" width="16.28515625" style="129" customWidth="1"/>
    <col min="2572" max="2816" width="10.28515625" style="129"/>
    <col min="2817" max="2817" width="6.42578125" style="129" customWidth="1"/>
    <col min="2818" max="2818" width="58.28515625" style="129" customWidth="1"/>
    <col min="2819" max="2819" width="10.28515625" style="129"/>
    <col min="2820" max="2820" width="11" style="129" customWidth="1"/>
    <col min="2821" max="2822" width="9.7109375" style="129" customWidth="1"/>
    <col min="2823" max="2823" width="10.7109375" style="129" customWidth="1"/>
    <col min="2824" max="2825" width="11.28515625" style="129" customWidth="1"/>
    <col min="2826" max="2826" width="17" style="129" customWidth="1"/>
    <col min="2827" max="2827" width="16.28515625" style="129" customWidth="1"/>
    <col min="2828" max="3072" width="10.28515625" style="129"/>
    <col min="3073" max="3073" width="6.42578125" style="129" customWidth="1"/>
    <col min="3074" max="3074" width="58.28515625" style="129" customWidth="1"/>
    <col min="3075" max="3075" width="10.28515625" style="129"/>
    <col min="3076" max="3076" width="11" style="129" customWidth="1"/>
    <col min="3077" max="3078" width="9.7109375" style="129" customWidth="1"/>
    <col min="3079" max="3079" width="10.7109375" style="129" customWidth="1"/>
    <col min="3080" max="3081" width="11.28515625" style="129" customWidth="1"/>
    <col min="3082" max="3082" width="17" style="129" customWidth="1"/>
    <col min="3083" max="3083" width="16.28515625" style="129" customWidth="1"/>
    <col min="3084" max="3328" width="10.28515625" style="129"/>
    <col min="3329" max="3329" width="6.42578125" style="129" customWidth="1"/>
    <col min="3330" max="3330" width="58.28515625" style="129" customWidth="1"/>
    <col min="3331" max="3331" width="10.28515625" style="129"/>
    <col min="3332" max="3332" width="11" style="129" customWidth="1"/>
    <col min="3333" max="3334" width="9.7109375" style="129" customWidth="1"/>
    <col min="3335" max="3335" width="10.7109375" style="129" customWidth="1"/>
    <col min="3336" max="3337" width="11.28515625" style="129" customWidth="1"/>
    <col min="3338" max="3338" width="17" style="129" customWidth="1"/>
    <col min="3339" max="3339" width="16.28515625" style="129" customWidth="1"/>
    <col min="3340" max="3584" width="10.28515625" style="129"/>
    <col min="3585" max="3585" width="6.42578125" style="129" customWidth="1"/>
    <col min="3586" max="3586" width="58.28515625" style="129" customWidth="1"/>
    <col min="3587" max="3587" width="10.28515625" style="129"/>
    <col min="3588" max="3588" width="11" style="129" customWidth="1"/>
    <col min="3589" max="3590" width="9.7109375" style="129" customWidth="1"/>
    <col min="3591" max="3591" width="10.7109375" style="129" customWidth="1"/>
    <col min="3592" max="3593" width="11.28515625" style="129" customWidth="1"/>
    <col min="3594" max="3594" width="17" style="129" customWidth="1"/>
    <col min="3595" max="3595" width="16.28515625" style="129" customWidth="1"/>
    <col min="3596" max="3840" width="10.28515625" style="129"/>
    <col min="3841" max="3841" width="6.42578125" style="129" customWidth="1"/>
    <col min="3842" max="3842" width="58.28515625" style="129" customWidth="1"/>
    <col min="3843" max="3843" width="10.28515625" style="129"/>
    <col min="3844" max="3844" width="11" style="129" customWidth="1"/>
    <col min="3845" max="3846" width="9.7109375" style="129" customWidth="1"/>
    <col min="3847" max="3847" width="10.7109375" style="129" customWidth="1"/>
    <col min="3848" max="3849" width="11.28515625" style="129" customWidth="1"/>
    <col min="3850" max="3850" width="17" style="129" customWidth="1"/>
    <col min="3851" max="3851" width="16.28515625" style="129" customWidth="1"/>
    <col min="3852" max="4096" width="10.28515625" style="129"/>
    <col min="4097" max="4097" width="6.42578125" style="129" customWidth="1"/>
    <col min="4098" max="4098" width="58.28515625" style="129" customWidth="1"/>
    <col min="4099" max="4099" width="10.28515625" style="129"/>
    <col min="4100" max="4100" width="11" style="129" customWidth="1"/>
    <col min="4101" max="4102" width="9.7109375" style="129" customWidth="1"/>
    <col min="4103" max="4103" width="10.7109375" style="129" customWidth="1"/>
    <col min="4104" max="4105" width="11.28515625" style="129" customWidth="1"/>
    <col min="4106" max="4106" width="17" style="129" customWidth="1"/>
    <col min="4107" max="4107" width="16.28515625" style="129" customWidth="1"/>
    <col min="4108" max="4352" width="10.28515625" style="129"/>
    <col min="4353" max="4353" width="6.42578125" style="129" customWidth="1"/>
    <col min="4354" max="4354" width="58.28515625" style="129" customWidth="1"/>
    <col min="4355" max="4355" width="10.28515625" style="129"/>
    <col min="4356" max="4356" width="11" style="129" customWidth="1"/>
    <col min="4357" max="4358" width="9.7109375" style="129" customWidth="1"/>
    <col min="4359" max="4359" width="10.7109375" style="129" customWidth="1"/>
    <col min="4360" max="4361" width="11.28515625" style="129" customWidth="1"/>
    <col min="4362" max="4362" width="17" style="129" customWidth="1"/>
    <col min="4363" max="4363" width="16.28515625" style="129" customWidth="1"/>
    <col min="4364" max="4608" width="10.28515625" style="129"/>
    <col min="4609" max="4609" width="6.42578125" style="129" customWidth="1"/>
    <col min="4610" max="4610" width="58.28515625" style="129" customWidth="1"/>
    <col min="4611" max="4611" width="10.28515625" style="129"/>
    <col min="4612" max="4612" width="11" style="129" customWidth="1"/>
    <col min="4613" max="4614" width="9.7109375" style="129" customWidth="1"/>
    <col min="4615" max="4615" width="10.7109375" style="129" customWidth="1"/>
    <col min="4616" max="4617" width="11.28515625" style="129" customWidth="1"/>
    <col min="4618" max="4618" width="17" style="129" customWidth="1"/>
    <col min="4619" max="4619" width="16.28515625" style="129" customWidth="1"/>
    <col min="4620" max="4864" width="10.28515625" style="129"/>
    <col min="4865" max="4865" width="6.42578125" style="129" customWidth="1"/>
    <col min="4866" max="4866" width="58.28515625" style="129" customWidth="1"/>
    <col min="4867" max="4867" width="10.28515625" style="129"/>
    <col min="4868" max="4868" width="11" style="129" customWidth="1"/>
    <col min="4869" max="4870" width="9.7109375" style="129" customWidth="1"/>
    <col min="4871" max="4871" width="10.7109375" style="129" customWidth="1"/>
    <col min="4872" max="4873" width="11.28515625" style="129" customWidth="1"/>
    <col min="4874" max="4874" width="17" style="129" customWidth="1"/>
    <col min="4875" max="4875" width="16.28515625" style="129" customWidth="1"/>
    <col min="4876" max="5120" width="10.28515625" style="129"/>
    <col min="5121" max="5121" width="6.42578125" style="129" customWidth="1"/>
    <col min="5122" max="5122" width="58.28515625" style="129" customWidth="1"/>
    <col min="5123" max="5123" width="10.28515625" style="129"/>
    <col min="5124" max="5124" width="11" style="129" customWidth="1"/>
    <col min="5125" max="5126" width="9.7109375" style="129" customWidth="1"/>
    <col min="5127" max="5127" width="10.7109375" style="129" customWidth="1"/>
    <col min="5128" max="5129" width="11.28515625" style="129" customWidth="1"/>
    <col min="5130" max="5130" width="17" style="129" customWidth="1"/>
    <col min="5131" max="5131" width="16.28515625" style="129" customWidth="1"/>
    <col min="5132" max="5376" width="10.28515625" style="129"/>
    <col min="5377" max="5377" width="6.42578125" style="129" customWidth="1"/>
    <col min="5378" max="5378" width="58.28515625" style="129" customWidth="1"/>
    <col min="5379" max="5379" width="10.28515625" style="129"/>
    <col min="5380" max="5380" width="11" style="129" customWidth="1"/>
    <col min="5381" max="5382" width="9.7109375" style="129" customWidth="1"/>
    <col min="5383" max="5383" width="10.7109375" style="129" customWidth="1"/>
    <col min="5384" max="5385" width="11.28515625" style="129" customWidth="1"/>
    <col min="5386" max="5386" width="17" style="129" customWidth="1"/>
    <col min="5387" max="5387" width="16.28515625" style="129" customWidth="1"/>
    <col min="5388" max="5632" width="10.28515625" style="129"/>
    <col min="5633" max="5633" width="6.42578125" style="129" customWidth="1"/>
    <col min="5634" max="5634" width="58.28515625" style="129" customWidth="1"/>
    <col min="5635" max="5635" width="10.28515625" style="129"/>
    <col min="5636" max="5636" width="11" style="129" customWidth="1"/>
    <col min="5637" max="5638" width="9.7109375" style="129" customWidth="1"/>
    <col min="5639" max="5639" width="10.7109375" style="129" customWidth="1"/>
    <col min="5640" max="5641" width="11.28515625" style="129" customWidth="1"/>
    <col min="5642" max="5642" width="17" style="129" customWidth="1"/>
    <col min="5643" max="5643" width="16.28515625" style="129" customWidth="1"/>
    <col min="5644" max="5888" width="10.28515625" style="129"/>
    <col min="5889" max="5889" width="6.42578125" style="129" customWidth="1"/>
    <col min="5890" max="5890" width="58.28515625" style="129" customWidth="1"/>
    <col min="5891" max="5891" width="10.28515625" style="129"/>
    <col min="5892" max="5892" width="11" style="129" customWidth="1"/>
    <col min="5893" max="5894" width="9.7109375" style="129" customWidth="1"/>
    <col min="5895" max="5895" width="10.7109375" style="129" customWidth="1"/>
    <col min="5896" max="5897" width="11.28515625" style="129" customWidth="1"/>
    <col min="5898" max="5898" width="17" style="129" customWidth="1"/>
    <col min="5899" max="5899" width="16.28515625" style="129" customWidth="1"/>
    <col min="5900" max="6144" width="10.28515625" style="129"/>
    <col min="6145" max="6145" width="6.42578125" style="129" customWidth="1"/>
    <col min="6146" max="6146" width="58.28515625" style="129" customWidth="1"/>
    <col min="6147" max="6147" width="10.28515625" style="129"/>
    <col min="6148" max="6148" width="11" style="129" customWidth="1"/>
    <col min="6149" max="6150" width="9.7109375" style="129" customWidth="1"/>
    <col min="6151" max="6151" width="10.7109375" style="129" customWidth="1"/>
    <col min="6152" max="6153" width="11.28515625" style="129" customWidth="1"/>
    <col min="6154" max="6154" width="17" style="129" customWidth="1"/>
    <col min="6155" max="6155" width="16.28515625" style="129" customWidth="1"/>
    <col min="6156" max="6400" width="10.28515625" style="129"/>
    <col min="6401" max="6401" width="6.42578125" style="129" customWidth="1"/>
    <col min="6402" max="6402" width="58.28515625" style="129" customWidth="1"/>
    <col min="6403" max="6403" width="10.28515625" style="129"/>
    <col min="6404" max="6404" width="11" style="129" customWidth="1"/>
    <col min="6405" max="6406" width="9.7109375" style="129" customWidth="1"/>
    <col min="6407" max="6407" width="10.7109375" style="129" customWidth="1"/>
    <col min="6408" max="6409" width="11.28515625" style="129" customWidth="1"/>
    <col min="6410" max="6410" width="17" style="129" customWidth="1"/>
    <col min="6411" max="6411" width="16.28515625" style="129" customWidth="1"/>
    <col min="6412" max="6656" width="10.28515625" style="129"/>
    <col min="6657" max="6657" width="6.42578125" style="129" customWidth="1"/>
    <col min="6658" max="6658" width="58.28515625" style="129" customWidth="1"/>
    <col min="6659" max="6659" width="10.28515625" style="129"/>
    <col min="6660" max="6660" width="11" style="129" customWidth="1"/>
    <col min="6661" max="6662" width="9.7109375" style="129" customWidth="1"/>
    <col min="6663" max="6663" width="10.7109375" style="129" customWidth="1"/>
    <col min="6664" max="6665" width="11.28515625" style="129" customWidth="1"/>
    <col min="6666" max="6666" width="17" style="129" customWidth="1"/>
    <col min="6667" max="6667" width="16.28515625" style="129" customWidth="1"/>
    <col min="6668" max="6912" width="10.28515625" style="129"/>
    <col min="6913" max="6913" width="6.42578125" style="129" customWidth="1"/>
    <col min="6914" max="6914" width="58.28515625" style="129" customWidth="1"/>
    <col min="6915" max="6915" width="10.28515625" style="129"/>
    <col min="6916" max="6916" width="11" style="129" customWidth="1"/>
    <col min="6917" max="6918" width="9.7109375" style="129" customWidth="1"/>
    <col min="6919" max="6919" width="10.7109375" style="129" customWidth="1"/>
    <col min="6920" max="6921" width="11.28515625" style="129" customWidth="1"/>
    <col min="6922" max="6922" width="17" style="129" customWidth="1"/>
    <col min="6923" max="6923" width="16.28515625" style="129" customWidth="1"/>
    <col min="6924" max="7168" width="10.28515625" style="129"/>
    <col min="7169" max="7169" width="6.42578125" style="129" customWidth="1"/>
    <col min="7170" max="7170" width="58.28515625" style="129" customWidth="1"/>
    <col min="7171" max="7171" width="10.28515625" style="129"/>
    <col min="7172" max="7172" width="11" style="129" customWidth="1"/>
    <col min="7173" max="7174" width="9.7109375" style="129" customWidth="1"/>
    <col min="7175" max="7175" width="10.7109375" style="129" customWidth="1"/>
    <col min="7176" max="7177" width="11.28515625" style="129" customWidth="1"/>
    <col min="7178" max="7178" width="17" style="129" customWidth="1"/>
    <col min="7179" max="7179" width="16.28515625" style="129" customWidth="1"/>
    <col min="7180" max="7424" width="10.28515625" style="129"/>
    <col min="7425" max="7425" width="6.42578125" style="129" customWidth="1"/>
    <col min="7426" max="7426" width="58.28515625" style="129" customWidth="1"/>
    <col min="7427" max="7427" width="10.28515625" style="129"/>
    <col min="7428" max="7428" width="11" style="129" customWidth="1"/>
    <col min="7429" max="7430" width="9.7109375" style="129" customWidth="1"/>
    <col min="7431" max="7431" width="10.7109375" style="129" customWidth="1"/>
    <col min="7432" max="7433" width="11.28515625" style="129" customWidth="1"/>
    <col min="7434" max="7434" width="17" style="129" customWidth="1"/>
    <col min="7435" max="7435" width="16.28515625" style="129" customWidth="1"/>
    <col min="7436" max="7680" width="10.28515625" style="129"/>
    <col min="7681" max="7681" width="6.42578125" style="129" customWidth="1"/>
    <col min="7682" max="7682" width="58.28515625" style="129" customWidth="1"/>
    <col min="7683" max="7683" width="10.28515625" style="129"/>
    <col min="7684" max="7684" width="11" style="129" customWidth="1"/>
    <col min="7685" max="7686" width="9.7109375" style="129" customWidth="1"/>
    <col min="7687" max="7687" width="10.7109375" style="129" customWidth="1"/>
    <col min="7688" max="7689" width="11.28515625" style="129" customWidth="1"/>
    <col min="7690" max="7690" width="17" style="129" customWidth="1"/>
    <col min="7691" max="7691" width="16.28515625" style="129" customWidth="1"/>
    <col min="7692" max="7936" width="10.28515625" style="129"/>
    <col min="7937" max="7937" width="6.42578125" style="129" customWidth="1"/>
    <col min="7938" max="7938" width="58.28515625" style="129" customWidth="1"/>
    <col min="7939" max="7939" width="10.28515625" style="129"/>
    <col min="7940" max="7940" width="11" style="129" customWidth="1"/>
    <col min="7941" max="7942" width="9.7109375" style="129" customWidth="1"/>
    <col min="7943" max="7943" width="10.7109375" style="129" customWidth="1"/>
    <col min="7944" max="7945" width="11.28515625" style="129" customWidth="1"/>
    <col min="7946" max="7946" width="17" style="129" customWidth="1"/>
    <col min="7947" max="7947" width="16.28515625" style="129" customWidth="1"/>
    <col min="7948" max="8192" width="10.28515625" style="129"/>
    <col min="8193" max="8193" width="6.42578125" style="129" customWidth="1"/>
    <col min="8194" max="8194" width="58.28515625" style="129" customWidth="1"/>
    <col min="8195" max="8195" width="10.28515625" style="129"/>
    <col min="8196" max="8196" width="11" style="129" customWidth="1"/>
    <col min="8197" max="8198" width="9.7109375" style="129" customWidth="1"/>
    <col min="8199" max="8199" width="10.7109375" style="129" customWidth="1"/>
    <col min="8200" max="8201" width="11.28515625" style="129" customWidth="1"/>
    <col min="8202" max="8202" width="17" style="129" customWidth="1"/>
    <col min="8203" max="8203" width="16.28515625" style="129" customWidth="1"/>
    <col min="8204" max="8448" width="10.28515625" style="129"/>
    <col min="8449" max="8449" width="6.42578125" style="129" customWidth="1"/>
    <col min="8450" max="8450" width="58.28515625" style="129" customWidth="1"/>
    <col min="8451" max="8451" width="10.28515625" style="129"/>
    <col min="8452" max="8452" width="11" style="129" customWidth="1"/>
    <col min="8453" max="8454" width="9.7109375" style="129" customWidth="1"/>
    <col min="8455" max="8455" width="10.7109375" style="129" customWidth="1"/>
    <col min="8456" max="8457" width="11.28515625" style="129" customWidth="1"/>
    <col min="8458" max="8458" width="17" style="129" customWidth="1"/>
    <col min="8459" max="8459" width="16.28515625" style="129" customWidth="1"/>
    <col min="8460" max="8704" width="10.28515625" style="129"/>
    <col min="8705" max="8705" width="6.42578125" style="129" customWidth="1"/>
    <col min="8706" max="8706" width="58.28515625" style="129" customWidth="1"/>
    <col min="8707" max="8707" width="10.28515625" style="129"/>
    <col min="8708" max="8708" width="11" style="129" customWidth="1"/>
    <col min="8709" max="8710" width="9.7109375" style="129" customWidth="1"/>
    <col min="8711" max="8711" width="10.7109375" style="129" customWidth="1"/>
    <col min="8712" max="8713" width="11.28515625" style="129" customWidth="1"/>
    <col min="8714" max="8714" width="17" style="129" customWidth="1"/>
    <col min="8715" max="8715" width="16.28515625" style="129" customWidth="1"/>
    <col min="8716" max="8960" width="10.28515625" style="129"/>
    <col min="8961" max="8961" width="6.42578125" style="129" customWidth="1"/>
    <col min="8962" max="8962" width="58.28515625" style="129" customWidth="1"/>
    <col min="8963" max="8963" width="10.28515625" style="129"/>
    <col min="8964" max="8964" width="11" style="129" customWidth="1"/>
    <col min="8965" max="8966" width="9.7109375" style="129" customWidth="1"/>
    <col min="8967" max="8967" width="10.7109375" style="129" customWidth="1"/>
    <col min="8968" max="8969" width="11.28515625" style="129" customWidth="1"/>
    <col min="8970" max="8970" width="17" style="129" customWidth="1"/>
    <col min="8971" max="8971" width="16.28515625" style="129" customWidth="1"/>
    <col min="8972" max="9216" width="10.28515625" style="129"/>
    <col min="9217" max="9217" width="6.42578125" style="129" customWidth="1"/>
    <col min="9218" max="9218" width="58.28515625" style="129" customWidth="1"/>
    <col min="9219" max="9219" width="10.28515625" style="129"/>
    <col min="9220" max="9220" width="11" style="129" customWidth="1"/>
    <col min="9221" max="9222" width="9.7109375" style="129" customWidth="1"/>
    <col min="9223" max="9223" width="10.7109375" style="129" customWidth="1"/>
    <col min="9224" max="9225" width="11.28515625" style="129" customWidth="1"/>
    <col min="9226" max="9226" width="17" style="129" customWidth="1"/>
    <col min="9227" max="9227" width="16.28515625" style="129" customWidth="1"/>
    <col min="9228" max="9472" width="10.28515625" style="129"/>
    <col min="9473" max="9473" width="6.42578125" style="129" customWidth="1"/>
    <col min="9474" max="9474" width="58.28515625" style="129" customWidth="1"/>
    <col min="9475" max="9475" width="10.28515625" style="129"/>
    <col min="9476" max="9476" width="11" style="129" customWidth="1"/>
    <col min="9477" max="9478" width="9.7109375" style="129" customWidth="1"/>
    <col min="9479" max="9479" width="10.7109375" style="129" customWidth="1"/>
    <col min="9480" max="9481" width="11.28515625" style="129" customWidth="1"/>
    <col min="9482" max="9482" width="17" style="129" customWidth="1"/>
    <col min="9483" max="9483" width="16.28515625" style="129" customWidth="1"/>
    <col min="9484" max="9728" width="10.28515625" style="129"/>
    <col min="9729" max="9729" width="6.42578125" style="129" customWidth="1"/>
    <col min="9730" max="9730" width="58.28515625" style="129" customWidth="1"/>
    <col min="9731" max="9731" width="10.28515625" style="129"/>
    <col min="9732" max="9732" width="11" style="129" customWidth="1"/>
    <col min="9733" max="9734" width="9.7109375" style="129" customWidth="1"/>
    <col min="9735" max="9735" width="10.7109375" style="129" customWidth="1"/>
    <col min="9736" max="9737" width="11.28515625" style="129" customWidth="1"/>
    <col min="9738" max="9738" width="17" style="129" customWidth="1"/>
    <col min="9739" max="9739" width="16.28515625" style="129" customWidth="1"/>
    <col min="9740" max="9984" width="10.28515625" style="129"/>
    <col min="9985" max="9985" width="6.42578125" style="129" customWidth="1"/>
    <col min="9986" max="9986" width="58.28515625" style="129" customWidth="1"/>
    <col min="9987" max="9987" width="10.28515625" style="129"/>
    <col min="9988" max="9988" width="11" style="129" customWidth="1"/>
    <col min="9989" max="9990" width="9.7109375" style="129" customWidth="1"/>
    <col min="9991" max="9991" width="10.7109375" style="129" customWidth="1"/>
    <col min="9992" max="9993" width="11.28515625" style="129" customWidth="1"/>
    <col min="9994" max="9994" width="17" style="129" customWidth="1"/>
    <col min="9995" max="9995" width="16.28515625" style="129" customWidth="1"/>
    <col min="9996" max="10240" width="10.28515625" style="129"/>
    <col min="10241" max="10241" width="6.42578125" style="129" customWidth="1"/>
    <col min="10242" max="10242" width="58.28515625" style="129" customWidth="1"/>
    <col min="10243" max="10243" width="10.28515625" style="129"/>
    <col min="10244" max="10244" width="11" style="129" customWidth="1"/>
    <col min="10245" max="10246" width="9.7109375" style="129" customWidth="1"/>
    <col min="10247" max="10247" width="10.7109375" style="129" customWidth="1"/>
    <col min="10248" max="10249" width="11.28515625" style="129" customWidth="1"/>
    <col min="10250" max="10250" width="17" style="129" customWidth="1"/>
    <col min="10251" max="10251" width="16.28515625" style="129" customWidth="1"/>
    <col min="10252" max="10496" width="10.28515625" style="129"/>
    <col min="10497" max="10497" width="6.42578125" style="129" customWidth="1"/>
    <col min="10498" max="10498" width="58.28515625" style="129" customWidth="1"/>
    <col min="10499" max="10499" width="10.28515625" style="129"/>
    <col min="10500" max="10500" width="11" style="129" customWidth="1"/>
    <col min="10501" max="10502" width="9.7109375" style="129" customWidth="1"/>
    <col min="10503" max="10503" width="10.7109375" style="129" customWidth="1"/>
    <col min="10504" max="10505" width="11.28515625" style="129" customWidth="1"/>
    <col min="10506" max="10506" width="17" style="129" customWidth="1"/>
    <col min="10507" max="10507" width="16.28515625" style="129" customWidth="1"/>
    <col min="10508" max="10752" width="10.28515625" style="129"/>
    <col min="10753" max="10753" width="6.42578125" style="129" customWidth="1"/>
    <col min="10754" max="10754" width="58.28515625" style="129" customWidth="1"/>
    <col min="10755" max="10755" width="10.28515625" style="129"/>
    <col min="10756" max="10756" width="11" style="129" customWidth="1"/>
    <col min="10757" max="10758" width="9.7109375" style="129" customWidth="1"/>
    <col min="10759" max="10759" width="10.7109375" style="129" customWidth="1"/>
    <col min="10760" max="10761" width="11.28515625" style="129" customWidth="1"/>
    <col min="10762" max="10762" width="17" style="129" customWidth="1"/>
    <col min="10763" max="10763" width="16.28515625" style="129" customWidth="1"/>
    <col min="10764" max="11008" width="10.28515625" style="129"/>
    <col min="11009" max="11009" width="6.42578125" style="129" customWidth="1"/>
    <col min="11010" max="11010" width="58.28515625" style="129" customWidth="1"/>
    <col min="11011" max="11011" width="10.28515625" style="129"/>
    <col min="11012" max="11012" width="11" style="129" customWidth="1"/>
    <col min="11013" max="11014" width="9.7109375" style="129" customWidth="1"/>
    <col min="11015" max="11015" width="10.7109375" style="129" customWidth="1"/>
    <col min="11016" max="11017" width="11.28515625" style="129" customWidth="1"/>
    <col min="11018" max="11018" width="17" style="129" customWidth="1"/>
    <col min="11019" max="11019" width="16.28515625" style="129" customWidth="1"/>
    <col min="11020" max="11264" width="10.28515625" style="129"/>
    <col min="11265" max="11265" width="6.42578125" style="129" customWidth="1"/>
    <col min="11266" max="11266" width="58.28515625" style="129" customWidth="1"/>
    <col min="11267" max="11267" width="10.28515625" style="129"/>
    <col min="11268" max="11268" width="11" style="129" customWidth="1"/>
    <col min="11269" max="11270" width="9.7109375" style="129" customWidth="1"/>
    <col min="11271" max="11271" width="10.7109375" style="129" customWidth="1"/>
    <col min="11272" max="11273" width="11.28515625" style="129" customWidth="1"/>
    <col min="11274" max="11274" width="17" style="129" customWidth="1"/>
    <col min="11275" max="11275" width="16.28515625" style="129" customWidth="1"/>
    <col min="11276" max="11520" width="10.28515625" style="129"/>
    <col min="11521" max="11521" width="6.42578125" style="129" customWidth="1"/>
    <col min="11522" max="11522" width="58.28515625" style="129" customWidth="1"/>
    <col min="11523" max="11523" width="10.28515625" style="129"/>
    <col min="11524" max="11524" width="11" style="129" customWidth="1"/>
    <col min="11525" max="11526" width="9.7109375" style="129" customWidth="1"/>
    <col min="11527" max="11527" width="10.7109375" style="129" customWidth="1"/>
    <col min="11528" max="11529" width="11.28515625" style="129" customWidth="1"/>
    <col min="11530" max="11530" width="17" style="129" customWidth="1"/>
    <col min="11531" max="11531" width="16.28515625" style="129" customWidth="1"/>
    <col min="11532" max="11776" width="10.28515625" style="129"/>
    <col min="11777" max="11777" width="6.42578125" style="129" customWidth="1"/>
    <col min="11778" max="11778" width="58.28515625" style="129" customWidth="1"/>
    <col min="11779" max="11779" width="10.28515625" style="129"/>
    <col min="11780" max="11780" width="11" style="129" customWidth="1"/>
    <col min="11781" max="11782" width="9.7109375" style="129" customWidth="1"/>
    <col min="11783" max="11783" width="10.7109375" style="129" customWidth="1"/>
    <col min="11784" max="11785" width="11.28515625" style="129" customWidth="1"/>
    <col min="11786" max="11786" width="17" style="129" customWidth="1"/>
    <col min="11787" max="11787" width="16.28515625" style="129" customWidth="1"/>
    <col min="11788" max="12032" width="10.28515625" style="129"/>
    <col min="12033" max="12033" width="6.42578125" style="129" customWidth="1"/>
    <col min="12034" max="12034" width="58.28515625" style="129" customWidth="1"/>
    <col min="12035" max="12035" width="10.28515625" style="129"/>
    <col min="12036" max="12036" width="11" style="129" customWidth="1"/>
    <col min="12037" max="12038" width="9.7109375" style="129" customWidth="1"/>
    <col min="12039" max="12039" width="10.7109375" style="129" customWidth="1"/>
    <col min="12040" max="12041" width="11.28515625" style="129" customWidth="1"/>
    <col min="12042" max="12042" width="17" style="129" customWidth="1"/>
    <col min="12043" max="12043" width="16.28515625" style="129" customWidth="1"/>
    <col min="12044" max="12288" width="10.28515625" style="129"/>
    <col min="12289" max="12289" width="6.42578125" style="129" customWidth="1"/>
    <col min="12290" max="12290" width="58.28515625" style="129" customWidth="1"/>
    <col min="12291" max="12291" width="10.28515625" style="129"/>
    <col min="12292" max="12292" width="11" style="129" customWidth="1"/>
    <col min="12293" max="12294" width="9.7109375" style="129" customWidth="1"/>
    <col min="12295" max="12295" width="10.7109375" style="129" customWidth="1"/>
    <col min="12296" max="12297" width="11.28515625" style="129" customWidth="1"/>
    <col min="12298" max="12298" width="17" style="129" customWidth="1"/>
    <col min="12299" max="12299" width="16.28515625" style="129" customWidth="1"/>
    <col min="12300" max="12544" width="10.28515625" style="129"/>
    <col min="12545" max="12545" width="6.42578125" style="129" customWidth="1"/>
    <col min="12546" max="12546" width="58.28515625" style="129" customWidth="1"/>
    <col min="12547" max="12547" width="10.28515625" style="129"/>
    <col min="12548" max="12548" width="11" style="129" customWidth="1"/>
    <col min="12549" max="12550" width="9.7109375" style="129" customWidth="1"/>
    <col min="12551" max="12551" width="10.7109375" style="129" customWidth="1"/>
    <col min="12552" max="12553" width="11.28515625" style="129" customWidth="1"/>
    <col min="12554" max="12554" width="17" style="129" customWidth="1"/>
    <col min="12555" max="12555" width="16.28515625" style="129" customWidth="1"/>
    <col min="12556" max="12800" width="10.28515625" style="129"/>
    <col min="12801" max="12801" width="6.42578125" style="129" customWidth="1"/>
    <col min="12802" max="12802" width="58.28515625" style="129" customWidth="1"/>
    <col min="12803" max="12803" width="10.28515625" style="129"/>
    <col min="12804" max="12804" width="11" style="129" customWidth="1"/>
    <col min="12805" max="12806" width="9.7109375" style="129" customWidth="1"/>
    <col min="12807" max="12807" width="10.7109375" style="129" customWidth="1"/>
    <col min="12808" max="12809" width="11.28515625" style="129" customWidth="1"/>
    <col min="12810" max="12810" width="17" style="129" customWidth="1"/>
    <col min="12811" max="12811" width="16.28515625" style="129" customWidth="1"/>
    <col min="12812" max="13056" width="10.28515625" style="129"/>
    <col min="13057" max="13057" width="6.42578125" style="129" customWidth="1"/>
    <col min="13058" max="13058" width="58.28515625" style="129" customWidth="1"/>
    <col min="13059" max="13059" width="10.28515625" style="129"/>
    <col min="13060" max="13060" width="11" style="129" customWidth="1"/>
    <col min="13061" max="13062" width="9.7109375" style="129" customWidth="1"/>
    <col min="13063" max="13063" width="10.7109375" style="129" customWidth="1"/>
    <col min="13064" max="13065" width="11.28515625" style="129" customWidth="1"/>
    <col min="13066" max="13066" width="17" style="129" customWidth="1"/>
    <col min="13067" max="13067" width="16.28515625" style="129" customWidth="1"/>
    <col min="13068" max="13312" width="10.28515625" style="129"/>
    <col min="13313" max="13313" width="6.42578125" style="129" customWidth="1"/>
    <col min="13314" max="13314" width="58.28515625" style="129" customWidth="1"/>
    <col min="13315" max="13315" width="10.28515625" style="129"/>
    <col min="13316" max="13316" width="11" style="129" customWidth="1"/>
    <col min="13317" max="13318" width="9.7109375" style="129" customWidth="1"/>
    <col min="13319" max="13319" width="10.7109375" style="129" customWidth="1"/>
    <col min="13320" max="13321" width="11.28515625" style="129" customWidth="1"/>
    <col min="13322" max="13322" width="17" style="129" customWidth="1"/>
    <col min="13323" max="13323" width="16.28515625" style="129" customWidth="1"/>
    <col min="13324" max="13568" width="10.28515625" style="129"/>
    <col min="13569" max="13569" width="6.42578125" style="129" customWidth="1"/>
    <col min="13570" max="13570" width="58.28515625" style="129" customWidth="1"/>
    <col min="13571" max="13571" width="10.28515625" style="129"/>
    <col min="13572" max="13572" width="11" style="129" customWidth="1"/>
    <col min="13573" max="13574" width="9.7109375" style="129" customWidth="1"/>
    <col min="13575" max="13575" width="10.7109375" style="129" customWidth="1"/>
    <col min="13576" max="13577" width="11.28515625" style="129" customWidth="1"/>
    <col min="13578" max="13578" width="17" style="129" customWidth="1"/>
    <col min="13579" max="13579" width="16.28515625" style="129" customWidth="1"/>
    <col min="13580" max="13824" width="10.28515625" style="129"/>
    <col min="13825" max="13825" width="6.42578125" style="129" customWidth="1"/>
    <col min="13826" max="13826" width="58.28515625" style="129" customWidth="1"/>
    <col min="13827" max="13827" width="10.28515625" style="129"/>
    <col min="13828" max="13828" width="11" style="129" customWidth="1"/>
    <col min="13829" max="13830" width="9.7109375" style="129" customWidth="1"/>
    <col min="13831" max="13831" width="10.7109375" style="129" customWidth="1"/>
    <col min="13832" max="13833" width="11.28515625" style="129" customWidth="1"/>
    <col min="13834" max="13834" width="17" style="129" customWidth="1"/>
    <col min="13835" max="13835" width="16.28515625" style="129" customWidth="1"/>
    <col min="13836" max="14080" width="10.28515625" style="129"/>
    <col min="14081" max="14081" width="6.42578125" style="129" customWidth="1"/>
    <col min="14082" max="14082" width="58.28515625" style="129" customWidth="1"/>
    <col min="14083" max="14083" width="10.28515625" style="129"/>
    <col min="14084" max="14084" width="11" style="129" customWidth="1"/>
    <col min="14085" max="14086" width="9.7109375" style="129" customWidth="1"/>
    <col min="14087" max="14087" width="10.7109375" style="129" customWidth="1"/>
    <col min="14088" max="14089" width="11.28515625" style="129" customWidth="1"/>
    <col min="14090" max="14090" width="17" style="129" customWidth="1"/>
    <col min="14091" max="14091" width="16.28515625" style="129" customWidth="1"/>
    <col min="14092" max="14336" width="10.28515625" style="129"/>
    <col min="14337" max="14337" width="6.42578125" style="129" customWidth="1"/>
    <col min="14338" max="14338" width="58.28515625" style="129" customWidth="1"/>
    <col min="14339" max="14339" width="10.28515625" style="129"/>
    <col min="14340" max="14340" width="11" style="129" customWidth="1"/>
    <col min="14341" max="14342" width="9.7109375" style="129" customWidth="1"/>
    <col min="14343" max="14343" width="10.7109375" style="129" customWidth="1"/>
    <col min="14344" max="14345" width="11.28515625" style="129" customWidth="1"/>
    <col min="14346" max="14346" width="17" style="129" customWidth="1"/>
    <col min="14347" max="14347" width="16.28515625" style="129" customWidth="1"/>
    <col min="14348" max="14592" width="10.28515625" style="129"/>
    <col min="14593" max="14593" width="6.42578125" style="129" customWidth="1"/>
    <col min="14594" max="14594" width="58.28515625" style="129" customWidth="1"/>
    <col min="14595" max="14595" width="10.28515625" style="129"/>
    <col min="14596" max="14596" width="11" style="129" customWidth="1"/>
    <col min="14597" max="14598" width="9.7109375" style="129" customWidth="1"/>
    <col min="14599" max="14599" width="10.7109375" style="129" customWidth="1"/>
    <col min="14600" max="14601" width="11.28515625" style="129" customWidth="1"/>
    <col min="14602" max="14602" width="17" style="129" customWidth="1"/>
    <col min="14603" max="14603" width="16.28515625" style="129" customWidth="1"/>
    <col min="14604" max="14848" width="10.28515625" style="129"/>
    <col min="14849" max="14849" width="6.42578125" style="129" customWidth="1"/>
    <col min="14850" max="14850" width="58.28515625" style="129" customWidth="1"/>
    <col min="14851" max="14851" width="10.28515625" style="129"/>
    <col min="14852" max="14852" width="11" style="129" customWidth="1"/>
    <col min="14853" max="14854" width="9.7109375" style="129" customWidth="1"/>
    <col min="14855" max="14855" width="10.7109375" style="129" customWidth="1"/>
    <col min="14856" max="14857" width="11.28515625" style="129" customWidth="1"/>
    <col min="14858" max="14858" width="17" style="129" customWidth="1"/>
    <col min="14859" max="14859" width="16.28515625" style="129" customWidth="1"/>
    <col min="14860" max="15104" width="10.28515625" style="129"/>
    <col min="15105" max="15105" width="6.42578125" style="129" customWidth="1"/>
    <col min="15106" max="15106" width="58.28515625" style="129" customWidth="1"/>
    <col min="15107" max="15107" width="10.28515625" style="129"/>
    <col min="15108" max="15108" width="11" style="129" customWidth="1"/>
    <col min="15109" max="15110" width="9.7109375" style="129" customWidth="1"/>
    <col min="15111" max="15111" width="10.7109375" style="129" customWidth="1"/>
    <col min="15112" max="15113" width="11.28515625" style="129" customWidth="1"/>
    <col min="15114" max="15114" width="17" style="129" customWidth="1"/>
    <col min="15115" max="15115" width="16.28515625" style="129" customWidth="1"/>
    <col min="15116" max="15360" width="10.28515625" style="129"/>
    <col min="15361" max="15361" width="6.42578125" style="129" customWidth="1"/>
    <col min="15362" max="15362" width="58.28515625" style="129" customWidth="1"/>
    <col min="15363" max="15363" width="10.28515625" style="129"/>
    <col min="15364" max="15364" width="11" style="129" customWidth="1"/>
    <col min="15365" max="15366" width="9.7109375" style="129" customWidth="1"/>
    <col min="15367" max="15367" width="10.7109375" style="129" customWidth="1"/>
    <col min="15368" max="15369" width="11.28515625" style="129" customWidth="1"/>
    <col min="15370" max="15370" width="17" style="129" customWidth="1"/>
    <col min="15371" max="15371" width="16.28515625" style="129" customWidth="1"/>
    <col min="15372" max="15616" width="10.28515625" style="129"/>
    <col min="15617" max="15617" width="6.42578125" style="129" customWidth="1"/>
    <col min="15618" max="15618" width="58.28515625" style="129" customWidth="1"/>
    <col min="15619" max="15619" width="10.28515625" style="129"/>
    <col min="15620" max="15620" width="11" style="129" customWidth="1"/>
    <col min="15621" max="15622" width="9.7109375" style="129" customWidth="1"/>
    <col min="15623" max="15623" width="10.7109375" style="129" customWidth="1"/>
    <col min="15624" max="15625" width="11.28515625" style="129" customWidth="1"/>
    <col min="15626" max="15626" width="17" style="129" customWidth="1"/>
    <col min="15627" max="15627" width="16.28515625" style="129" customWidth="1"/>
    <col min="15628" max="15872" width="10.28515625" style="129"/>
    <col min="15873" max="15873" width="6.42578125" style="129" customWidth="1"/>
    <col min="15874" max="15874" width="58.28515625" style="129" customWidth="1"/>
    <col min="15875" max="15875" width="10.28515625" style="129"/>
    <col min="15876" max="15876" width="11" style="129" customWidth="1"/>
    <col min="15877" max="15878" width="9.7109375" style="129" customWidth="1"/>
    <col min="15879" max="15879" width="10.7109375" style="129" customWidth="1"/>
    <col min="15880" max="15881" width="11.28515625" style="129" customWidth="1"/>
    <col min="15882" max="15882" width="17" style="129" customWidth="1"/>
    <col min="15883" max="15883" width="16.28515625" style="129" customWidth="1"/>
    <col min="15884" max="16128" width="10.28515625" style="129"/>
    <col min="16129" max="16129" width="6.42578125" style="129" customWidth="1"/>
    <col min="16130" max="16130" width="58.28515625" style="129" customWidth="1"/>
    <col min="16131" max="16131" width="10.28515625" style="129"/>
    <col min="16132" max="16132" width="11" style="129" customWidth="1"/>
    <col min="16133" max="16134" width="9.7109375" style="129" customWidth="1"/>
    <col min="16135" max="16135" width="10.7109375" style="129" customWidth="1"/>
    <col min="16136" max="16137" width="11.28515625" style="129" customWidth="1"/>
    <col min="16138" max="16138" width="17" style="129" customWidth="1"/>
    <col min="16139" max="16139" width="16.28515625" style="129" customWidth="1"/>
    <col min="16140" max="16384" width="10.28515625" style="129"/>
  </cols>
  <sheetData>
    <row r="1" spans="1:12" ht="12" customHeight="1" x14ac:dyDescent="0.2">
      <c r="A1" s="407"/>
      <c r="C1" s="130"/>
      <c r="D1" s="130"/>
      <c r="E1" s="130"/>
      <c r="F1" s="130"/>
      <c r="H1" s="130" t="s">
        <v>260</v>
      </c>
    </row>
    <row r="2" spans="1:12" ht="12" customHeight="1" x14ac:dyDescent="0.2">
      <c r="C2" s="130"/>
      <c r="D2" s="130"/>
      <c r="E2" s="130"/>
      <c r="F2" s="130"/>
      <c r="H2" s="3" t="s">
        <v>258</v>
      </c>
    </row>
    <row r="3" spans="1:12" ht="12" customHeight="1" x14ac:dyDescent="0.2">
      <c r="C3" s="130"/>
      <c r="D3" s="130"/>
      <c r="E3" s="130"/>
      <c r="F3" s="130"/>
      <c r="H3" s="3" t="s">
        <v>1</v>
      </c>
    </row>
    <row r="4" spans="1:12" ht="12" customHeight="1" x14ac:dyDescent="0.2">
      <c r="B4" s="130"/>
      <c r="C4" s="131"/>
      <c r="D4" s="130"/>
      <c r="E4" s="131"/>
      <c r="F4" s="130"/>
      <c r="H4" s="3" t="s">
        <v>259</v>
      </c>
    </row>
    <row r="5" spans="1:12" ht="12" customHeight="1" x14ac:dyDescent="0.2">
      <c r="B5" s="130"/>
      <c r="C5" s="131"/>
      <c r="D5" s="130"/>
      <c r="E5" s="131"/>
      <c r="F5" s="130"/>
      <c r="G5" s="130"/>
      <c r="H5" s="130"/>
    </row>
    <row r="6" spans="1:12" ht="12.75" customHeight="1" x14ac:dyDescent="0.2">
      <c r="A6" s="132" t="s">
        <v>261</v>
      </c>
      <c r="B6" s="132"/>
      <c r="C6" s="132"/>
      <c r="D6" s="132"/>
      <c r="E6" s="132"/>
      <c r="F6" s="132"/>
      <c r="G6" s="132"/>
      <c r="H6" s="132"/>
      <c r="I6" s="132"/>
    </row>
    <row r="7" spans="1:12" ht="11.25" customHeight="1" x14ac:dyDescent="0.2">
      <c r="I7" s="129" t="s">
        <v>3</v>
      </c>
    </row>
    <row r="8" spans="1:12" ht="11.25" customHeight="1" x14ac:dyDescent="0.2">
      <c r="A8" s="133"/>
      <c r="B8" s="133"/>
      <c r="C8" s="134" t="s">
        <v>262</v>
      </c>
      <c r="D8" s="135" t="s">
        <v>263</v>
      </c>
      <c r="E8" s="136" t="s">
        <v>264</v>
      </c>
      <c r="F8" s="137"/>
      <c r="G8" s="136" t="s">
        <v>265</v>
      </c>
      <c r="H8" s="138"/>
      <c r="I8" s="137"/>
    </row>
    <row r="9" spans="1:12" ht="11.25" customHeight="1" x14ac:dyDescent="0.2">
      <c r="A9" s="139"/>
      <c r="B9" s="139"/>
      <c r="C9" s="140"/>
      <c r="D9" s="141" t="s">
        <v>266</v>
      </c>
      <c r="E9" s="134"/>
      <c r="F9" s="134"/>
      <c r="G9" s="136" t="s">
        <v>267</v>
      </c>
      <c r="H9" s="138"/>
      <c r="I9" s="137"/>
    </row>
    <row r="10" spans="1:12" ht="11.25" customHeight="1" x14ac:dyDescent="0.2">
      <c r="A10" s="139"/>
      <c r="B10" s="139"/>
      <c r="C10" s="140" t="s">
        <v>268</v>
      </c>
      <c r="D10" s="141" t="s">
        <v>269</v>
      </c>
      <c r="E10" s="140"/>
      <c r="F10" s="140"/>
      <c r="G10" s="134"/>
      <c r="H10" s="134"/>
      <c r="I10" s="134"/>
    </row>
    <row r="11" spans="1:12" ht="14.25" customHeight="1" x14ac:dyDescent="0.2">
      <c r="A11" s="139" t="s">
        <v>270</v>
      </c>
      <c r="B11" s="139" t="s">
        <v>271</v>
      </c>
      <c r="C11" s="140" t="s">
        <v>272</v>
      </c>
      <c r="D11" s="141" t="s">
        <v>273</v>
      </c>
      <c r="E11" s="140"/>
      <c r="F11" s="140"/>
      <c r="G11" s="140"/>
      <c r="H11" s="140"/>
      <c r="I11" s="140"/>
    </row>
    <row r="12" spans="1:12" ht="32.25" customHeight="1" x14ac:dyDescent="0.2">
      <c r="A12" s="139"/>
      <c r="B12" s="139"/>
      <c r="C12" s="140" t="s">
        <v>274</v>
      </c>
      <c r="D12" s="141" t="s">
        <v>275</v>
      </c>
      <c r="E12" s="140" t="s">
        <v>276</v>
      </c>
      <c r="F12" s="140" t="s">
        <v>277</v>
      </c>
      <c r="G12" s="140" t="s">
        <v>278</v>
      </c>
      <c r="H12" s="140" t="s">
        <v>279</v>
      </c>
      <c r="I12" s="140" t="s">
        <v>277</v>
      </c>
    </row>
    <row r="13" spans="1:12" ht="18.75" customHeight="1" x14ac:dyDescent="0.2">
      <c r="A13" s="142"/>
      <c r="B13" s="142"/>
      <c r="D13" s="143" t="s">
        <v>280</v>
      </c>
      <c r="E13" s="144"/>
      <c r="F13" s="144"/>
      <c r="G13" s="144"/>
      <c r="H13" s="144"/>
      <c r="I13" s="144"/>
    </row>
    <row r="14" spans="1:12" ht="11.25" customHeight="1" x14ac:dyDescent="0.2">
      <c r="A14" s="145">
        <v>1</v>
      </c>
      <c r="B14" s="145">
        <v>2</v>
      </c>
      <c r="C14" s="145">
        <v>3</v>
      </c>
      <c r="D14" s="145">
        <v>4</v>
      </c>
      <c r="E14" s="145">
        <v>5</v>
      </c>
      <c r="F14" s="145">
        <v>6</v>
      </c>
      <c r="G14" s="146">
        <v>7</v>
      </c>
      <c r="H14" s="145">
        <v>8</v>
      </c>
      <c r="I14" s="145">
        <v>9</v>
      </c>
    </row>
    <row r="15" spans="1:12" s="153" customFormat="1" ht="21.75" customHeight="1" x14ac:dyDescent="0.2">
      <c r="A15" s="147"/>
      <c r="B15" s="148" t="s">
        <v>281</v>
      </c>
      <c r="C15" s="149"/>
      <c r="D15" s="150">
        <v>142937848.98999998</v>
      </c>
      <c r="E15" s="150">
        <v>49101428.820000008</v>
      </c>
      <c r="F15" s="150">
        <v>93836420.169999987</v>
      </c>
      <c r="G15" s="151">
        <v>66511490.729999997</v>
      </c>
      <c r="H15" s="150">
        <v>15964180.32</v>
      </c>
      <c r="I15" s="150">
        <v>50547310.410000011</v>
      </c>
      <c r="J15" s="152"/>
      <c r="K15" s="152"/>
    </row>
    <row r="16" spans="1:12" s="153" customFormat="1" ht="12" customHeight="1" x14ac:dyDescent="0.2">
      <c r="A16" s="154"/>
      <c r="B16" s="408" t="s">
        <v>282</v>
      </c>
      <c r="C16" s="409"/>
      <c r="D16" s="410">
        <v>25356686.219999995</v>
      </c>
      <c r="E16" s="410">
        <v>3027746.7</v>
      </c>
      <c r="F16" s="410">
        <v>22328939.519999996</v>
      </c>
      <c r="G16" s="410">
        <v>15159875.75</v>
      </c>
      <c r="H16" s="410">
        <v>1272348.5999999999</v>
      </c>
      <c r="I16" s="410">
        <v>13887527.150000002</v>
      </c>
      <c r="J16" s="152"/>
      <c r="K16" s="155"/>
      <c r="L16" s="155"/>
    </row>
    <row r="17" spans="1:11" s="153" customFormat="1" ht="12" customHeight="1" x14ac:dyDescent="0.2">
      <c r="A17" s="154"/>
      <c r="B17" s="411" t="s">
        <v>283</v>
      </c>
      <c r="C17" s="412"/>
      <c r="D17" s="413">
        <v>117581162.77</v>
      </c>
      <c r="E17" s="413">
        <v>46073682.120000005</v>
      </c>
      <c r="F17" s="413">
        <v>71507480.649999991</v>
      </c>
      <c r="G17" s="413">
        <v>51351614.979999997</v>
      </c>
      <c r="H17" s="413">
        <v>14691831.720000001</v>
      </c>
      <c r="I17" s="413">
        <v>36659783.260000005</v>
      </c>
      <c r="J17" s="152"/>
      <c r="K17" s="155"/>
    </row>
    <row r="18" spans="1:11" ht="33" customHeight="1" thickBot="1" x14ac:dyDescent="0.25">
      <c r="A18" s="156" t="s">
        <v>284</v>
      </c>
      <c r="B18" s="157" t="s">
        <v>285</v>
      </c>
      <c r="C18" s="158"/>
      <c r="D18" s="159">
        <v>123851039.55000001</v>
      </c>
      <c r="E18" s="159">
        <v>45752037.170000002</v>
      </c>
      <c r="F18" s="159">
        <v>78099002.379999995</v>
      </c>
      <c r="G18" s="159">
        <v>56073720.039999992</v>
      </c>
      <c r="H18" s="159">
        <v>13863002.920000002</v>
      </c>
      <c r="I18" s="159">
        <v>42210717.119999997</v>
      </c>
      <c r="J18" s="160"/>
    </row>
    <row r="19" spans="1:11" ht="22.5" customHeight="1" x14ac:dyDescent="0.2">
      <c r="A19" s="161" t="s">
        <v>286</v>
      </c>
      <c r="B19" s="162" t="s">
        <v>287</v>
      </c>
      <c r="C19" s="163"/>
      <c r="D19" s="164"/>
      <c r="E19" s="164"/>
      <c r="F19" s="165"/>
      <c r="G19" s="164"/>
      <c r="H19" s="164"/>
      <c r="I19" s="165"/>
    </row>
    <row r="20" spans="1:11" ht="12" customHeight="1" x14ac:dyDescent="0.2">
      <c r="A20" s="161"/>
      <c r="B20" s="166" t="s">
        <v>288</v>
      </c>
      <c r="C20" s="167"/>
      <c r="D20" s="168"/>
      <c r="E20" s="168"/>
      <c r="F20" s="169"/>
      <c r="G20" s="168"/>
      <c r="H20" s="168"/>
      <c r="I20" s="169"/>
    </row>
    <row r="21" spans="1:11" ht="12" customHeight="1" x14ac:dyDescent="0.2">
      <c r="A21" s="161"/>
      <c r="B21" s="414" t="s">
        <v>283</v>
      </c>
      <c r="C21" s="170" t="s">
        <v>289</v>
      </c>
      <c r="D21" s="171"/>
      <c r="E21" s="171"/>
      <c r="F21" s="169"/>
      <c r="G21" s="168"/>
      <c r="H21" s="171"/>
      <c r="I21" s="169"/>
    </row>
    <row r="22" spans="1:11" ht="12" customHeight="1" x14ac:dyDescent="0.2">
      <c r="A22" s="161"/>
      <c r="B22" s="415" t="s">
        <v>282</v>
      </c>
      <c r="C22" s="172" t="s">
        <v>290</v>
      </c>
      <c r="D22" s="173">
        <v>50000</v>
      </c>
      <c r="E22" s="173"/>
      <c r="F22" s="174">
        <v>50000</v>
      </c>
      <c r="G22" s="175">
        <v>50000</v>
      </c>
      <c r="H22" s="173"/>
      <c r="I22" s="174">
        <v>50000</v>
      </c>
    </row>
    <row r="23" spans="1:11" ht="24.75" customHeight="1" x14ac:dyDescent="0.2">
      <c r="A23" s="161" t="s">
        <v>291</v>
      </c>
      <c r="B23" s="176" t="s">
        <v>292</v>
      </c>
      <c r="C23" s="163"/>
      <c r="D23" s="164"/>
      <c r="E23" s="164"/>
      <c r="F23" s="165"/>
      <c r="G23" s="164"/>
      <c r="H23" s="164"/>
      <c r="I23" s="165"/>
    </row>
    <row r="24" spans="1:11" ht="12" customHeight="1" x14ac:dyDescent="0.2">
      <c r="A24" s="161"/>
      <c r="B24" s="166" t="s">
        <v>288</v>
      </c>
      <c r="C24" s="167"/>
      <c r="D24" s="168"/>
      <c r="E24" s="168"/>
      <c r="F24" s="169"/>
      <c r="G24" s="168"/>
      <c r="H24" s="168"/>
      <c r="I24" s="169"/>
    </row>
    <row r="25" spans="1:11" ht="12" customHeight="1" x14ac:dyDescent="0.2">
      <c r="A25" s="161"/>
      <c r="B25" s="414" t="s">
        <v>283</v>
      </c>
      <c r="C25" s="170" t="s">
        <v>289</v>
      </c>
      <c r="D25" s="168"/>
      <c r="E25" s="171"/>
      <c r="F25" s="169"/>
      <c r="G25" s="168"/>
      <c r="H25" s="171"/>
      <c r="I25" s="169"/>
    </row>
    <row r="26" spans="1:11" ht="12" customHeight="1" x14ac:dyDescent="0.2">
      <c r="A26" s="161"/>
      <c r="B26" s="415" t="s">
        <v>282</v>
      </c>
      <c r="C26" s="172" t="s">
        <v>290</v>
      </c>
      <c r="D26" s="175">
        <v>50000</v>
      </c>
      <c r="E26" s="173"/>
      <c r="F26" s="174">
        <v>50000</v>
      </c>
      <c r="G26" s="175">
        <v>50000</v>
      </c>
      <c r="H26" s="173"/>
      <c r="I26" s="174">
        <v>50000</v>
      </c>
    </row>
    <row r="27" spans="1:11" ht="24" customHeight="1" x14ac:dyDescent="0.2">
      <c r="A27" s="161" t="s">
        <v>293</v>
      </c>
      <c r="B27" s="176" t="s">
        <v>294</v>
      </c>
      <c r="C27" s="163"/>
      <c r="D27" s="164"/>
      <c r="E27" s="164"/>
      <c r="F27" s="165"/>
      <c r="G27" s="164"/>
      <c r="H27" s="164"/>
      <c r="I27" s="165"/>
    </row>
    <row r="28" spans="1:11" ht="12" customHeight="1" x14ac:dyDescent="0.2">
      <c r="A28" s="161"/>
      <c r="B28" s="166" t="s">
        <v>295</v>
      </c>
      <c r="C28" s="167"/>
      <c r="D28" s="168"/>
      <c r="E28" s="168"/>
      <c r="F28" s="169"/>
      <c r="G28" s="168"/>
      <c r="H28" s="168"/>
      <c r="I28" s="169"/>
    </row>
    <row r="29" spans="1:11" ht="12" customHeight="1" x14ac:dyDescent="0.2">
      <c r="A29" s="161"/>
      <c r="B29" s="414" t="s">
        <v>283</v>
      </c>
      <c r="C29" s="170" t="s">
        <v>289</v>
      </c>
      <c r="D29" s="168"/>
      <c r="E29" s="171"/>
      <c r="F29" s="169"/>
      <c r="G29" s="168"/>
      <c r="H29" s="171"/>
      <c r="I29" s="169"/>
    </row>
    <row r="30" spans="1:11" ht="12" customHeight="1" x14ac:dyDescent="0.2">
      <c r="A30" s="161"/>
      <c r="B30" s="415" t="s">
        <v>282</v>
      </c>
      <c r="C30" s="172" t="s">
        <v>290</v>
      </c>
      <c r="D30" s="177">
        <v>50000</v>
      </c>
      <c r="E30" s="178"/>
      <c r="F30" s="179">
        <v>50000</v>
      </c>
      <c r="G30" s="177">
        <v>50000</v>
      </c>
      <c r="H30" s="178"/>
      <c r="I30" s="179">
        <v>50000</v>
      </c>
    </row>
    <row r="31" spans="1:11" ht="22.5" customHeight="1" x14ac:dyDescent="0.2">
      <c r="A31" s="161" t="s">
        <v>296</v>
      </c>
      <c r="B31" s="176" t="s">
        <v>297</v>
      </c>
      <c r="C31" s="163"/>
      <c r="D31" s="164"/>
      <c r="E31" s="164"/>
      <c r="F31" s="165"/>
      <c r="G31" s="164"/>
      <c r="H31" s="164"/>
      <c r="I31" s="165"/>
    </row>
    <row r="32" spans="1:11" ht="12" customHeight="1" x14ac:dyDescent="0.2">
      <c r="A32" s="161"/>
      <c r="B32" s="166" t="s">
        <v>295</v>
      </c>
      <c r="C32" s="167"/>
      <c r="D32" s="168"/>
      <c r="E32" s="168"/>
      <c r="F32" s="169"/>
      <c r="G32" s="168"/>
      <c r="H32" s="168"/>
      <c r="I32" s="169"/>
    </row>
    <row r="33" spans="1:9" ht="12" customHeight="1" x14ac:dyDescent="0.2">
      <c r="A33" s="161"/>
      <c r="B33" s="414" t="s">
        <v>283</v>
      </c>
      <c r="C33" s="170" t="s">
        <v>289</v>
      </c>
      <c r="D33" s="171"/>
      <c r="E33" s="171"/>
      <c r="F33" s="169"/>
      <c r="G33" s="168"/>
      <c r="H33" s="171"/>
      <c r="I33" s="169"/>
    </row>
    <row r="34" spans="1:9" ht="12" customHeight="1" x14ac:dyDescent="0.2">
      <c r="A34" s="180"/>
      <c r="B34" s="415" t="s">
        <v>282</v>
      </c>
      <c r="C34" s="172" t="s">
        <v>290</v>
      </c>
      <c r="D34" s="178">
        <v>50000</v>
      </c>
      <c r="E34" s="178"/>
      <c r="F34" s="179">
        <v>50000</v>
      </c>
      <c r="G34" s="177">
        <v>50000</v>
      </c>
      <c r="H34" s="178"/>
      <c r="I34" s="179">
        <v>50000</v>
      </c>
    </row>
    <row r="35" spans="1:9" ht="11.1" customHeight="1" x14ac:dyDescent="0.2">
      <c r="A35" s="181"/>
      <c r="C35" s="182"/>
      <c r="D35" s="164"/>
      <c r="E35" s="164"/>
      <c r="F35" s="164"/>
      <c r="G35" s="164"/>
      <c r="H35" s="164"/>
      <c r="I35" s="183"/>
    </row>
    <row r="36" spans="1:9" ht="11.1" customHeight="1" x14ac:dyDescent="0.2">
      <c r="A36" s="181"/>
      <c r="C36" s="184"/>
      <c r="D36" s="160"/>
      <c r="E36" s="160"/>
      <c r="F36" s="160"/>
      <c r="G36" s="160"/>
      <c r="H36" s="160"/>
      <c r="I36" s="185"/>
    </row>
    <row r="37" spans="1:9" ht="15.75" customHeight="1" x14ac:dyDescent="0.2">
      <c r="A37" s="129" t="s">
        <v>298</v>
      </c>
      <c r="D37" s="160"/>
      <c r="E37" s="160"/>
      <c r="F37" s="160"/>
      <c r="G37" s="160"/>
      <c r="H37" s="160"/>
      <c r="I37" s="160"/>
    </row>
    <row r="38" spans="1:9" ht="11.1" customHeight="1" x14ac:dyDescent="0.2">
      <c r="A38" s="181"/>
      <c r="D38" s="160"/>
      <c r="E38" s="160"/>
      <c r="F38" s="160"/>
      <c r="G38" s="160"/>
      <c r="H38" s="160"/>
      <c r="I38" s="160"/>
    </row>
    <row r="39" spans="1:9" ht="11.1" customHeight="1" x14ac:dyDescent="0.2">
      <c r="A39" s="181"/>
      <c r="D39" s="160"/>
      <c r="E39" s="160"/>
      <c r="F39" s="160"/>
      <c r="G39" s="160"/>
      <c r="H39" s="160"/>
      <c r="I39" s="160"/>
    </row>
    <row r="40" spans="1:9" ht="11.1" customHeight="1" x14ac:dyDescent="0.2">
      <c r="A40" s="181"/>
      <c r="D40" s="160"/>
      <c r="E40" s="160"/>
      <c r="F40" s="160"/>
      <c r="G40" s="160"/>
      <c r="H40" s="160"/>
      <c r="I40" s="160"/>
    </row>
    <row r="41" spans="1:9" ht="11.1" customHeight="1" x14ac:dyDescent="0.2">
      <c r="A41" s="181"/>
      <c r="D41" s="160"/>
      <c r="E41" s="160"/>
      <c r="F41" s="160"/>
      <c r="G41" s="160"/>
      <c r="H41" s="160"/>
      <c r="I41" s="160"/>
    </row>
    <row r="42" spans="1:9" ht="11.1" customHeight="1" x14ac:dyDescent="0.2">
      <c r="A42" s="181"/>
      <c r="D42" s="160"/>
      <c r="E42" s="160"/>
      <c r="F42" s="160"/>
      <c r="G42" s="160"/>
      <c r="H42" s="160"/>
      <c r="I42" s="160"/>
    </row>
    <row r="43" spans="1:9" ht="11.1" customHeight="1" x14ac:dyDescent="0.2">
      <c r="A43" s="181"/>
      <c r="D43" s="160"/>
      <c r="E43" s="160"/>
      <c r="F43" s="160"/>
      <c r="G43" s="160"/>
      <c r="H43" s="160"/>
      <c r="I43" s="160"/>
    </row>
    <row r="44" spans="1:9" ht="11.1" customHeight="1" x14ac:dyDescent="0.2">
      <c r="A44" s="181"/>
      <c r="D44" s="160"/>
      <c r="E44" s="160"/>
      <c r="F44" s="160"/>
      <c r="G44" s="160"/>
      <c r="H44" s="160"/>
      <c r="I44" s="160"/>
    </row>
    <row r="45" spans="1:9" ht="11.1" customHeight="1" x14ac:dyDescent="0.2">
      <c r="A45" s="181"/>
      <c r="D45" s="160"/>
      <c r="E45" s="160"/>
      <c r="F45" s="160"/>
      <c r="G45" s="160"/>
      <c r="H45" s="160"/>
      <c r="I45" s="160"/>
    </row>
    <row r="46" spans="1:9" ht="11.1" customHeight="1" x14ac:dyDescent="0.2">
      <c r="A46" s="181"/>
      <c r="D46" s="160"/>
      <c r="E46" s="160"/>
      <c r="F46" s="160"/>
      <c r="G46" s="160"/>
      <c r="H46" s="160"/>
      <c r="I46" s="160"/>
    </row>
    <row r="47" spans="1:9" ht="11.1" customHeight="1" x14ac:dyDescent="0.2">
      <c r="A47" s="181"/>
      <c r="D47" s="160"/>
      <c r="E47" s="160"/>
      <c r="F47" s="160"/>
      <c r="G47" s="160"/>
      <c r="H47" s="160"/>
      <c r="I47" s="160"/>
    </row>
    <row r="48" spans="1:9" ht="11.1" customHeight="1" x14ac:dyDescent="0.2">
      <c r="A48" s="181"/>
      <c r="D48" s="160"/>
      <c r="E48" s="160"/>
      <c r="F48" s="160"/>
      <c r="G48" s="160"/>
      <c r="H48" s="160"/>
      <c r="I48" s="160"/>
    </row>
    <row r="49" spans="1:9" ht="11.1" customHeight="1" x14ac:dyDescent="0.2">
      <c r="A49" s="181"/>
      <c r="D49" s="160"/>
      <c r="E49" s="160"/>
      <c r="F49" s="160"/>
      <c r="G49" s="160"/>
      <c r="H49" s="160"/>
      <c r="I49" s="160"/>
    </row>
    <row r="50" spans="1:9" ht="11.1" customHeight="1" x14ac:dyDescent="0.2">
      <c r="A50" s="181"/>
      <c r="D50" s="160"/>
      <c r="E50" s="160"/>
      <c r="F50" s="160"/>
      <c r="G50" s="160"/>
      <c r="H50" s="160"/>
      <c r="I50" s="160"/>
    </row>
    <row r="51" spans="1:9" ht="11.1" customHeight="1" x14ac:dyDescent="0.2">
      <c r="A51" s="181"/>
      <c r="D51" s="160"/>
      <c r="E51" s="160"/>
      <c r="F51" s="160"/>
      <c r="G51" s="160"/>
      <c r="H51" s="160"/>
      <c r="I51" s="160"/>
    </row>
    <row r="52" spans="1:9" ht="11.1" customHeight="1" x14ac:dyDescent="0.2">
      <c r="A52" s="181"/>
      <c r="D52" s="160"/>
      <c r="E52" s="160"/>
      <c r="F52" s="160"/>
      <c r="G52" s="160"/>
      <c r="H52" s="160"/>
      <c r="I52" s="160"/>
    </row>
    <row r="53" spans="1:9" ht="12.75" customHeight="1" x14ac:dyDescent="0.2">
      <c r="D53" s="164"/>
      <c r="E53" s="164"/>
      <c r="F53" s="164"/>
      <c r="G53" s="164"/>
      <c r="H53" s="164"/>
      <c r="I53" s="164"/>
    </row>
    <row r="54" spans="1:9" ht="12.75" customHeight="1" x14ac:dyDescent="0.2"/>
  </sheetData>
  <printOptions horizontalCentered="1"/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ACA1E4-0124-4DA2-A4A7-1DCACB0D3C35}">
  <dimension ref="A1:BV22"/>
  <sheetViews>
    <sheetView zoomScale="130" zoomScaleNormal="130" workbookViewId="0"/>
  </sheetViews>
  <sheetFormatPr defaultRowHeight="12.75" x14ac:dyDescent="0.2"/>
  <cols>
    <col min="1" max="1" width="4.28515625" style="416" customWidth="1"/>
    <col min="2" max="2" width="8.7109375" style="416" customWidth="1"/>
    <col min="3" max="3" width="5.5703125" style="416" customWidth="1"/>
    <col min="4" max="4" width="10.140625" style="416" customWidth="1"/>
    <col min="5" max="5" width="10.42578125" style="416" customWidth="1"/>
    <col min="6" max="6" width="10.28515625" style="416" customWidth="1"/>
    <col min="7" max="7" width="14" style="416" customWidth="1"/>
    <col min="8" max="8" width="14.28515625" style="417" customWidth="1"/>
    <col min="9" max="9" width="11.28515625" style="417" customWidth="1"/>
    <col min="10" max="74" width="9.140625" style="417"/>
    <col min="75" max="256" width="9.140625" style="416"/>
    <col min="257" max="257" width="4.28515625" style="416" customWidth="1"/>
    <col min="258" max="258" width="8.7109375" style="416" customWidth="1"/>
    <col min="259" max="259" width="5.5703125" style="416" customWidth="1"/>
    <col min="260" max="260" width="10.140625" style="416" customWidth="1"/>
    <col min="261" max="261" width="10.42578125" style="416" customWidth="1"/>
    <col min="262" max="262" width="10.28515625" style="416" customWidth="1"/>
    <col min="263" max="263" width="14" style="416" customWidth="1"/>
    <col min="264" max="264" width="14.28515625" style="416" customWidth="1"/>
    <col min="265" max="265" width="11.28515625" style="416" customWidth="1"/>
    <col min="266" max="512" width="9.140625" style="416"/>
    <col min="513" max="513" width="4.28515625" style="416" customWidth="1"/>
    <col min="514" max="514" width="8.7109375" style="416" customWidth="1"/>
    <col min="515" max="515" width="5.5703125" style="416" customWidth="1"/>
    <col min="516" max="516" width="10.140625" style="416" customWidth="1"/>
    <col min="517" max="517" width="10.42578125" style="416" customWidth="1"/>
    <col min="518" max="518" width="10.28515625" style="416" customWidth="1"/>
    <col min="519" max="519" width="14" style="416" customWidth="1"/>
    <col min="520" max="520" width="14.28515625" style="416" customWidth="1"/>
    <col min="521" max="521" width="11.28515625" style="416" customWidth="1"/>
    <col min="522" max="768" width="9.140625" style="416"/>
    <col min="769" max="769" width="4.28515625" style="416" customWidth="1"/>
    <col min="770" max="770" width="8.7109375" style="416" customWidth="1"/>
    <col min="771" max="771" width="5.5703125" style="416" customWidth="1"/>
    <col min="772" max="772" width="10.140625" style="416" customWidth="1"/>
    <col min="773" max="773" width="10.42578125" style="416" customWidth="1"/>
    <col min="774" max="774" width="10.28515625" style="416" customWidth="1"/>
    <col min="775" max="775" width="14" style="416" customWidth="1"/>
    <col min="776" max="776" width="14.28515625" style="416" customWidth="1"/>
    <col min="777" max="777" width="11.28515625" style="416" customWidth="1"/>
    <col min="778" max="1024" width="9.140625" style="416"/>
    <col min="1025" max="1025" width="4.28515625" style="416" customWidth="1"/>
    <col min="1026" max="1026" width="8.7109375" style="416" customWidth="1"/>
    <col min="1027" max="1027" width="5.5703125" style="416" customWidth="1"/>
    <col min="1028" max="1028" width="10.140625" style="416" customWidth="1"/>
    <col min="1029" max="1029" width="10.42578125" style="416" customWidth="1"/>
    <col min="1030" max="1030" width="10.28515625" style="416" customWidth="1"/>
    <col min="1031" max="1031" width="14" style="416" customWidth="1"/>
    <col min="1032" max="1032" width="14.28515625" style="416" customWidth="1"/>
    <col min="1033" max="1033" width="11.28515625" style="416" customWidth="1"/>
    <col min="1034" max="1280" width="9.140625" style="416"/>
    <col min="1281" max="1281" width="4.28515625" style="416" customWidth="1"/>
    <col min="1282" max="1282" width="8.7109375" style="416" customWidth="1"/>
    <col min="1283" max="1283" width="5.5703125" style="416" customWidth="1"/>
    <col min="1284" max="1284" width="10.140625" style="416" customWidth="1"/>
    <col min="1285" max="1285" width="10.42578125" style="416" customWidth="1"/>
    <col min="1286" max="1286" width="10.28515625" style="416" customWidth="1"/>
    <col min="1287" max="1287" width="14" style="416" customWidth="1"/>
    <col min="1288" max="1288" width="14.28515625" style="416" customWidth="1"/>
    <col min="1289" max="1289" width="11.28515625" style="416" customWidth="1"/>
    <col min="1290" max="1536" width="9.140625" style="416"/>
    <col min="1537" max="1537" width="4.28515625" style="416" customWidth="1"/>
    <col min="1538" max="1538" width="8.7109375" style="416" customWidth="1"/>
    <col min="1539" max="1539" width="5.5703125" style="416" customWidth="1"/>
    <col min="1540" max="1540" width="10.140625" style="416" customWidth="1"/>
    <col min="1541" max="1541" width="10.42578125" style="416" customWidth="1"/>
    <col min="1542" max="1542" width="10.28515625" style="416" customWidth="1"/>
    <col min="1543" max="1543" width="14" style="416" customWidth="1"/>
    <col min="1544" max="1544" width="14.28515625" style="416" customWidth="1"/>
    <col min="1545" max="1545" width="11.28515625" style="416" customWidth="1"/>
    <col min="1546" max="1792" width="9.140625" style="416"/>
    <col min="1793" max="1793" width="4.28515625" style="416" customWidth="1"/>
    <col min="1794" max="1794" width="8.7109375" style="416" customWidth="1"/>
    <col min="1795" max="1795" width="5.5703125" style="416" customWidth="1"/>
    <col min="1796" max="1796" width="10.140625" style="416" customWidth="1"/>
    <col min="1797" max="1797" width="10.42578125" style="416" customWidth="1"/>
    <col min="1798" max="1798" width="10.28515625" style="416" customWidth="1"/>
    <col min="1799" max="1799" width="14" style="416" customWidth="1"/>
    <col min="1800" max="1800" width="14.28515625" style="416" customWidth="1"/>
    <col min="1801" max="1801" width="11.28515625" style="416" customWidth="1"/>
    <col min="1802" max="2048" width="9.140625" style="416"/>
    <col min="2049" max="2049" width="4.28515625" style="416" customWidth="1"/>
    <col min="2050" max="2050" width="8.7109375" style="416" customWidth="1"/>
    <col min="2051" max="2051" width="5.5703125" style="416" customWidth="1"/>
    <col min="2052" max="2052" width="10.140625" style="416" customWidth="1"/>
    <col min="2053" max="2053" width="10.42578125" style="416" customWidth="1"/>
    <col min="2054" max="2054" width="10.28515625" style="416" customWidth="1"/>
    <col min="2055" max="2055" width="14" style="416" customWidth="1"/>
    <col min="2056" max="2056" width="14.28515625" style="416" customWidth="1"/>
    <col min="2057" max="2057" width="11.28515625" style="416" customWidth="1"/>
    <col min="2058" max="2304" width="9.140625" style="416"/>
    <col min="2305" max="2305" width="4.28515625" style="416" customWidth="1"/>
    <col min="2306" max="2306" width="8.7109375" style="416" customWidth="1"/>
    <col min="2307" max="2307" width="5.5703125" style="416" customWidth="1"/>
    <col min="2308" max="2308" width="10.140625" style="416" customWidth="1"/>
    <col min="2309" max="2309" width="10.42578125" style="416" customWidth="1"/>
    <col min="2310" max="2310" width="10.28515625" style="416" customWidth="1"/>
    <col min="2311" max="2311" width="14" style="416" customWidth="1"/>
    <col min="2312" max="2312" width="14.28515625" style="416" customWidth="1"/>
    <col min="2313" max="2313" width="11.28515625" style="416" customWidth="1"/>
    <col min="2314" max="2560" width="9.140625" style="416"/>
    <col min="2561" max="2561" width="4.28515625" style="416" customWidth="1"/>
    <col min="2562" max="2562" width="8.7109375" style="416" customWidth="1"/>
    <col min="2563" max="2563" width="5.5703125" style="416" customWidth="1"/>
    <col min="2564" max="2564" width="10.140625" style="416" customWidth="1"/>
    <col min="2565" max="2565" width="10.42578125" style="416" customWidth="1"/>
    <col min="2566" max="2566" width="10.28515625" style="416" customWidth="1"/>
    <col min="2567" max="2567" width="14" style="416" customWidth="1"/>
    <col min="2568" max="2568" width="14.28515625" style="416" customWidth="1"/>
    <col min="2569" max="2569" width="11.28515625" style="416" customWidth="1"/>
    <col min="2570" max="2816" width="9.140625" style="416"/>
    <col min="2817" max="2817" width="4.28515625" style="416" customWidth="1"/>
    <col min="2818" max="2818" width="8.7109375" style="416" customWidth="1"/>
    <col min="2819" max="2819" width="5.5703125" style="416" customWidth="1"/>
    <col min="2820" max="2820" width="10.140625" style="416" customWidth="1"/>
    <col min="2821" max="2821" width="10.42578125" style="416" customWidth="1"/>
    <col min="2822" max="2822" width="10.28515625" style="416" customWidth="1"/>
    <col min="2823" max="2823" width="14" style="416" customWidth="1"/>
    <col min="2824" max="2824" width="14.28515625" style="416" customWidth="1"/>
    <col min="2825" max="2825" width="11.28515625" style="416" customWidth="1"/>
    <col min="2826" max="3072" width="9.140625" style="416"/>
    <col min="3073" max="3073" width="4.28515625" style="416" customWidth="1"/>
    <col min="3074" max="3074" width="8.7109375" style="416" customWidth="1"/>
    <col min="3075" max="3075" width="5.5703125" style="416" customWidth="1"/>
    <col min="3076" max="3076" width="10.140625" style="416" customWidth="1"/>
    <col min="3077" max="3077" width="10.42578125" style="416" customWidth="1"/>
    <col min="3078" max="3078" width="10.28515625" style="416" customWidth="1"/>
    <col min="3079" max="3079" width="14" style="416" customWidth="1"/>
    <col min="3080" max="3080" width="14.28515625" style="416" customWidth="1"/>
    <col min="3081" max="3081" width="11.28515625" style="416" customWidth="1"/>
    <col min="3082" max="3328" width="9.140625" style="416"/>
    <col min="3329" max="3329" width="4.28515625" style="416" customWidth="1"/>
    <col min="3330" max="3330" width="8.7109375" style="416" customWidth="1"/>
    <col min="3331" max="3331" width="5.5703125" style="416" customWidth="1"/>
    <col min="3332" max="3332" width="10.140625" style="416" customWidth="1"/>
    <col min="3333" max="3333" width="10.42578125" style="416" customWidth="1"/>
    <col min="3334" max="3334" width="10.28515625" style="416" customWidth="1"/>
    <col min="3335" max="3335" width="14" style="416" customWidth="1"/>
    <col min="3336" max="3336" width="14.28515625" style="416" customWidth="1"/>
    <col min="3337" max="3337" width="11.28515625" style="416" customWidth="1"/>
    <col min="3338" max="3584" width="9.140625" style="416"/>
    <col min="3585" max="3585" width="4.28515625" style="416" customWidth="1"/>
    <col min="3586" max="3586" width="8.7109375" style="416" customWidth="1"/>
    <col min="3587" max="3587" width="5.5703125" style="416" customWidth="1"/>
    <col min="3588" max="3588" width="10.140625" style="416" customWidth="1"/>
    <col min="3589" max="3589" width="10.42578125" style="416" customWidth="1"/>
    <col min="3590" max="3590" width="10.28515625" style="416" customWidth="1"/>
    <col min="3591" max="3591" width="14" style="416" customWidth="1"/>
    <col min="3592" max="3592" width="14.28515625" style="416" customWidth="1"/>
    <col min="3593" max="3593" width="11.28515625" style="416" customWidth="1"/>
    <col min="3594" max="3840" width="9.140625" style="416"/>
    <col min="3841" max="3841" width="4.28515625" style="416" customWidth="1"/>
    <col min="3842" max="3842" width="8.7109375" style="416" customWidth="1"/>
    <col min="3843" max="3843" width="5.5703125" style="416" customWidth="1"/>
    <col min="3844" max="3844" width="10.140625" style="416" customWidth="1"/>
    <col min="3845" max="3845" width="10.42578125" style="416" customWidth="1"/>
    <col min="3846" max="3846" width="10.28515625" style="416" customWidth="1"/>
    <col min="3847" max="3847" width="14" style="416" customWidth="1"/>
    <col min="3848" max="3848" width="14.28515625" style="416" customWidth="1"/>
    <col min="3849" max="3849" width="11.28515625" style="416" customWidth="1"/>
    <col min="3850" max="4096" width="9.140625" style="416"/>
    <col min="4097" max="4097" width="4.28515625" style="416" customWidth="1"/>
    <col min="4098" max="4098" width="8.7109375" style="416" customWidth="1"/>
    <col min="4099" max="4099" width="5.5703125" style="416" customWidth="1"/>
    <col min="4100" max="4100" width="10.140625" style="416" customWidth="1"/>
    <col min="4101" max="4101" width="10.42578125" style="416" customWidth="1"/>
    <col min="4102" max="4102" width="10.28515625" style="416" customWidth="1"/>
    <col min="4103" max="4103" width="14" style="416" customWidth="1"/>
    <col min="4104" max="4104" width="14.28515625" style="416" customWidth="1"/>
    <col min="4105" max="4105" width="11.28515625" style="416" customWidth="1"/>
    <col min="4106" max="4352" width="9.140625" style="416"/>
    <col min="4353" max="4353" width="4.28515625" style="416" customWidth="1"/>
    <col min="4354" max="4354" width="8.7109375" style="416" customWidth="1"/>
    <col min="4355" max="4355" width="5.5703125" style="416" customWidth="1"/>
    <col min="4356" max="4356" width="10.140625" style="416" customWidth="1"/>
    <col min="4357" max="4357" width="10.42578125" style="416" customWidth="1"/>
    <col min="4358" max="4358" width="10.28515625" style="416" customWidth="1"/>
    <col min="4359" max="4359" width="14" style="416" customWidth="1"/>
    <col min="4360" max="4360" width="14.28515625" style="416" customWidth="1"/>
    <col min="4361" max="4361" width="11.28515625" style="416" customWidth="1"/>
    <col min="4362" max="4608" width="9.140625" style="416"/>
    <col min="4609" max="4609" width="4.28515625" style="416" customWidth="1"/>
    <col min="4610" max="4610" width="8.7109375" style="416" customWidth="1"/>
    <col min="4611" max="4611" width="5.5703125" style="416" customWidth="1"/>
    <col min="4612" max="4612" width="10.140625" style="416" customWidth="1"/>
    <col min="4613" max="4613" width="10.42578125" style="416" customWidth="1"/>
    <col min="4614" max="4614" width="10.28515625" style="416" customWidth="1"/>
    <col min="4615" max="4615" width="14" style="416" customWidth="1"/>
    <col min="4616" max="4616" width="14.28515625" style="416" customWidth="1"/>
    <col min="4617" max="4617" width="11.28515625" style="416" customWidth="1"/>
    <col min="4618" max="4864" width="9.140625" style="416"/>
    <col min="4865" max="4865" width="4.28515625" style="416" customWidth="1"/>
    <col min="4866" max="4866" width="8.7109375" style="416" customWidth="1"/>
    <col min="4867" max="4867" width="5.5703125" style="416" customWidth="1"/>
    <col min="4868" max="4868" width="10.140625" style="416" customWidth="1"/>
    <col min="4869" max="4869" width="10.42578125" style="416" customWidth="1"/>
    <col min="4870" max="4870" width="10.28515625" style="416" customWidth="1"/>
    <col min="4871" max="4871" width="14" style="416" customWidth="1"/>
    <col min="4872" max="4872" width="14.28515625" style="416" customWidth="1"/>
    <col min="4873" max="4873" width="11.28515625" style="416" customWidth="1"/>
    <col min="4874" max="5120" width="9.140625" style="416"/>
    <col min="5121" max="5121" width="4.28515625" style="416" customWidth="1"/>
    <col min="5122" max="5122" width="8.7109375" style="416" customWidth="1"/>
    <col min="5123" max="5123" width="5.5703125" style="416" customWidth="1"/>
    <col min="5124" max="5124" width="10.140625" style="416" customWidth="1"/>
    <col min="5125" max="5125" width="10.42578125" style="416" customWidth="1"/>
    <col min="5126" max="5126" width="10.28515625" style="416" customWidth="1"/>
    <col min="5127" max="5127" width="14" style="416" customWidth="1"/>
    <col min="5128" max="5128" width="14.28515625" style="416" customWidth="1"/>
    <col min="5129" max="5129" width="11.28515625" style="416" customWidth="1"/>
    <col min="5130" max="5376" width="9.140625" style="416"/>
    <col min="5377" max="5377" width="4.28515625" style="416" customWidth="1"/>
    <col min="5378" max="5378" width="8.7109375" style="416" customWidth="1"/>
    <col min="5379" max="5379" width="5.5703125" style="416" customWidth="1"/>
    <col min="5380" max="5380" width="10.140625" style="416" customWidth="1"/>
    <col min="5381" max="5381" width="10.42578125" style="416" customWidth="1"/>
    <col min="5382" max="5382" width="10.28515625" style="416" customWidth="1"/>
    <col min="5383" max="5383" width="14" style="416" customWidth="1"/>
    <col min="5384" max="5384" width="14.28515625" style="416" customWidth="1"/>
    <col min="5385" max="5385" width="11.28515625" style="416" customWidth="1"/>
    <col min="5386" max="5632" width="9.140625" style="416"/>
    <col min="5633" max="5633" width="4.28515625" style="416" customWidth="1"/>
    <col min="5634" max="5634" width="8.7109375" style="416" customWidth="1"/>
    <col min="5635" max="5635" width="5.5703125" style="416" customWidth="1"/>
    <col min="5636" max="5636" width="10.140625" style="416" customWidth="1"/>
    <col min="5637" max="5637" width="10.42578125" style="416" customWidth="1"/>
    <col min="5638" max="5638" width="10.28515625" style="416" customWidth="1"/>
    <col min="5639" max="5639" width="14" style="416" customWidth="1"/>
    <col min="5640" max="5640" width="14.28515625" style="416" customWidth="1"/>
    <col min="5641" max="5641" width="11.28515625" style="416" customWidth="1"/>
    <col min="5642" max="5888" width="9.140625" style="416"/>
    <col min="5889" max="5889" width="4.28515625" style="416" customWidth="1"/>
    <col min="5890" max="5890" width="8.7109375" style="416" customWidth="1"/>
    <col min="5891" max="5891" width="5.5703125" style="416" customWidth="1"/>
    <col min="5892" max="5892" width="10.140625" style="416" customWidth="1"/>
    <col min="5893" max="5893" width="10.42578125" style="416" customWidth="1"/>
    <col min="5894" max="5894" width="10.28515625" style="416" customWidth="1"/>
    <col min="5895" max="5895" width="14" style="416" customWidth="1"/>
    <col min="5896" max="5896" width="14.28515625" style="416" customWidth="1"/>
    <col min="5897" max="5897" width="11.28515625" style="416" customWidth="1"/>
    <col min="5898" max="6144" width="9.140625" style="416"/>
    <col min="6145" max="6145" width="4.28515625" style="416" customWidth="1"/>
    <col min="6146" max="6146" width="8.7109375" style="416" customWidth="1"/>
    <col min="6147" max="6147" width="5.5703125" style="416" customWidth="1"/>
    <col min="6148" max="6148" width="10.140625" style="416" customWidth="1"/>
    <col min="6149" max="6149" width="10.42578125" style="416" customWidth="1"/>
    <col min="6150" max="6150" width="10.28515625" style="416" customWidth="1"/>
    <col min="6151" max="6151" width="14" style="416" customWidth="1"/>
    <col min="6152" max="6152" width="14.28515625" style="416" customWidth="1"/>
    <col min="6153" max="6153" width="11.28515625" style="416" customWidth="1"/>
    <col min="6154" max="6400" width="9.140625" style="416"/>
    <col min="6401" max="6401" width="4.28515625" style="416" customWidth="1"/>
    <col min="6402" max="6402" width="8.7109375" style="416" customWidth="1"/>
    <col min="6403" max="6403" width="5.5703125" style="416" customWidth="1"/>
    <col min="6404" max="6404" width="10.140625" style="416" customWidth="1"/>
    <col min="6405" max="6405" width="10.42578125" style="416" customWidth="1"/>
    <col min="6406" max="6406" width="10.28515625" style="416" customWidth="1"/>
    <col min="6407" max="6407" width="14" style="416" customWidth="1"/>
    <col min="6408" max="6408" width="14.28515625" style="416" customWidth="1"/>
    <col min="6409" max="6409" width="11.28515625" style="416" customWidth="1"/>
    <col min="6410" max="6656" width="9.140625" style="416"/>
    <col min="6657" max="6657" width="4.28515625" style="416" customWidth="1"/>
    <col min="6658" max="6658" width="8.7109375" style="416" customWidth="1"/>
    <col min="6659" max="6659" width="5.5703125" style="416" customWidth="1"/>
    <col min="6660" max="6660" width="10.140625" style="416" customWidth="1"/>
    <col min="6661" max="6661" width="10.42578125" style="416" customWidth="1"/>
    <col min="6662" max="6662" width="10.28515625" style="416" customWidth="1"/>
    <col min="6663" max="6663" width="14" style="416" customWidth="1"/>
    <col min="6664" max="6664" width="14.28515625" style="416" customWidth="1"/>
    <col min="6665" max="6665" width="11.28515625" style="416" customWidth="1"/>
    <col min="6666" max="6912" width="9.140625" style="416"/>
    <col min="6913" max="6913" width="4.28515625" style="416" customWidth="1"/>
    <col min="6914" max="6914" width="8.7109375" style="416" customWidth="1"/>
    <col min="6915" max="6915" width="5.5703125" style="416" customWidth="1"/>
    <col min="6916" max="6916" width="10.140625" style="416" customWidth="1"/>
    <col min="6917" max="6917" width="10.42578125" style="416" customWidth="1"/>
    <col min="6918" max="6918" width="10.28515625" style="416" customWidth="1"/>
    <col min="6919" max="6919" width="14" style="416" customWidth="1"/>
    <col min="6920" max="6920" width="14.28515625" style="416" customWidth="1"/>
    <col min="6921" max="6921" width="11.28515625" style="416" customWidth="1"/>
    <col min="6922" max="7168" width="9.140625" style="416"/>
    <col min="7169" max="7169" width="4.28515625" style="416" customWidth="1"/>
    <col min="7170" max="7170" width="8.7109375" style="416" customWidth="1"/>
    <col min="7171" max="7171" width="5.5703125" style="416" customWidth="1"/>
    <col min="7172" max="7172" width="10.140625" style="416" customWidth="1"/>
    <col min="7173" max="7173" width="10.42578125" style="416" customWidth="1"/>
    <col min="7174" max="7174" width="10.28515625" style="416" customWidth="1"/>
    <col min="7175" max="7175" width="14" style="416" customWidth="1"/>
    <col min="7176" max="7176" width="14.28515625" style="416" customWidth="1"/>
    <col min="7177" max="7177" width="11.28515625" style="416" customWidth="1"/>
    <col min="7178" max="7424" width="9.140625" style="416"/>
    <col min="7425" max="7425" width="4.28515625" style="416" customWidth="1"/>
    <col min="7426" max="7426" width="8.7109375" style="416" customWidth="1"/>
    <col min="7427" max="7427" width="5.5703125" style="416" customWidth="1"/>
    <col min="7428" max="7428" width="10.140625" style="416" customWidth="1"/>
    <col min="7429" max="7429" width="10.42578125" style="416" customWidth="1"/>
    <col min="7430" max="7430" width="10.28515625" style="416" customWidth="1"/>
    <col min="7431" max="7431" width="14" style="416" customWidth="1"/>
    <col min="7432" max="7432" width="14.28515625" style="416" customWidth="1"/>
    <col min="7433" max="7433" width="11.28515625" style="416" customWidth="1"/>
    <col min="7434" max="7680" width="9.140625" style="416"/>
    <col min="7681" max="7681" width="4.28515625" style="416" customWidth="1"/>
    <col min="7682" max="7682" width="8.7109375" style="416" customWidth="1"/>
    <col min="7683" max="7683" width="5.5703125" style="416" customWidth="1"/>
    <col min="7684" max="7684" width="10.140625" style="416" customWidth="1"/>
    <col min="7685" max="7685" width="10.42578125" style="416" customWidth="1"/>
    <col min="7686" max="7686" width="10.28515625" style="416" customWidth="1"/>
    <col min="7687" max="7687" width="14" style="416" customWidth="1"/>
    <col min="7688" max="7688" width="14.28515625" style="416" customWidth="1"/>
    <col min="7689" max="7689" width="11.28515625" style="416" customWidth="1"/>
    <col min="7690" max="7936" width="9.140625" style="416"/>
    <col min="7937" max="7937" width="4.28515625" style="416" customWidth="1"/>
    <col min="7938" max="7938" width="8.7109375" style="416" customWidth="1"/>
    <col min="7939" max="7939" width="5.5703125" style="416" customWidth="1"/>
    <col min="7940" max="7940" width="10.140625" style="416" customWidth="1"/>
    <col min="7941" max="7941" width="10.42578125" style="416" customWidth="1"/>
    <col min="7942" max="7942" width="10.28515625" style="416" customWidth="1"/>
    <col min="7943" max="7943" width="14" style="416" customWidth="1"/>
    <col min="7944" max="7944" width="14.28515625" style="416" customWidth="1"/>
    <col min="7945" max="7945" width="11.28515625" style="416" customWidth="1"/>
    <col min="7946" max="8192" width="9.140625" style="416"/>
    <col min="8193" max="8193" width="4.28515625" style="416" customWidth="1"/>
    <col min="8194" max="8194" width="8.7109375" style="416" customWidth="1"/>
    <col min="8195" max="8195" width="5.5703125" style="416" customWidth="1"/>
    <col min="8196" max="8196" width="10.140625" style="416" customWidth="1"/>
    <col min="8197" max="8197" width="10.42578125" style="416" customWidth="1"/>
    <col min="8198" max="8198" width="10.28515625" style="416" customWidth="1"/>
    <col min="8199" max="8199" width="14" style="416" customWidth="1"/>
    <col min="8200" max="8200" width="14.28515625" style="416" customWidth="1"/>
    <col min="8201" max="8201" width="11.28515625" style="416" customWidth="1"/>
    <col min="8202" max="8448" width="9.140625" style="416"/>
    <col min="8449" max="8449" width="4.28515625" style="416" customWidth="1"/>
    <col min="8450" max="8450" width="8.7109375" style="416" customWidth="1"/>
    <col min="8451" max="8451" width="5.5703125" style="416" customWidth="1"/>
    <col min="8452" max="8452" width="10.140625" style="416" customWidth="1"/>
    <col min="8453" max="8453" width="10.42578125" style="416" customWidth="1"/>
    <col min="8454" max="8454" width="10.28515625" style="416" customWidth="1"/>
    <col min="8455" max="8455" width="14" style="416" customWidth="1"/>
    <col min="8456" max="8456" width="14.28515625" style="416" customWidth="1"/>
    <col min="8457" max="8457" width="11.28515625" style="416" customWidth="1"/>
    <col min="8458" max="8704" width="9.140625" style="416"/>
    <col min="8705" max="8705" width="4.28515625" style="416" customWidth="1"/>
    <col min="8706" max="8706" width="8.7109375" style="416" customWidth="1"/>
    <col min="8707" max="8707" width="5.5703125" style="416" customWidth="1"/>
    <col min="8708" max="8708" width="10.140625" style="416" customWidth="1"/>
    <col min="8709" max="8709" width="10.42578125" style="416" customWidth="1"/>
    <col min="8710" max="8710" width="10.28515625" style="416" customWidth="1"/>
    <col min="8711" max="8711" width="14" style="416" customWidth="1"/>
    <col min="8712" max="8712" width="14.28515625" style="416" customWidth="1"/>
    <col min="8713" max="8713" width="11.28515625" style="416" customWidth="1"/>
    <col min="8714" max="8960" width="9.140625" style="416"/>
    <col min="8961" max="8961" width="4.28515625" style="416" customWidth="1"/>
    <col min="8962" max="8962" width="8.7109375" style="416" customWidth="1"/>
    <col min="8963" max="8963" width="5.5703125" style="416" customWidth="1"/>
    <col min="8964" max="8964" width="10.140625" style="416" customWidth="1"/>
    <col min="8965" max="8965" width="10.42578125" style="416" customWidth="1"/>
    <col min="8966" max="8966" width="10.28515625" style="416" customWidth="1"/>
    <col min="8967" max="8967" width="14" style="416" customWidth="1"/>
    <col min="8968" max="8968" width="14.28515625" style="416" customWidth="1"/>
    <col min="8969" max="8969" width="11.28515625" style="416" customWidth="1"/>
    <col min="8970" max="9216" width="9.140625" style="416"/>
    <col min="9217" max="9217" width="4.28515625" style="416" customWidth="1"/>
    <col min="9218" max="9218" width="8.7109375" style="416" customWidth="1"/>
    <col min="9219" max="9219" width="5.5703125" style="416" customWidth="1"/>
    <col min="9220" max="9220" width="10.140625" style="416" customWidth="1"/>
    <col min="9221" max="9221" width="10.42578125" style="416" customWidth="1"/>
    <col min="9222" max="9222" width="10.28515625" style="416" customWidth="1"/>
    <col min="9223" max="9223" width="14" style="416" customWidth="1"/>
    <col min="9224" max="9224" width="14.28515625" style="416" customWidth="1"/>
    <col min="9225" max="9225" width="11.28515625" style="416" customWidth="1"/>
    <col min="9226" max="9472" width="9.140625" style="416"/>
    <col min="9473" max="9473" width="4.28515625" style="416" customWidth="1"/>
    <col min="9474" max="9474" width="8.7109375" style="416" customWidth="1"/>
    <col min="9475" max="9475" width="5.5703125" style="416" customWidth="1"/>
    <col min="9476" max="9476" width="10.140625" style="416" customWidth="1"/>
    <col min="9477" max="9477" width="10.42578125" style="416" customWidth="1"/>
    <col min="9478" max="9478" width="10.28515625" style="416" customWidth="1"/>
    <col min="9479" max="9479" width="14" style="416" customWidth="1"/>
    <col min="9480" max="9480" width="14.28515625" style="416" customWidth="1"/>
    <col min="9481" max="9481" width="11.28515625" style="416" customWidth="1"/>
    <col min="9482" max="9728" width="9.140625" style="416"/>
    <col min="9729" max="9729" width="4.28515625" style="416" customWidth="1"/>
    <col min="9730" max="9730" width="8.7109375" style="416" customWidth="1"/>
    <col min="9731" max="9731" width="5.5703125" style="416" customWidth="1"/>
    <col min="9732" max="9732" width="10.140625" style="416" customWidth="1"/>
    <col min="9733" max="9733" width="10.42578125" style="416" customWidth="1"/>
    <col min="9734" max="9734" width="10.28515625" style="416" customWidth="1"/>
    <col min="9735" max="9735" width="14" style="416" customWidth="1"/>
    <col min="9736" max="9736" width="14.28515625" style="416" customWidth="1"/>
    <col min="9737" max="9737" width="11.28515625" style="416" customWidth="1"/>
    <col min="9738" max="9984" width="9.140625" style="416"/>
    <col min="9985" max="9985" width="4.28515625" style="416" customWidth="1"/>
    <col min="9986" max="9986" width="8.7109375" style="416" customWidth="1"/>
    <col min="9987" max="9987" width="5.5703125" style="416" customWidth="1"/>
    <col min="9988" max="9988" width="10.140625" style="416" customWidth="1"/>
    <col min="9989" max="9989" width="10.42578125" style="416" customWidth="1"/>
    <col min="9990" max="9990" width="10.28515625" style="416" customWidth="1"/>
    <col min="9991" max="9991" width="14" style="416" customWidth="1"/>
    <col min="9992" max="9992" width="14.28515625" style="416" customWidth="1"/>
    <col min="9993" max="9993" width="11.28515625" style="416" customWidth="1"/>
    <col min="9994" max="10240" width="9.140625" style="416"/>
    <col min="10241" max="10241" width="4.28515625" style="416" customWidth="1"/>
    <col min="10242" max="10242" width="8.7109375" style="416" customWidth="1"/>
    <col min="10243" max="10243" width="5.5703125" style="416" customWidth="1"/>
    <col min="10244" max="10244" width="10.140625" style="416" customWidth="1"/>
    <col min="10245" max="10245" width="10.42578125" style="416" customWidth="1"/>
    <col min="10246" max="10246" width="10.28515625" style="416" customWidth="1"/>
    <col min="10247" max="10247" width="14" style="416" customWidth="1"/>
    <col min="10248" max="10248" width="14.28515625" style="416" customWidth="1"/>
    <col min="10249" max="10249" width="11.28515625" style="416" customWidth="1"/>
    <col min="10250" max="10496" width="9.140625" style="416"/>
    <col min="10497" max="10497" width="4.28515625" style="416" customWidth="1"/>
    <col min="10498" max="10498" width="8.7109375" style="416" customWidth="1"/>
    <col min="10499" max="10499" width="5.5703125" style="416" customWidth="1"/>
    <col min="10500" max="10500" width="10.140625" style="416" customWidth="1"/>
    <col min="10501" max="10501" width="10.42578125" style="416" customWidth="1"/>
    <col min="10502" max="10502" width="10.28515625" style="416" customWidth="1"/>
    <col min="10503" max="10503" width="14" style="416" customWidth="1"/>
    <col min="10504" max="10504" width="14.28515625" style="416" customWidth="1"/>
    <col min="10505" max="10505" width="11.28515625" style="416" customWidth="1"/>
    <col min="10506" max="10752" width="9.140625" style="416"/>
    <col min="10753" max="10753" width="4.28515625" style="416" customWidth="1"/>
    <col min="10754" max="10754" width="8.7109375" style="416" customWidth="1"/>
    <col min="10755" max="10755" width="5.5703125" style="416" customWidth="1"/>
    <col min="10756" max="10756" width="10.140625" style="416" customWidth="1"/>
    <col min="10757" max="10757" width="10.42578125" style="416" customWidth="1"/>
    <col min="10758" max="10758" width="10.28515625" style="416" customWidth="1"/>
    <col min="10759" max="10759" width="14" style="416" customWidth="1"/>
    <col min="10760" max="10760" width="14.28515625" style="416" customWidth="1"/>
    <col min="10761" max="10761" width="11.28515625" style="416" customWidth="1"/>
    <col min="10762" max="11008" width="9.140625" style="416"/>
    <col min="11009" max="11009" width="4.28515625" style="416" customWidth="1"/>
    <col min="11010" max="11010" width="8.7109375" style="416" customWidth="1"/>
    <col min="11011" max="11011" width="5.5703125" style="416" customWidth="1"/>
    <col min="11012" max="11012" width="10.140625" style="416" customWidth="1"/>
    <col min="11013" max="11013" width="10.42578125" style="416" customWidth="1"/>
    <col min="11014" max="11014" width="10.28515625" style="416" customWidth="1"/>
    <col min="11015" max="11015" width="14" style="416" customWidth="1"/>
    <col min="11016" max="11016" width="14.28515625" style="416" customWidth="1"/>
    <col min="11017" max="11017" width="11.28515625" style="416" customWidth="1"/>
    <col min="11018" max="11264" width="9.140625" style="416"/>
    <col min="11265" max="11265" width="4.28515625" style="416" customWidth="1"/>
    <col min="11266" max="11266" width="8.7109375" style="416" customWidth="1"/>
    <col min="11267" max="11267" width="5.5703125" style="416" customWidth="1"/>
    <col min="11268" max="11268" width="10.140625" style="416" customWidth="1"/>
    <col min="11269" max="11269" width="10.42578125" style="416" customWidth="1"/>
    <col min="11270" max="11270" width="10.28515625" style="416" customWidth="1"/>
    <col min="11271" max="11271" width="14" style="416" customWidth="1"/>
    <col min="11272" max="11272" width="14.28515625" style="416" customWidth="1"/>
    <col min="11273" max="11273" width="11.28515625" style="416" customWidth="1"/>
    <col min="11274" max="11520" width="9.140625" style="416"/>
    <col min="11521" max="11521" width="4.28515625" style="416" customWidth="1"/>
    <col min="11522" max="11522" width="8.7109375" style="416" customWidth="1"/>
    <col min="11523" max="11523" width="5.5703125" style="416" customWidth="1"/>
    <col min="11524" max="11524" width="10.140625" style="416" customWidth="1"/>
    <col min="11525" max="11525" width="10.42578125" style="416" customWidth="1"/>
    <col min="11526" max="11526" width="10.28515625" style="416" customWidth="1"/>
    <col min="11527" max="11527" width="14" style="416" customWidth="1"/>
    <col min="11528" max="11528" width="14.28515625" style="416" customWidth="1"/>
    <col min="11529" max="11529" width="11.28515625" style="416" customWidth="1"/>
    <col min="11530" max="11776" width="9.140625" style="416"/>
    <col min="11777" max="11777" width="4.28515625" style="416" customWidth="1"/>
    <col min="11778" max="11778" width="8.7109375" style="416" customWidth="1"/>
    <col min="11779" max="11779" width="5.5703125" style="416" customWidth="1"/>
    <col min="11780" max="11780" width="10.140625" style="416" customWidth="1"/>
    <col min="11781" max="11781" width="10.42578125" style="416" customWidth="1"/>
    <col min="11782" max="11782" width="10.28515625" style="416" customWidth="1"/>
    <col min="11783" max="11783" width="14" style="416" customWidth="1"/>
    <col min="11784" max="11784" width="14.28515625" style="416" customWidth="1"/>
    <col min="11785" max="11785" width="11.28515625" style="416" customWidth="1"/>
    <col min="11786" max="12032" width="9.140625" style="416"/>
    <col min="12033" max="12033" width="4.28515625" style="416" customWidth="1"/>
    <col min="12034" max="12034" width="8.7109375" style="416" customWidth="1"/>
    <col min="12035" max="12035" width="5.5703125" style="416" customWidth="1"/>
    <col min="12036" max="12036" width="10.140625" style="416" customWidth="1"/>
    <col min="12037" max="12037" width="10.42578125" style="416" customWidth="1"/>
    <col min="12038" max="12038" width="10.28515625" style="416" customWidth="1"/>
    <col min="12039" max="12039" width="14" style="416" customWidth="1"/>
    <col min="12040" max="12040" width="14.28515625" style="416" customWidth="1"/>
    <col min="12041" max="12041" width="11.28515625" style="416" customWidth="1"/>
    <col min="12042" max="12288" width="9.140625" style="416"/>
    <col min="12289" max="12289" width="4.28515625" style="416" customWidth="1"/>
    <col min="12290" max="12290" width="8.7109375" style="416" customWidth="1"/>
    <col min="12291" max="12291" width="5.5703125" style="416" customWidth="1"/>
    <col min="12292" max="12292" width="10.140625" style="416" customWidth="1"/>
    <col min="12293" max="12293" width="10.42578125" style="416" customWidth="1"/>
    <col min="12294" max="12294" width="10.28515625" style="416" customWidth="1"/>
    <col min="12295" max="12295" width="14" style="416" customWidth="1"/>
    <col min="12296" max="12296" width="14.28515625" style="416" customWidth="1"/>
    <col min="12297" max="12297" width="11.28515625" style="416" customWidth="1"/>
    <col min="12298" max="12544" width="9.140625" style="416"/>
    <col min="12545" max="12545" width="4.28515625" style="416" customWidth="1"/>
    <col min="12546" max="12546" width="8.7109375" style="416" customWidth="1"/>
    <col min="12547" max="12547" width="5.5703125" style="416" customWidth="1"/>
    <col min="12548" max="12548" width="10.140625" style="416" customWidth="1"/>
    <col min="12549" max="12549" width="10.42578125" style="416" customWidth="1"/>
    <col min="12550" max="12550" width="10.28515625" style="416" customWidth="1"/>
    <col min="12551" max="12551" width="14" style="416" customWidth="1"/>
    <col min="12552" max="12552" width="14.28515625" style="416" customWidth="1"/>
    <col min="12553" max="12553" width="11.28515625" style="416" customWidth="1"/>
    <col min="12554" max="12800" width="9.140625" style="416"/>
    <col min="12801" max="12801" width="4.28515625" style="416" customWidth="1"/>
    <col min="12802" max="12802" width="8.7109375" style="416" customWidth="1"/>
    <col min="12803" max="12803" width="5.5703125" style="416" customWidth="1"/>
    <col min="12804" max="12804" width="10.140625" style="416" customWidth="1"/>
    <col min="12805" max="12805" width="10.42578125" style="416" customWidth="1"/>
    <col min="12806" max="12806" width="10.28515625" style="416" customWidth="1"/>
    <col min="12807" max="12807" width="14" style="416" customWidth="1"/>
    <col min="12808" max="12808" width="14.28515625" style="416" customWidth="1"/>
    <col min="12809" max="12809" width="11.28515625" style="416" customWidth="1"/>
    <col min="12810" max="13056" width="9.140625" style="416"/>
    <col min="13057" max="13057" width="4.28515625" style="416" customWidth="1"/>
    <col min="13058" max="13058" width="8.7109375" style="416" customWidth="1"/>
    <col min="13059" max="13059" width="5.5703125" style="416" customWidth="1"/>
    <col min="13060" max="13060" width="10.140625" style="416" customWidth="1"/>
    <col min="13061" max="13061" width="10.42578125" style="416" customWidth="1"/>
    <col min="13062" max="13062" width="10.28515625" style="416" customWidth="1"/>
    <col min="13063" max="13063" width="14" style="416" customWidth="1"/>
    <col min="13064" max="13064" width="14.28515625" style="416" customWidth="1"/>
    <col min="13065" max="13065" width="11.28515625" style="416" customWidth="1"/>
    <col min="13066" max="13312" width="9.140625" style="416"/>
    <col min="13313" max="13313" width="4.28515625" style="416" customWidth="1"/>
    <col min="13314" max="13314" width="8.7109375" style="416" customWidth="1"/>
    <col min="13315" max="13315" width="5.5703125" style="416" customWidth="1"/>
    <col min="13316" max="13316" width="10.140625" style="416" customWidth="1"/>
    <col min="13317" max="13317" width="10.42578125" style="416" customWidth="1"/>
    <col min="13318" max="13318" width="10.28515625" style="416" customWidth="1"/>
    <col min="13319" max="13319" width="14" style="416" customWidth="1"/>
    <col min="13320" max="13320" width="14.28515625" style="416" customWidth="1"/>
    <col min="13321" max="13321" width="11.28515625" style="416" customWidth="1"/>
    <col min="13322" max="13568" width="9.140625" style="416"/>
    <col min="13569" max="13569" width="4.28515625" style="416" customWidth="1"/>
    <col min="13570" max="13570" width="8.7109375" style="416" customWidth="1"/>
    <col min="13571" max="13571" width="5.5703125" style="416" customWidth="1"/>
    <col min="13572" max="13572" width="10.140625" style="416" customWidth="1"/>
    <col min="13573" max="13573" width="10.42578125" style="416" customWidth="1"/>
    <col min="13574" max="13574" width="10.28515625" style="416" customWidth="1"/>
    <col min="13575" max="13575" width="14" style="416" customWidth="1"/>
    <col min="13576" max="13576" width="14.28515625" style="416" customWidth="1"/>
    <col min="13577" max="13577" width="11.28515625" style="416" customWidth="1"/>
    <col min="13578" max="13824" width="9.140625" style="416"/>
    <col min="13825" max="13825" width="4.28515625" style="416" customWidth="1"/>
    <col min="13826" max="13826" width="8.7109375" style="416" customWidth="1"/>
    <col min="13827" max="13827" width="5.5703125" style="416" customWidth="1"/>
    <col min="13828" max="13828" width="10.140625" style="416" customWidth="1"/>
    <col min="13829" max="13829" width="10.42578125" style="416" customWidth="1"/>
    <col min="13830" max="13830" width="10.28515625" style="416" customWidth="1"/>
    <col min="13831" max="13831" width="14" style="416" customWidth="1"/>
    <col min="13832" max="13832" width="14.28515625" style="416" customWidth="1"/>
    <col min="13833" max="13833" width="11.28515625" style="416" customWidth="1"/>
    <col min="13834" max="14080" width="9.140625" style="416"/>
    <col min="14081" max="14081" width="4.28515625" style="416" customWidth="1"/>
    <col min="14082" max="14082" width="8.7109375" style="416" customWidth="1"/>
    <col min="14083" max="14083" width="5.5703125" style="416" customWidth="1"/>
    <col min="14084" max="14084" width="10.140625" style="416" customWidth="1"/>
    <col min="14085" max="14085" width="10.42578125" style="416" customWidth="1"/>
    <col min="14086" max="14086" width="10.28515625" style="416" customWidth="1"/>
    <col min="14087" max="14087" width="14" style="416" customWidth="1"/>
    <col min="14088" max="14088" width="14.28515625" style="416" customWidth="1"/>
    <col min="14089" max="14089" width="11.28515625" style="416" customWidth="1"/>
    <col min="14090" max="14336" width="9.140625" style="416"/>
    <col min="14337" max="14337" width="4.28515625" style="416" customWidth="1"/>
    <col min="14338" max="14338" width="8.7109375" style="416" customWidth="1"/>
    <col min="14339" max="14339" width="5.5703125" style="416" customWidth="1"/>
    <col min="14340" max="14340" width="10.140625" style="416" customWidth="1"/>
    <col min="14341" max="14341" width="10.42578125" style="416" customWidth="1"/>
    <col min="14342" max="14342" width="10.28515625" style="416" customWidth="1"/>
    <col min="14343" max="14343" width="14" style="416" customWidth="1"/>
    <col min="14344" max="14344" width="14.28515625" style="416" customWidth="1"/>
    <col min="14345" max="14345" width="11.28515625" style="416" customWidth="1"/>
    <col min="14346" max="14592" width="9.140625" style="416"/>
    <col min="14593" max="14593" width="4.28515625" style="416" customWidth="1"/>
    <col min="14594" max="14594" width="8.7109375" style="416" customWidth="1"/>
    <col min="14595" max="14595" width="5.5703125" style="416" customWidth="1"/>
    <col min="14596" max="14596" width="10.140625" style="416" customWidth="1"/>
    <col min="14597" max="14597" width="10.42578125" style="416" customWidth="1"/>
    <col min="14598" max="14598" width="10.28515625" style="416" customWidth="1"/>
    <col min="14599" max="14599" width="14" style="416" customWidth="1"/>
    <col min="14600" max="14600" width="14.28515625" style="416" customWidth="1"/>
    <col min="14601" max="14601" width="11.28515625" style="416" customWidth="1"/>
    <col min="14602" max="14848" width="9.140625" style="416"/>
    <col min="14849" max="14849" width="4.28515625" style="416" customWidth="1"/>
    <col min="14850" max="14850" width="8.7109375" style="416" customWidth="1"/>
    <col min="14851" max="14851" width="5.5703125" style="416" customWidth="1"/>
    <col min="14852" max="14852" width="10.140625" style="416" customWidth="1"/>
    <col min="14853" max="14853" width="10.42578125" style="416" customWidth="1"/>
    <col min="14854" max="14854" width="10.28515625" style="416" customWidth="1"/>
    <col min="14855" max="14855" width="14" style="416" customWidth="1"/>
    <col min="14856" max="14856" width="14.28515625" style="416" customWidth="1"/>
    <col min="14857" max="14857" width="11.28515625" style="416" customWidth="1"/>
    <col min="14858" max="15104" width="9.140625" style="416"/>
    <col min="15105" max="15105" width="4.28515625" style="416" customWidth="1"/>
    <col min="15106" max="15106" width="8.7109375" style="416" customWidth="1"/>
    <col min="15107" max="15107" width="5.5703125" style="416" customWidth="1"/>
    <col min="15108" max="15108" width="10.140625" style="416" customWidth="1"/>
    <col min="15109" max="15109" width="10.42578125" style="416" customWidth="1"/>
    <col min="15110" max="15110" width="10.28515625" style="416" customWidth="1"/>
    <col min="15111" max="15111" width="14" style="416" customWidth="1"/>
    <col min="15112" max="15112" width="14.28515625" style="416" customWidth="1"/>
    <col min="15113" max="15113" width="11.28515625" style="416" customWidth="1"/>
    <col min="15114" max="15360" width="9.140625" style="416"/>
    <col min="15361" max="15361" width="4.28515625" style="416" customWidth="1"/>
    <col min="15362" max="15362" width="8.7109375" style="416" customWidth="1"/>
    <col min="15363" max="15363" width="5.5703125" style="416" customWidth="1"/>
    <col min="15364" max="15364" width="10.140625" style="416" customWidth="1"/>
    <col min="15365" max="15365" width="10.42578125" style="416" customWidth="1"/>
    <col min="15366" max="15366" width="10.28515625" style="416" customWidth="1"/>
    <col min="15367" max="15367" width="14" style="416" customWidth="1"/>
    <col min="15368" max="15368" width="14.28515625" style="416" customWidth="1"/>
    <col min="15369" max="15369" width="11.28515625" style="416" customWidth="1"/>
    <col min="15370" max="15616" width="9.140625" style="416"/>
    <col min="15617" max="15617" width="4.28515625" style="416" customWidth="1"/>
    <col min="15618" max="15618" width="8.7109375" style="416" customWidth="1"/>
    <col min="15619" max="15619" width="5.5703125" style="416" customWidth="1"/>
    <col min="15620" max="15620" width="10.140625" style="416" customWidth="1"/>
    <col min="15621" max="15621" width="10.42578125" style="416" customWidth="1"/>
    <col min="15622" max="15622" width="10.28515625" style="416" customWidth="1"/>
    <col min="15623" max="15623" width="14" style="416" customWidth="1"/>
    <col min="15624" max="15624" width="14.28515625" style="416" customWidth="1"/>
    <col min="15625" max="15625" width="11.28515625" style="416" customWidth="1"/>
    <col min="15626" max="15872" width="9.140625" style="416"/>
    <col min="15873" max="15873" width="4.28515625" style="416" customWidth="1"/>
    <col min="15874" max="15874" width="8.7109375" style="416" customWidth="1"/>
    <col min="15875" max="15875" width="5.5703125" style="416" customWidth="1"/>
    <col min="15876" max="15876" width="10.140625" style="416" customWidth="1"/>
    <col min="15877" max="15877" width="10.42578125" style="416" customWidth="1"/>
    <col min="15878" max="15878" width="10.28515625" style="416" customWidth="1"/>
    <col min="15879" max="15879" width="14" style="416" customWidth="1"/>
    <col min="15880" max="15880" width="14.28515625" style="416" customWidth="1"/>
    <col min="15881" max="15881" width="11.28515625" style="416" customWidth="1"/>
    <col min="15882" max="16128" width="9.140625" style="416"/>
    <col min="16129" max="16129" width="4.28515625" style="416" customWidth="1"/>
    <col min="16130" max="16130" width="8.7109375" style="416" customWidth="1"/>
    <col min="16131" max="16131" width="5.5703125" style="416" customWidth="1"/>
    <col min="16132" max="16132" width="10.140625" style="416" customWidth="1"/>
    <col min="16133" max="16133" width="10.42578125" style="416" customWidth="1"/>
    <col min="16134" max="16134" width="10.28515625" style="416" customWidth="1"/>
    <col min="16135" max="16135" width="14" style="416" customWidth="1"/>
    <col min="16136" max="16136" width="14.28515625" style="416" customWidth="1"/>
    <col min="16137" max="16137" width="11.28515625" style="416" customWidth="1"/>
    <col min="16138" max="16384" width="9.140625" style="416"/>
  </cols>
  <sheetData>
    <row r="1" spans="1:9" x14ac:dyDescent="0.2">
      <c r="G1" s="186"/>
      <c r="H1" s="186" t="s">
        <v>299</v>
      </c>
    </row>
    <row r="2" spans="1:9" x14ac:dyDescent="0.2">
      <c r="G2" s="186"/>
      <c r="H2" s="3" t="s">
        <v>258</v>
      </c>
    </row>
    <row r="3" spans="1:9" x14ac:dyDescent="0.2">
      <c r="G3" s="186"/>
      <c r="H3" s="3" t="s">
        <v>1</v>
      </c>
    </row>
    <row r="4" spans="1:9" x14ac:dyDescent="0.2">
      <c r="G4" s="186"/>
      <c r="H4" s="3" t="s">
        <v>259</v>
      </c>
    </row>
    <row r="5" spans="1:9" x14ac:dyDescent="0.2">
      <c r="H5" s="187"/>
    </row>
    <row r="7" spans="1:9" ht="35.25" customHeight="1" x14ac:dyDescent="0.2">
      <c r="A7" s="188" t="s">
        <v>300</v>
      </c>
      <c r="B7" s="188"/>
      <c r="C7" s="188"/>
      <c r="D7" s="188"/>
      <c r="E7" s="188"/>
      <c r="F7" s="188"/>
      <c r="G7" s="188"/>
      <c r="H7" s="188"/>
      <c r="I7" s="188"/>
    </row>
    <row r="8" spans="1:9" ht="18" customHeight="1" x14ac:dyDescent="0.2">
      <c r="A8" s="189"/>
      <c r="B8" s="189"/>
      <c r="C8" s="189"/>
      <c r="D8" s="189"/>
      <c r="E8" s="189"/>
      <c r="F8" s="189"/>
      <c r="G8" s="189"/>
      <c r="H8" s="189"/>
      <c r="I8" s="189"/>
    </row>
    <row r="9" spans="1:9" ht="13.5" customHeight="1" x14ac:dyDescent="0.2">
      <c r="I9" s="190" t="s">
        <v>3</v>
      </c>
    </row>
    <row r="10" spans="1:9" ht="13.5" customHeight="1" x14ac:dyDescent="0.2">
      <c r="A10" s="191"/>
      <c r="B10" s="191"/>
      <c r="C10" s="191"/>
      <c r="D10" s="192"/>
      <c r="E10" s="192"/>
      <c r="F10" s="193" t="s">
        <v>301</v>
      </c>
      <c r="G10" s="194"/>
      <c r="H10" s="194"/>
      <c r="I10" s="195"/>
    </row>
    <row r="11" spans="1:9" ht="33.75" customHeight="1" x14ac:dyDescent="0.2">
      <c r="A11" s="196" t="s">
        <v>302</v>
      </c>
      <c r="B11" s="196" t="s">
        <v>303</v>
      </c>
      <c r="C11" s="196" t="s">
        <v>7</v>
      </c>
      <c r="D11" s="197" t="s">
        <v>304</v>
      </c>
      <c r="E11" s="197" t="s">
        <v>305</v>
      </c>
      <c r="F11" s="192"/>
      <c r="G11" s="193" t="s">
        <v>264</v>
      </c>
      <c r="H11" s="195"/>
      <c r="I11" s="192"/>
    </row>
    <row r="12" spans="1:9" ht="39.75" customHeight="1" x14ac:dyDescent="0.2">
      <c r="A12" s="198"/>
      <c r="B12" s="198"/>
      <c r="C12" s="198"/>
      <c r="D12" s="198"/>
      <c r="E12" s="199"/>
      <c r="F12" s="200" t="s">
        <v>306</v>
      </c>
      <c r="G12" s="201" t="s">
        <v>307</v>
      </c>
      <c r="H12" s="201" t="s">
        <v>308</v>
      </c>
      <c r="I12" s="200" t="s">
        <v>309</v>
      </c>
    </row>
    <row r="13" spans="1:9" ht="10.5" customHeight="1" x14ac:dyDescent="0.2">
      <c r="A13" s="202">
        <v>1</v>
      </c>
      <c r="B13" s="202">
        <v>2</v>
      </c>
      <c r="C13" s="202">
        <v>3</v>
      </c>
      <c r="D13" s="202">
        <v>4</v>
      </c>
      <c r="E13" s="202">
        <v>5</v>
      </c>
      <c r="F13" s="202">
        <v>6</v>
      </c>
      <c r="G13" s="202">
        <v>7</v>
      </c>
      <c r="H13" s="202">
        <v>8</v>
      </c>
      <c r="I13" s="202">
        <v>9</v>
      </c>
    </row>
    <row r="14" spans="1:9" ht="20.25" customHeight="1" x14ac:dyDescent="0.2">
      <c r="A14" s="418">
        <v>710</v>
      </c>
      <c r="B14" s="418">
        <v>71035</v>
      </c>
      <c r="C14" s="418">
        <v>2020</v>
      </c>
      <c r="D14" s="419">
        <f>9000+10000</f>
        <v>19000</v>
      </c>
      <c r="E14" s="419">
        <f t="shared" ref="E14:E19" si="0">SUM(F14,I14)</f>
        <v>19000</v>
      </c>
      <c r="F14" s="419">
        <f>9000+10000</f>
        <v>19000</v>
      </c>
      <c r="G14" s="419">
        <v>0</v>
      </c>
      <c r="H14" s="419">
        <v>0</v>
      </c>
      <c r="I14" s="419">
        <v>0</v>
      </c>
    </row>
    <row r="15" spans="1:9" ht="20.25" customHeight="1" x14ac:dyDescent="0.2">
      <c r="A15" s="418">
        <v>750</v>
      </c>
      <c r="B15" s="418">
        <v>75045</v>
      </c>
      <c r="C15" s="420">
        <v>2120</v>
      </c>
      <c r="D15" s="421">
        <f>25400+3340+960</f>
        <v>29700</v>
      </c>
      <c r="E15" s="419">
        <f t="shared" si="0"/>
        <v>29700</v>
      </c>
      <c r="F15" s="419">
        <f>25400+3340+960</f>
        <v>29700</v>
      </c>
      <c r="G15" s="419">
        <f>25400+3340-6600+960</f>
        <v>23100</v>
      </c>
      <c r="H15" s="419">
        <v>0</v>
      </c>
      <c r="I15" s="419">
        <v>0</v>
      </c>
    </row>
    <row r="16" spans="1:9" ht="20.25" customHeight="1" x14ac:dyDescent="0.2">
      <c r="A16" s="418">
        <v>754</v>
      </c>
      <c r="B16" s="418">
        <v>75421</v>
      </c>
      <c r="C16" s="420">
        <v>2020</v>
      </c>
      <c r="D16" s="421">
        <f>414000-342000</f>
        <v>72000</v>
      </c>
      <c r="E16" s="419">
        <f t="shared" si="0"/>
        <v>72000</v>
      </c>
      <c r="F16" s="419">
        <f>414000-342000</f>
        <v>72000</v>
      </c>
      <c r="G16" s="419">
        <v>0</v>
      </c>
      <c r="H16" s="419">
        <v>0</v>
      </c>
      <c r="I16" s="419">
        <v>0</v>
      </c>
    </row>
    <row r="17" spans="1:11" ht="20.25" customHeight="1" x14ac:dyDescent="0.2">
      <c r="A17" s="418">
        <v>801</v>
      </c>
      <c r="B17" s="418">
        <v>80146</v>
      </c>
      <c r="C17" s="420">
        <v>2020</v>
      </c>
      <c r="D17" s="421">
        <f>13423+7</f>
        <v>13430</v>
      </c>
      <c r="E17" s="419">
        <f t="shared" si="0"/>
        <v>13430</v>
      </c>
      <c r="F17" s="419">
        <f>13423+7</f>
        <v>13430</v>
      </c>
      <c r="G17" s="419">
        <f>13423+7</f>
        <v>13430</v>
      </c>
      <c r="H17" s="419">
        <v>0</v>
      </c>
      <c r="I17" s="419">
        <v>0</v>
      </c>
      <c r="K17" s="203"/>
    </row>
    <row r="18" spans="1:11" ht="20.25" customHeight="1" x14ac:dyDescent="0.2">
      <c r="A18" s="418">
        <v>801</v>
      </c>
      <c r="B18" s="418">
        <v>80146</v>
      </c>
      <c r="C18" s="420">
        <v>2120</v>
      </c>
      <c r="D18" s="421">
        <f>186000+116810-9551</f>
        <v>293259</v>
      </c>
      <c r="E18" s="419">
        <f t="shared" si="0"/>
        <v>293259</v>
      </c>
      <c r="F18" s="419">
        <f>186000+116810-9551</f>
        <v>293259</v>
      </c>
      <c r="G18" s="419">
        <f>178933+109204-1115-9551</f>
        <v>277471</v>
      </c>
      <c r="H18" s="419">
        <f>1115</f>
        <v>1115</v>
      </c>
      <c r="I18" s="419">
        <v>0</v>
      </c>
    </row>
    <row r="19" spans="1:11" ht="20.25" customHeight="1" x14ac:dyDescent="0.2">
      <c r="A19" s="418">
        <v>801</v>
      </c>
      <c r="B19" s="418">
        <v>80195</v>
      </c>
      <c r="C19" s="420">
        <v>2120</v>
      </c>
      <c r="D19" s="421">
        <v>351450</v>
      </c>
      <c r="E19" s="419">
        <f t="shared" si="0"/>
        <v>351450</v>
      </c>
      <c r="F19" s="419">
        <v>351450</v>
      </c>
      <c r="G19" s="419">
        <v>319500</v>
      </c>
      <c r="H19" s="419">
        <v>0</v>
      </c>
      <c r="I19" s="419">
        <v>0</v>
      </c>
    </row>
    <row r="20" spans="1:11" ht="20.25" customHeight="1" x14ac:dyDescent="0.2">
      <c r="A20" s="418">
        <v>852</v>
      </c>
      <c r="B20" s="418">
        <v>85205</v>
      </c>
      <c r="C20" s="420">
        <v>2020</v>
      </c>
      <c r="D20" s="421">
        <v>71260</v>
      </c>
      <c r="E20" s="419">
        <f>SUM(F20,I20)</f>
        <v>89950</v>
      </c>
      <c r="F20" s="419">
        <v>89950</v>
      </c>
      <c r="G20" s="419">
        <v>6000</v>
      </c>
      <c r="H20" s="419">
        <v>0</v>
      </c>
      <c r="I20" s="419">
        <v>0</v>
      </c>
    </row>
    <row r="21" spans="1:11" ht="23.25" customHeight="1" x14ac:dyDescent="0.2">
      <c r="A21" s="422" t="s">
        <v>310</v>
      </c>
      <c r="B21" s="423"/>
      <c r="C21" s="424"/>
      <c r="D21" s="425">
        <f t="shared" ref="D21:I21" si="1">SUM(D14:D20)</f>
        <v>850099</v>
      </c>
      <c r="E21" s="425">
        <f t="shared" si="1"/>
        <v>868789</v>
      </c>
      <c r="F21" s="425">
        <f t="shared" si="1"/>
        <v>868789</v>
      </c>
      <c r="G21" s="425">
        <f t="shared" si="1"/>
        <v>639501</v>
      </c>
      <c r="H21" s="425">
        <f t="shared" si="1"/>
        <v>1115</v>
      </c>
      <c r="I21" s="425">
        <f t="shared" si="1"/>
        <v>0</v>
      </c>
    </row>
    <row r="22" spans="1:11" ht="12" customHeight="1" x14ac:dyDescent="0.2"/>
  </sheetData>
  <pageMargins left="0.51181102362204722" right="0.51181102362204722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BA7FF5-C261-402F-BF26-E26303B73095}">
  <dimension ref="A1:G47"/>
  <sheetViews>
    <sheetView zoomScale="120" zoomScaleNormal="120" workbookViewId="0"/>
  </sheetViews>
  <sheetFormatPr defaultRowHeight="12.75" x14ac:dyDescent="0.2"/>
  <cols>
    <col min="1" max="1" width="4" style="426" customWidth="1"/>
    <col min="2" max="2" width="6.28515625" style="426" customWidth="1"/>
    <col min="3" max="3" width="8.42578125" style="426" customWidth="1"/>
    <col min="4" max="4" width="51.28515625" style="426" customWidth="1"/>
    <col min="5" max="5" width="21" style="426" customWidth="1"/>
    <col min="6" max="6" width="9.140625" style="426"/>
    <col min="7" max="7" width="10.7109375" style="204" customWidth="1"/>
    <col min="8" max="256" width="9.140625" style="426"/>
    <col min="257" max="257" width="4" style="426" customWidth="1"/>
    <col min="258" max="258" width="6.28515625" style="426" customWidth="1"/>
    <col min="259" max="259" width="8.42578125" style="426" customWidth="1"/>
    <col min="260" max="260" width="51.28515625" style="426" customWidth="1"/>
    <col min="261" max="261" width="21" style="426" customWidth="1"/>
    <col min="262" max="262" width="9.140625" style="426"/>
    <col min="263" max="263" width="10.7109375" style="426" customWidth="1"/>
    <col min="264" max="512" width="9.140625" style="426"/>
    <col min="513" max="513" width="4" style="426" customWidth="1"/>
    <col min="514" max="514" width="6.28515625" style="426" customWidth="1"/>
    <col min="515" max="515" width="8.42578125" style="426" customWidth="1"/>
    <col min="516" max="516" width="51.28515625" style="426" customWidth="1"/>
    <col min="517" max="517" width="21" style="426" customWidth="1"/>
    <col min="518" max="518" width="9.140625" style="426"/>
    <col min="519" max="519" width="10.7109375" style="426" customWidth="1"/>
    <col min="520" max="768" width="9.140625" style="426"/>
    <col min="769" max="769" width="4" style="426" customWidth="1"/>
    <col min="770" max="770" width="6.28515625" style="426" customWidth="1"/>
    <col min="771" max="771" width="8.42578125" style="426" customWidth="1"/>
    <col min="772" max="772" width="51.28515625" style="426" customWidth="1"/>
    <col min="773" max="773" width="21" style="426" customWidth="1"/>
    <col min="774" max="774" width="9.140625" style="426"/>
    <col min="775" max="775" width="10.7109375" style="426" customWidth="1"/>
    <col min="776" max="1024" width="9.140625" style="426"/>
    <col min="1025" max="1025" width="4" style="426" customWidth="1"/>
    <col min="1026" max="1026" width="6.28515625" style="426" customWidth="1"/>
    <col min="1027" max="1027" width="8.42578125" style="426" customWidth="1"/>
    <col min="1028" max="1028" width="51.28515625" style="426" customWidth="1"/>
    <col min="1029" max="1029" width="21" style="426" customWidth="1"/>
    <col min="1030" max="1030" width="9.140625" style="426"/>
    <col min="1031" max="1031" width="10.7109375" style="426" customWidth="1"/>
    <col min="1032" max="1280" width="9.140625" style="426"/>
    <col min="1281" max="1281" width="4" style="426" customWidth="1"/>
    <col min="1282" max="1282" width="6.28515625" style="426" customWidth="1"/>
    <col min="1283" max="1283" width="8.42578125" style="426" customWidth="1"/>
    <col min="1284" max="1284" width="51.28515625" style="426" customWidth="1"/>
    <col min="1285" max="1285" width="21" style="426" customWidth="1"/>
    <col min="1286" max="1286" width="9.140625" style="426"/>
    <col min="1287" max="1287" width="10.7109375" style="426" customWidth="1"/>
    <col min="1288" max="1536" width="9.140625" style="426"/>
    <col min="1537" max="1537" width="4" style="426" customWidth="1"/>
    <col min="1538" max="1538" width="6.28515625" style="426" customWidth="1"/>
    <col min="1539" max="1539" width="8.42578125" style="426" customWidth="1"/>
    <col min="1540" max="1540" width="51.28515625" style="426" customWidth="1"/>
    <col min="1541" max="1541" width="21" style="426" customWidth="1"/>
    <col min="1542" max="1542" width="9.140625" style="426"/>
    <col min="1543" max="1543" width="10.7109375" style="426" customWidth="1"/>
    <col min="1544" max="1792" width="9.140625" style="426"/>
    <col min="1793" max="1793" width="4" style="426" customWidth="1"/>
    <col min="1794" max="1794" width="6.28515625" style="426" customWidth="1"/>
    <col min="1795" max="1795" width="8.42578125" style="426" customWidth="1"/>
    <col min="1796" max="1796" width="51.28515625" style="426" customWidth="1"/>
    <col min="1797" max="1797" width="21" style="426" customWidth="1"/>
    <col min="1798" max="1798" width="9.140625" style="426"/>
    <col min="1799" max="1799" width="10.7109375" style="426" customWidth="1"/>
    <col min="1800" max="2048" width="9.140625" style="426"/>
    <col min="2049" max="2049" width="4" style="426" customWidth="1"/>
    <col min="2050" max="2050" width="6.28515625" style="426" customWidth="1"/>
    <col min="2051" max="2051" width="8.42578125" style="426" customWidth="1"/>
    <col min="2052" max="2052" width="51.28515625" style="426" customWidth="1"/>
    <col min="2053" max="2053" width="21" style="426" customWidth="1"/>
    <col min="2054" max="2054" width="9.140625" style="426"/>
    <col min="2055" max="2055" width="10.7109375" style="426" customWidth="1"/>
    <col min="2056" max="2304" width="9.140625" style="426"/>
    <col min="2305" max="2305" width="4" style="426" customWidth="1"/>
    <col min="2306" max="2306" width="6.28515625" style="426" customWidth="1"/>
    <col min="2307" max="2307" width="8.42578125" style="426" customWidth="1"/>
    <col min="2308" max="2308" width="51.28515625" style="426" customWidth="1"/>
    <col min="2309" max="2309" width="21" style="426" customWidth="1"/>
    <col min="2310" max="2310" width="9.140625" style="426"/>
    <col min="2311" max="2311" width="10.7109375" style="426" customWidth="1"/>
    <col min="2312" max="2560" width="9.140625" style="426"/>
    <col min="2561" max="2561" width="4" style="426" customWidth="1"/>
    <col min="2562" max="2562" width="6.28515625" style="426" customWidth="1"/>
    <col min="2563" max="2563" width="8.42578125" style="426" customWidth="1"/>
    <col min="2564" max="2564" width="51.28515625" style="426" customWidth="1"/>
    <col min="2565" max="2565" width="21" style="426" customWidth="1"/>
    <col min="2566" max="2566" width="9.140625" style="426"/>
    <col min="2567" max="2567" width="10.7109375" style="426" customWidth="1"/>
    <col min="2568" max="2816" width="9.140625" style="426"/>
    <col min="2817" max="2817" width="4" style="426" customWidth="1"/>
    <col min="2818" max="2818" width="6.28515625" style="426" customWidth="1"/>
    <col min="2819" max="2819" width="8.42578125" style="426" customWidth="1"/>
    <col min="2820" max="2820" width="51.28515625" style="426" customWidth="1"/>
    <col min="2821" max="2821" width="21" style="426" customWidth="1"/>
    <col min="2822" max="2822" width="9.140625" style="426"/>
    <col min="2823" max="2823" width="10.7109375" style="426" customWidth="1"/>
    <col min="2824" max="3072" width="9.140625" style="426"/>
    <col min="3073" max="3073" width="4" style="426" customWidth="1"/>
    <col min="3074" max="3074" width="6.28515625" style="426" customWidth="1"/>
    <col min="3075" max="3075" width="8.42578125" style="426" customWidth="1"/>
    <col min="3076" max="3076" width="51.28515625" style="426" customWidth="1"/>
    <col min="3077" max="3077" width="21" style="426" customWidth="1"/>
    <col min="3078" max="3078" width="9.140625" style="426"/>
    <col min="3079" max="3079" width="10.7109375" style="426" customWidth="1"/>
    <col min="3080" max="3328" width="9.140625" style="426"/>
    <col min="3329" max="3329" width="4" style="426" customWidth="1"/>
    <col min="3330" max="3330" width="6.28515625" style="426" customWidth="1"/>
    <col min="3331" max="3331" width="8.42578125" style="426" customWidth="1"/>
    <col min="3332" max="3332" width="51.28515625" style="426" customWidth="1"/>
    <col min="3333" max="3333" width="21" style="426" customWidth="1"/>
    <col min="3334" max="3334" width="9.140625" style="426"/>
    <col min="3335" max="3335" width="10.7109375" style="426" customWidth="1"/>
    <col min="3336" max="3584" width="9.140625" style="426"/>
    <col min="3585" max="3585" width="4" style="426" customWidth="1"/>
    <col min="3586" max="3586" width="6.28515625" style="426" customWidth="1"/>
    <col min="3587" max="3587" width="8.42578125" style="426" customWidth="1"/>
    <col min="3588" max="3588" width="51.28515625" style="426" customWidth="1"/>
    <col min="3589" max="3589" width="21" style="426" customWidth="1"/>
    <col min="3590" max="3590" width="9.140625" style="426"/>
    <col min="3591" max="3591" width="10.7109375" style="426" customWidth="1"/>
    <col min="3592" max="3840" width="9.140625" style="426"/>
    <col min="3841" max="3841" width="4" style="426" customWidth="1"/>
    <col min="3842" max="3842" width="6.28515625" style="426" customWidth="1"/>
    <col min="3843" max="3843" width="8.42578125" style="426" customWidth="1"/>
    <col min="3844" max="3844" width="51.28515625" style="426" customWidth="1"/>
    <col min="3845" max="3845" width="21" style="426" customWidth="1"/>
    <col min="3846" max="3846" width="9.140625" style="426"/>
    <col min="3847" max="3847" width="10.7109375" style="426" customWidth="1"/>
    <col min="3848" max="4096" width="9.140625" style="426"/>
    <col min="4097" max="4097" width="4" style="426" customWidth="1"/>
    <col min="4098" max="4098" width="6.28515625" style="426" customWidth="1"/>
    <col min="4099" max="4099" width="8.42578125" style="426" customWidth="1"/>
    <col min="4100" max="4100" width="51.28515625" style="426" customWidth="1"/>
    <col min="4101" max="4101" width="21" style="426" customWidth="1"/>
    <col min="4102" max="4102" width="9.140625" style="426"/>
    <col min="4103" max="4103" width="10.7109375" style="426" customWidth="1"/>
    <col min="4104" max="4352" width="9.140625" style="426"/>
    <col min="4353" max="4353" width="4" style="426" customWidth="1"/>
    <col min="4354" max="4354" width="6.28515625" style="426" customWidth="1"/>
    <col min="4355" max="4355" width="8.42578125" style="426" customWidth="1"/>
    <col min="4356" max="4356" width="51.28515625" style="426" customWidth="1"/>
    <col min="4357" max="4357" width="21" style="426" customWidth="1"/>
    <col min="4358" max="4358" width="9.140625" style="426"/>
    <col min="4359" max="4359" width="10.7109375" style="426" customWidth="1"/>
    <col min="4360" max="4608" width="9.140625" style="426"/>
    <col min="4609" max="4609" width="4" style="426" customWidth="1"/>
    <col min="4610" max="4610" width="6.28515625" style="426" customWidth="1"/>
    <col min="4611" max="4611" width="8.42578125" style="426" customWidth="1"/>
    <col min="4612" max="4612" width="51.28515625" style="426" customWidth="1"/>
    <col min="4613" max="4613" width="21" style="426" customWidth="1"/>
    <col min="4614" max="4614" width="9.140625" style="426"/>
    <col min="4615" max="4615" width="10.7109375" style="426" customWidth="1"/>
    <col min="4616" max="4864" width="9.140625" style="426"/>
    <col min="4865" max="4865" width="4" style="426" customWidth="1"/>
    <col min="4866" max="4866" width="6.28515625" style="426" customWidth="1"/>
    <col min="4867" max="4867" width="8.42578125" style="426" customWidth="1"/>
    <col min="4868" max="4868" width="51.28515625" style="426" customWidth="1"/>
    <col min="4869" max="4869" width="21" style="426" customWidth="1"/>
    <col min="4870" max="4870" width="9.140625" style="426"/>
    <col min="4871" max="4871" width="10.7109375" style="426" customWidth="1"/>
    <col min="4872" max="5120" width="9.140625" style="426"/>
    <col min="5121" max="5121" width="4" style="426" customWidth="1"/>
    <col min="5122" max="5122" width="6.28515625" style="426" customWidth="1"/>
    <col min="5123" max="5123" width="8.42578125" style="426" customWidth="1"/>
    <col min="5124" max="5124" width="51.28515625" style="426" customWidth="1"/>
    <col min="5125" max="5125" width="21" style="426" customWidth="1"/>
    <col min="5126" max="5126" width="9.140625" style="426"/>
    <col min="5127" max="5127" width="10.7109375" style="426" customWidth="1"/>
    <col min="5128" max="5376" width="9.140625" style="426"/>
    <col min="5377" max="5377" width="4" style="426" customWidth="1"/>
    <col min="5378" max="5378" width="6.28515625" style="426" customWidth="1"/>
    <col min="5379" max="5379" width="8.42578125" style="426" customWidth="1"/>
    <col min="5380" max="5380" width="51.28515625" style="426" customWidth="1"/>
    <col min="5381" max="5381" width="21" style="426" customWidth="1"/>
    <col min="5382" max="5382" width="9.140625" style="426"/>
    <col min="5383" max="5383" width="10.7109375" style="426" customWidth="1"/>
    <col min="5384" max="5632" width="9.140625" style="426"/>
    <col min="5633" max="5633" width="4" style="426" customWidth="1"/>
    <col min="5634" max="5634" width="6.28515625" style="426" customWidth="1"/>
    <col min="5635" max="5635" width="8.42578125" style="426" customWidth="1"/>
    <col min="5636" max="5636" width="51.28515625" style="426" customWidth="1"/>
    <col min="5637" max="5637" width="21" style="426" customWidth="1"/>
    <col min="5638" max="5638" width="9.140625" style="426"/>
    <col min="5639" max="5639" width="10.7109375" style="426" customWidth="1"/>
    <col min="5640" max="5888" width="9.140625" style="426"/>
    <col min="5889" max="5889" width="4" style="426" customWidth="1"/>
    <col min="5890" max="5890" width="6.28515625" style="426" customWidth="1"/>
    <col min="5891" max="5891" width="8.42578125" style="426" customWidth="1"/>
    <col min="5892" max="5892" width="51.28515625" style="426" customWidth="1"/>
    <col min="5893" max="5893" width="21" style="426" customWidth="1"/>
    <col min="5894" max="5894" width="9.140625" style="426"/>
    <col min="5895" max="5895" width="10.7109375" style="426" customWidth="1"/>
    <col min="5896" max="6144" width="9.140625" style="426"/>
    <col min="6145" max="6145" width="4" style="426" customWidth="1"/>
    <col min="6146" max="6146" width="6.28515625" style="426" customWidth="1"/>
    <col min="6147" max="6147" width="8.42578125" style="426" customWidth="1"/>
    <col min="6148" max="6148" width="51.28515625" style="426" customWidth="1"/>
    <col min="6149" max="6149" width="21" style="426" customWidth="1"/>
    <col min="6150" max="6150" width="9.140625" style="426"/>
    <col min="6151" max="6151" width="10.7109375" style="426" customWidth="1"/>
    <col min="6152" max="6400" width="9.140625" style="426"/>
    <col min="6401" max="6401" width="4" style="426" customWidth="1"/>
    <col min="6402" max="6402" width="6.28515625" style="426" customWidth="1"/>
    <col min="6403" max="6403" width="8.42578125" style="426" customWidth="1"/>
    <col min="6404" max="6404" width="51.28515625" style="426" customWidth="1"/>
    <col min="6405" max="6405" width="21" style="426" customWidth="1"/>
    <col min="6406" max="6406" width="9.140625" style="426"/>
    <col min="6407" max="6407" width="10.7109375" style="426" customWidth="1"/>
    <col min="6408" max="6656" width="9.140625" style="426"/>
    <col min="6657" max="6657" width="4" style="426" customWidth="1"/>
    <col min="6658" max="6658" width="6.28515625" style="426" customWidth="1"/>
    <col min="6659" max="6659" width="8.42578125" style="426" customWidth="1"/>
    <col min="6660" max="6660" width="51.28515625" style="426" customWidth="1"/>
    <col min="6661" max="6661" width="21" style="426" customWidth="1"/>
    <col min="6662" max="6662" width="9.140625" style="426"/>
    <col min="6663" max="6663" width="10.7109375" style="426" customWidth="1"/>
    <col min="6664" max="6912" width="9.140625" style="426"/>
    <col min="6913" max="6913" width="4" style="426" customWidth="1"/>
    <col min="6914" max="6914" width="6.28515625" style="426" customWidth="1"/>
    <col min="6915" max="6915" width="8.42578125" style="426" customWidth="1"/>
    <col min="6916" max="6916" width="51.28515625" style="426" customWidth="1"/>
    <col min="6917" max="6917" width="21" style="426" customWidth="1"/>
    <col min="6918" max="6918" width="9.140625" style="426"/>
    <col min="6919" max="6919" width="10.7109375" style="426" customWidth="1"/>
    <col min="6920" max="7168" width="9.140625" style="426"/>
    <col min="7169" max="7169" width="4" style="426" customWidth="1"/>
    <col min="7170" max="7170" width="6.28515625" style="426" customWidth="1"/>
    <col min="7171" max="7171" width="8.42578125" style="426" customWidth="1"/>
    <col min="7172" max="7172" width="51.28515625" style="426" customWidth="1"/>
    <col min="7173" max="7173" width="21" style="426" customWidth="1"/>
    <col min="7174" max="7174" width="9.140625" style="426"/>
    <col min="7175" max="7175" width="10.7109375" style="426" customWidth="1"/>
    <col min="7176" max="7424" width="9.140625" style="426"/>
    <col min="7425" max="7425" width="4" style="426" customWidth="1"/>
    <col min="7426" max="7426" width="6.28515625" style="426" customWidth="1"/>
    <col min="7427" max="7427" width="8.42578125" style="426" customWidth="1"/>
    <col min="7428" max="7428" width="51.28515625" style="426" customWidth="1"/>
    <col min="7429" max="7429" width="21" style="426" customWidth="1"/>
    <col min="7430" max="7430" width="9.140625" style="426"/>
    <col min="7431" max="7431" width="10.7109375" style="426" customWidth="1"/>
    <col min="7432" max="7680" width="9.140625" style="426"/>
    <col min="7681" max="7681" width="4" style="426" customWidth="1"/>
    <col min="7682" max="7682" width="6.28515625" style="426" customWidth="1"/>
    <col min="7683" max="7683" width="8.42578125" style="426" customWidth="1"/>
    <col min="7684" max="7684" width="51.28515625" style="426" customWidth="1"/>
    <col min="7685" max="7685" width="21" style="426" customWidth="1"/>
    <col min="7686" max="7686" width="9.140625" style="426"/>
    <col min="7687" max="7687" width="10.7109375" style="426" customWidth="1"/>
    <col min="7688" max="7936" width="9.140625" style="426"/>
    <col min="7937" max="7937" width="4" style="426" customWidth="1"/>
    <col min="7938" max="7938" width="6.28515625" style="426" customWidth="1"/>
    <col min="7939" max="7939" width="8.42578125" style="426" customWidth="1"/>
    <col min="7940" max="7940" width="51.28515625" style="426" customWidth="1"/>
    <col min="7941" max="7941" width="21" style="426" customWidth="1"/>
    <col min="7942" max="7942" width="9.140625" style="426"/>
    <col min="7943" max="7943" width="10.7109375" style="426" customWidth="1"/>
    <col min="7944" max="8192" width="9.140625" style="426"/>
    <col min="8193" max="8193" width="4" style="426" customWidth="1"/>
    <col min="8194" max="8194" width="6.28515625" style="426" customWidth="1"/>
    <col min="8195" max="8195" width="8.42578125" style="426" customWidth="1"/>
    <col min="8196" max="8196" width="51.28515625" style="426" customWidth="1"/>
    <col min="8197" max="8197" width="21" style="426" customWidth="1"/>
    <col min="8198" max="8198" width="9.140625" style="426"/>
    <col min="8199" max="8199" width="10.7109375" style="426" customWidth="1"/>
    <col min="8200" max="8448" width="9.140625" style="426"/>
    <col min="8449" max="8449" width="4" style="426" customWidth="1"/>
    <col min="8450" max="8450" width="6.28515625" style="426" customWidth="1"/>
    <col min="8451" max="8451" width="8.42578125" style="426" customWidth="1"/>
    <col min="8452" max="8452" width="51.28515625" style="426" customWidth="1"/>
    <col min="8453" max="8453" width="21" style="426" customWidth="1"/>
    <col min="8454" max="8454" width="9.140625" style="426"/>
    <col min="8455" max="8455" width="10.7109375" style="426" customWidth="1"/>
    <col min="8456" max="8704" width="9.140625" style="426"/>
    <col min="8705" max="8705" width="4" style="426" customWidth="1"/>
    <col min="8706" max="8706" width="6.28515625" style="426" customWidth="1"/>
    <col min="8707" max="8707" width="8.42578125" style="426" customWidth="1"/>
    <col min="8708" max="8708" width="51.28515625" style="426" customWidth="1"/>
    <col min="8709" max="8709" width="21" style="426" customWidth="1"/>
    <col min="8710" max="8710" width="9.140625" style="426"/>
    <col min="8711" max="8711" width="10.7109375" style="426" customWidth="1"/>
    <col min="8712" max="8960" width="9.140625" style="426"/>
    <col min="8961" max="8961" width="4" style="426" customWidth="1"/>
    <col min="8962" max="8962" width="6.28515625" style="426" customWidth="1"/>
    <col min="8963" max="8963" width="8.42578125" style="426" customWidth="1"/>
    <col min="8964" max="8964" width="51.28515625" style="426" customWidth="1"/>
    <col min="8965" max="8965" width="21" style="426" customWidth="1"/>
    <col min="8966" max="8966" width="9.140625" style="426"/>
    <col min="8967" max="8967" width="10.7109375" style="426" customWidth="1"/>
    <col min="8968" max="9216" width="9.140625" style="426"/>
    <col min="9217" max="9217" width="4" style="426" customWidth="1"/>
    <col min="9218" max="9218" width="6.28515625" style="426" customWidth="1"/>
    <col min="9219" max="9219" width="8.42578125" style="426" customWidth="1"/>
    <col min="9220" max="9220" width="51.28515625" style="426" customWidth="1"/>
    <col min="9221" max="9221" width="21" style="426" customWidth="1"/>
    <col min="9222" max="9222" width="9.140625" style="426"/>
    <col min="9223" max="9223" width="10.7109375" style="426" customWidth="1"/>
    <col min="9224" max="9472" width="9.140625" style="426"/>
    <col min="9473" max="9473" width="4" style="426" customWidth="1"/>
    <col min="9474" max="9474" width="6.28515625" style="426" customWidth="1"/>
    <col min="9475" max="9475" width="8.42578125" style="426" customWidth="1"/>
    <col min="9476" max="9476" width="51.28515625" style="426" customWidth="1"/>
    <col min="9477" max="9477" width="21" style="426" customWidth="1"/>
    <col min="9478" max="9478" width="9.140625" style="426"/>
    <col min="9479" max="9479" width="10.7109375" style="426" customWidth="1"/>
    <col min="9480" max="9728" width="9.140625" style="426"/>
    <col min="9729" max="9729" width="4" style="426" customWidth="1"/>
    <col min="9730" max="9730" width="6.28515625" style="426" customWidth="1"/>
    <col min="9731" max="9731" width="8.42578125" style="426" customWidth="1"/>
    <col min="9732" max="9732" width="51.28515625" style="426" customWidth="1"/>
    <col min="9733" max="9733" width="21" style="426" customWidth="1"/>
    <col min="9734" max="9734" width="9.140625" style="426"/>
    <col min="9735" max="9735" width="10.7109375" style="426" customWidth="1"/>
    <col min="9736" max="9984" width="9.140625" style="426"/>
    <col min="9985" max="9985" width="4" style="426" customWidth="1"/>
    <col min="9986" max="9986" width="6.28515625" style="426" customWidth="1"/>
    <col min="9987" max="9987" width="8.42578125" style="426" customWidth="1"/>
    <col min="9988" max="9988" width="51.28515625" style="426" customWidth="1"/>
    <col min="9989" max="9989" width="21" style="426" customWidth="1"/>
    <col min="9990" max="9990" width="9.140625" style="426"/>
    <col min="9991" max="9991" width="10.7109375" style="426" customWidth="1"/>
    <col min="9992" max="10240" width="9.140625" style="426"/>
    <col min="10241" max="10241" width="4" style="426" customWidth="1"/>
    <col min="10242" max="10242" width="6.28515625" style="426" customWidth="1"/>
    <col min="10243" max="10243" width="8.42578125" style="426" customWidth="1"/>
    <col min="10244" max="10244" width="51.28515625" style="426" customWidth="1"/>
    <col min="10245" max="10245" width="21" style="426" customWidth="1"/>
    <col min="10246" max="10246" width="9.140625" style="426"/>
    <col min="10247" max="10247" width="10.7109375" style="426" customWidth="1"/>
    <col min="10248" max="10496" width="9.140625" style="426"/>
    <col min="10497" max="10497" width="4" style="426" customWidth="1"/>
    <col min="10498" max="10498" width="6.28515625" style="426" customWidth="1"/>
    <col min="10499" max="10499" width="8.42578125" style="426" customWidth="1"/>
    <col min="10500" max="10500" width="51.28515625" style="426" customWidth="1"/>
    <col min="10501" max="10501" width="21" style="426" customWidth="1"/>
    <col min="10502" max="10502" width="9.140625" style="426"/>
    <col min="10503" max="10503" width="10.7109375" style="426" customWidth="1"/>
    <col min="10504" max="10752" width="9.140625" style="426"/>
    <col min="10753" max="10753" width="4" style="426" customWidth="1"/>
    <col min="10754" max="10754" width="6.28515625" style="426" customWidth="1"/>
    <col min="10755" max="10755" width="8.42578125" style="426" customWidth="1"/>
    <col min="10756" max="10756" width="51.28515625" style="426" customWidth="1"/>
    <col min="10757" max="10757" width="21" style="426" customWidth="1"/>
    <col min="10758" max="10758" width="9.140625" style="426"/>
    <col min="10759" max="10759" width="10.7109375" style="426" customWidth="1"/>
    <col min="10760" max="11008" width="9.140625" style="426"/>
    <col min="11009" max="11009" width="4" style="426" customWidth="1"/>
    <col min="11010" max="11010" width="6.28515625" style="426" customWidth="1"/>
    <col min="11011" max="11011" width="8.42578125" style="426" customWidth="1"/>
    <col min="11012" max="11012" width="51.28515625" style="426" customWidth="1"/>
    <col min="11013" max="11013" width="21" style="426" customWidth="1"/>
    <col min="11014" max="11014" width="9.140625" style="426"/>
    <col min="11015" max="11015" width="10.7109375" style="426" customWidth="1"/>
    <col min="11016" max="11264" width="9.140625" style="426"/>
    <col min="11265" max="11265" width="4" style="426" customWidth="1"/>
    <col min="11266" max="11266" width="6.28515625" style="426" customWidth="1"/>
    <col min="11267" max="11267" width="8.42578125" style="426" customWidth="1"/>
    <col min="11268" max="11268" width="51.28515625" style="426" customWidth="1"/>
    <col min="11269" max="11269" width="21" style="426" customWidth="1"/>
    <col min="11270" max="11270" width="9.140625" style="426"/>
    <col min="11271" max="11271" width="10.7109375" style="426" customWidth="1"/>
    <col min="11272" max="11520" width="9.140625" style="426"/>
    <col min="11521" max="11521" width="4" style="426" customWidth="1"/>
    <col min="11522" max="11522" width="6.28515625" style="426" customWidth="1"/>
    <col min="11523" max="11523" width="8.42578125" style="426" customWidth="1"/>
    <col min="11524" max="11524" width="51.28515625" style="426" customWidth="1"/>
    <col min="11525" max="11525" width="21" style="426" customWidth="1"/>
    <col min="11526" max="11526" width="9.140625" style="426"/>
    <col min="11527" max="11527" width="10.7109375" style="426" customWidth="1"/>
    <col min="11528" max="11776" width="9.140625" style="426"/>
    <col min="11777" max="11777" width="4" style="426" customWidth="1"/>
    <col min="11778" max="11778" width="6.28515625" style="426" customWidth="1"/>
    <col min="11779" max="11779" width="8.42578125" style="426" customWidth="1"/>
    <col min="11780" max="11780" width="51.28515625" style="426" customWidth="1"/>
    <col min="11781" max="11781" width="21" style="426" customWidth="1"/>
    <col min="11782" max="11782" width="9.140625" style="426"/>
    <col min="11783" max="11783" width="10.7109375" style="426" customWidth="1"/>
    <col min="11784" max="12032" width="9.140625" style="426"/>
    <col min="12033" max="12033" width="4" style="426" customWidth="1"/>
    <col min="12034" max="12034" width="6.28515625" style="426" customWidth="1"/>
    <col min="12035" max="12035" width="8.42578125" style="426" customWidth="1"/>
    <col min="12036" max="12036" width="51.28515625" style="426" customWidth="1"/>
    <col min="12037" max="12037" width="21" style="426" customWidth="1"/>
    <col min="12038" max="12038" width="9.140625" style="426"/>
    <col min="12039" max="12039" width="10.7109375" style="426" customWidth="1"/>
    <col min="12040" max="12288" width="9.140625" style="426"/>
    <col min="12289" max="12289" width="4" style="426" customWidth="1"/>
    <col min="12290" max="12290" width="6.28515625" style="426" customWidth="1"/>
    <col min="12291" max="12291" width="8.42578125" style="426" customWidth="1"/>
    <col min="12292" max="12292" width="51.28515625" style="426" customWidth="1"/>
    <col min="12293" max="12293" width="21" style="426" customWidth="1"/>
    <col min="12294" max="12294" width="9.140625" style="426"/>
    <col min="12295" max="12295" width="10.7109375" style="426" customWidth="1"/>
    <col min="12296" max="12544" width="9.140625" style="426"/>
    <col min="12545" max="12545" width="4" style="426" customWidth="1"/>
    <col min="12546" max="12546" width="6.28515625" style="426" customWidth="1"/>
    <col min="12547" max="12547" width="8.42578125" style="426" customWidth="1"/>
    <col min="12548" max="12548" width="51.28515625" style="426" customWidth="1"/>
    <col min="12549" max="12549" width="21" style="426" customWidth="1"/>
    <col min="12550" max="12550" width="9.140625" style="426"/>
    <col min="12551" max="12551" width="10.7109375" style="426" customWidth="1"/>
    <col min="12552" max="12800" width="9.140625" style="426"/>
    <col min="12801" max="12801" width="4" style="426" customWidth="1"/>
    <col min="12802" max="12802" width="6.28515625" style="426" customWidth="1"/>
    <col min="12803" max="12803" width="8.42578125" style="426" customWidth="1"/>
    <col min="12804" max="12804" width="51.28515625" style="426" customWidth="1"/>
    <col min="12805" max="12805" width="21" style="426" customWidth="1"/>
    <col min="12806" max="12806" width="9.140625" style="426"/>
    <col min="12807" max="12807" width="10.7109375" style="426" customWidth="1"/>
    <col min="12808" max="13056" width="9.140625" style="426"/>
    <col min="13057" max="13057" width="4" style="426" customWidth="1"/>
    <col min="13058" max="13058" width="6.28515625" style="426" customWidth="1"/>
    <col min="13059" max="13059" width="8.42578125" style="426" customWidth="1"/>
    <col min="13060" max="13060" width="51.28515625" style="426" customWidth="1"/>
    <col min="13061" max="13061" width="21" style="426" customWidth="1"/>
    <col min="13062" max="13062" width="9.140625" style="426"/>
    <col min="13063" max="13063" width="10.7109375" style="426" customWidth="1"/>
    <col min="13064" max="13312" width="9.140625" style="426"/>
    <col min="13313" max="13313" width="4" style="426" customWidth="1"/>
    <col min="13314" max="13314" width="6.28515625" style="426" customWidth="1"/>
    <col min="13315" max="13315" width="8.42578125" style="426" customWidth="1"/>
    <col min="13316" max="13316" width="51.28515625" style="426" customWidth="1"/>
    <col min="13317" max="13317" width="21" style="426" customWidth="1"/>
    <col min="13318" max="13318" width="9.140625" style="426"/>
    <col min="13319" max="13319" width="10.7109375" style="426" customWidth="1"/>
    <col min="13320" max="13568" width="9.140625" style="426"/>
    <col min="13569" max="13569" width="4" style="426" customWidth="1"/>
    <col min="13570" max="13570" width="6.28515625" style="426" customWidth="1"/>
    <col min="13571" max="13571" width="8.42578125" style="426" customWidth="1"/>
    <col min="13572" max="13572" width="51.28515625" style="426" customWidth="1"/>
    <col min="13573" max="13573" width="21" style="426" customWidth="1"/>
    <col min="13574" max="13574" width="9.140625" style="426"/>
    <col min="13575" max="13575" width="10.7109375" style="426" customWidth="1"/>
    <col min="13576" max="13824" width="9.140625" style="426"/>
    <col min="13825" max="13825" width="4" style="426" customWidth="1"/>
    <col min="13826" max="13826" width="6.28515625" style="426" customWidth="1"/>
    <col min="13827" max="13827" width="8.42578125" style="426" customWidth="1"/>
    <col min="13828" max="13828" width="51.28515625" style="426" customWidth="1"/>
    <col min="13829" max="13829" width="21" style="426" customWidth="1"/>
    <col min="13830" max="13830" width="9.140625" style="426"/>
    <col min="13831" max="13831" width="10.7109375" style="426" customWidth="1"/>
    <col min="13832" max="14080" width="9.140625" style="426"/>
    <col min="14081" max="14081" width="4" style="426" customWidth="1"/>
    <col min="14082" max="14082" width="6.28515625" style="426" customWidth="1"/>
    <col min="14083" max="14083" width="8.42578125" style="426" customWidth="1"/>
    <col min="14084" max="14084" width="51.28515625" style="426" customWidth="1"/>
    <col min="14085" max="14085" width="21" style="426" customWidth="1"/>
    <col min="14086" max="14086" width="9.140625" style="426"/>
    <col min="14087" max="14087" width="10.7109375" style="426" customWidth="1"/>
    <col min="14088" max="14336" width="9.140625" style="426"/>
    <col min="14337" max="14337" width="4" style="426" customWidth="1"/>
    <col min="14338" max="14338" width="6.28515625" style="426" customWidth="1"/>
    <col min="14339" max="14339" width="8.42578125" style="426" customWidth="1"/>
    <col min="14340" max="14340" width="51.28515625" style="426" customWidth="1"/>
    <col min="14341" max="14341" width="21" style="426" customWidth="1"/>
    <col min="14342" max="14342" width="9.140625" style="426"/>
    <col min="14343" max="14343" width="10.7109375" style="426" customWidth="1"/>
    <col min="14344" max="14592" width="9.140625" style="426"/>
    <col min="14593" max="14593" width="4" style="426" customWidth="1"/>
    <col min="14594" max="14594" width="6.28515625" style="426" customWidth="1"/>
    <col min="14595" max="14595" width="8.42578125" style="426" customWidth="1"/>
    <col min="14596" max="14596" width="51.28515625" style="426" customWidth="1"/>
    <col min="14597" max="14597" width="21" style="426" customWidth="1"/>
    <col min="14598" max="14598" width="9.140625" style="426"/>
    <col min="14599" max="14599" width="10.7109375" style="426" customWidth="1"/>
    <col min="14600" max="14848" width="9.140625" style="426"/>
    <col min="14849" max="14849" width="4" style="426" customWidth="1"/>
    <col min="14850" max="14850" width="6.28515625" style="426" customWidth="1"/>
    <col min="14851" max="14851" width="8.42578125" style="426" customWidth="1"/>
    <col min="14852" max="14852" width="51.28515625" style="426" customWidth="1"/>
    <col min="14853" max="14853" width="21" style="426" customWidth="1"/>
    <col min="14854" max="14854" width="9.140625" style="426"/>
    <col min="14855" max="14855" width="10.7109375" style="426" customWidth="1"/>
    <col min="14856" max="15104" width="9.140625" style="426"/>
    <col min="15105" max="15105" width="4" style="426" customWidth="1"/>
    <col min="15106" max="15106" width="6.28515625" style="426" customWidth="1"/>
    <col min="15107" max="15107" width="8.42578125" style="426" customWidth="1"/>
    <col min="15108" max="15108" width="51.28515625" style="426" customWidth="1"/>
    <col min="15109" max="15109" width="21" style="426" customWidth="1"/>
    <col min="15110" max="15110" width="9.140625" style="426"/>
    <col min="15111" max="15111" width="10.7109375" style="426" customWidth="1"/>
    <col min="15112" max="15360" width="9.140625" style="426"/>
    <col min="15361" max="15361" width="4" style="426" customWidth="1"/>
    <col min="15362" max="15362" width="6.28515625" style="426" customWidth="1"/>
    <col min="15363" max="15363" width="8.42578125" style="426" customWidth="1"/>
    <col min="15364" max="15364" width="51.28515625" style="426" customWidth="1"/>
    <col min="15365" max="15365" width="21" style="426" customWidth="1"/>
    <col min="15366" max="15366" width="9.140625" style="426"/>
    <col min="15367" max="15367" width="10.7109375" style="426" customWidth="1"/>
    <col min="15368" max="15616" width="9.140625" style="426"/>
    <col min="15617" max="15617" width="4" style="426" customWidth="1"/>
    <col min="15618" max="15618" width="6.28515625" style="426" customWidth="1"/>
    <col min="15619" max="15619" width="8.42578125" style="426" customWidth="1"/>
    <col min="15620" max="15620" width="51.28515625" style="426" customWidth="1"/>
    <col min="15621" max="15621" width="21" style="426" customWidth="1"/>
    <col min="15622" max="15622" width="9.140625" style="426"/>
    <col min="15623" max="15623" width="10.7109375" style="426" customWidth="1"/>
    <col min="15624" max="15872" width="9.140625" style="426"/>
    <col min="15873" max="15873" width="4" style="426" customWidth="1"/>
    <col min="15874" max="15874" width="6.28515625" style="426" customWidth="1"/>
    <col min="15875" max="15875" width="8.42578125" style="426" customWidth="1"/>
    <col min="15876" max="15876" width="51.28515625" style="426" customWidth="1"/>
    <col min="15877" max="15877" width="21" style="426" customWidth="1"/>
    <col min="15878" max="15878" width="9.140625" style="426"/>
    <col min="15879" max="15879" width="10.7109375" style="426" customWidth="1"/>
    <col min="15880" max="16128" width="9.140625" style="426"/>
    <col min="16129" max="16129" width="4" style="426" customWidth="1"/>
    <col min="16130" max="16130" width="6.28515625" style="426" customWidth="1"/>
    <col min="16131" max="16131" width="8.42578125" style="426" customWidth="1"/>
    <col min="16132" max="16132" width="51.28515625" style="426" customWidth="1"/>
    <col min="16133" max="16133" width="21" style="426" customWidth="1"/>
    <col min="16134" max="16134" width="9.140625" style="426"/>
    <col min="16135" max="16135" width="10.7109375" style="426" customWidth="1"/>
    <col min="16136" max="16384" width="9.140625" style="426"/>
  </cols>
  <sheetData>
    <row r="1" spans="1:7" x14ac:dyDescent="0.2">
      <c r="A1" s="204"/>
      <c r="E1" s="205" t="s">
        <v>311</v>
      </c>
    </row>
    <row r="2" spans="1:7" x14ac:dyDescent="0.2">
      <c r="D2" s="205"/>
      <c r="E2" s="3" t="s">
        <v>258</v>
      </c>
    </row>
    <row r="3" spans="1:7" x14ac:dyDescent="0.2">
      <c r="D3" s="205"/>
      <c r="E3" s="3" t="s">
        <v>1</v>
      </c>
    </row>
    <row r="4" spans="1:7" x14ac:dyDescent="0.2">
      <c r="D4" s="205"/>
      <c r="E4" s="3" t="s">
        <v>259</v>
      </c>
    </row>
    <row r="5" spans="1:7" x14ac:dyDescent="0.2">
      <c r="D5" s="205"/>
      <c r="E5" s="205"/>
    </row>
    <row r="6" spans="1:7" ht="15" customHeight="1" x14ac:dyDescent="0.2">
      <c r="A6" s="206" t="s">
        <v>312</v>
      </c>
      <c r="B6" s="206"/>
      <c r="C6" s="206"/>
      <c r="D6" s="206"/>
      <c r="E6" s="206"/>
    </row>
    <row r="7" spans="1:7" ht="15" customHeight="1" x14ac:dyDescent="0.2">
      <c r="A7" s="206" t="s">
        <v>313</v>
      </c>
      <c r="B7" s="206"/>
      <c r="C7" s="206"/>
      <c r="D7" s="206"/>
      <c r="E7" s="206"/>
    </row>
    <row r="8" spans="1:7" ht="10.5" customHeight="1" x14ac:dyDescent="0.2">
      <c r="D8" s="207"/>
      <c r="E8" s="207"/>
    </row>
    <row r="9" spans="1:7" ht="12" customHeight="1" x14ac:dyDescent="0.2">
      <c r="D9" s="427"/>
      <c r="E9" s="208" t="s">
        <v>3</v>
      </c>
    </row>
    <row r="10" spans="1:7" ht="22.5" customHeight="1" x14ac:dyDescent="0.2">
      <c r="A10" s="209" t="s">
        <v>270</v>
      </c>
      <c r="B10" s="209" t="s">
        <v>302</v>
      </c>
      <c r="C10" s="209" t="s">
        <v>303</v>
      </c>
      <c r="D10" s="209" t="s">
        <v>314</v>
      </c>
      <c r="E10" s="209" t="s">
        <v>315</v>
      </c>
    </row>
    <row r="11" spans="1:7" s="211" customFormat="1" ht="9.75" customHeight="1" x14ac:dyDescent="0.2">
      <c r="A11" s="210">
        <v>1</v>
      </c>
      <c r="B11" s="210">
        <v>2</v>
      </c>
      <c r="C11" s="210">
        <v>3</v>
      </c>
      <c r="D11" s="210">
        <v>4</v>
      </c>
      <c r="E11" s="210">
        <v>5</v>
      </c>
      <c r="G11" s="212"/>
    </row>
    <row r="12" spans="1:7" ht="18" customHeight="1" x14ac:dyDescent="0.2">
      <c r="A12" s="213" t="s">
        <v>316</v>
      </c>
      <c r="B12" s="214"/>
      <c r="C12" s="214"/>
      <c r="D12" s="214"/>
      <c r="E12" s="215"/>
    </row>
    <row r="13" spans="1:7" ht="28.5" customHeight="1" x14ac:dyDescent="0.2">
      <c r="A13" s="216">
        <v>1</v>
      </c>
      <c r="B13" s="216">
        <v>750</v>
      </c>
      <c r="C13" s="216">
        <v>75023</v>
      </c>
      <c r="D13" s="217" t="s">
        <v>317</v>
      </c>
      <c r="E13" s="218">
        <v>8369</v>
      </c>
    </row>
    <row r="14" spans="1:7" ht="55.15" customHeight="1" x14ac:dyDescent="0.2">
      <c r="A14" s="216">
        <v>2</v>
      </c>
      <c r="B14" s="216">
        <v>750</v>
      </c>
      <c r="C14" s="216">
        <v>75058</v>
      </c>
      <c r="D14" s="217" t="s">
        <v>318</v>
      </c>
      <c r="E14" s="218">
        <v>65033</v>
      </c>
      <c r="G14" s="219"/>
    </row>
    <row r="15" spans="1:7" ht="15" customHeight="1" x14ac:dyDescent="0.2">
      <c r="A15" s="216">
        <v>3</v>
      </c>
      <c r="B15" s="216">
        <v>801</v>
      </c>
      <c r="C15" s="216">
        <v>80104</v>
      </c>
      <c r="D15" s="217" t="s">
        <v>133</v>
      </c>
      <c r="E15" s="218">
        <v>240000</v>
      </c>
      <c r="G15" s="219"/>
    </row>
    <row r="16" spans="1:7" ht="16.5" customHeight="1" x14ac:dyDescent="0.2">
      <c r="A16" s="216">
        <v>4</v>
      </c>
      <c r="B16" s="216">
        <v>801</v>
      </c>
      <c r="C16" s="216">
        <v>80195</v>
      </c>
      <c r="D16" s="220" t="s">
        <v>319</v>
      </c>
      <c r="E16" s="218">
        <v>3000</v>
      </c>
      <c r="G16" s="219"/>
    </row>
    <row r="17" spans="1:7" ht="16.5" customHeight="1" x14ac:dyDescent="0.2">
      <c r="A17" s="216">
        <v>5</v>
      </c>
      <c r="B17" s="221">
        <v>851</v>
      </c>
      <c r="C17" s="221">
        <v>85149</v>
      </c>
      <c r="D17" s="217" t="s">
        <v>320</v>
      </c>
      <c r="E17" s="218">
        <v>16000</v>
      </c>
      <c r="G17" s="219"/>
    </row>
    <row r="18" spans="1:7" ht="25.5" customHeight="1" x14ac:dyDescent="0.2">
      <c r="A18" s="216">
        <v>6</v>
      </c>
      <c r="B18" s="216">
        <v>851</v>
      </c>
      <c r="C18" s="216">
        <v>85154</v>
      </c>
      <c r="D18" s="217" t="s">
        <v>321</v>
      </c>
      <c r="E18" s="218">
        <v>6000</v>
      </c>
    </row>
    <row r="19" spans="1:7" ht="17.25" customHeight="1" x14ac:dyDescent="0.2">
      <c r="A19" s="222">
        <v>7</v>
      </c>
      <c r="B19" s="222">
        <v>853</v>
      </c>
      <c r="C19" s="222">
        <v>85333</v>
      </c>
      <c r="D19" s="223" t="s">
        <v>322</v>
      </c>
      <c r="E19" s="224">
        <v>3422964</v>
      </c>
    </row>
    <row r="20" spans="1:7" ht="36.75" customHeight="1" x14ac:dyDescent="0.2">
      <c r="A20" s="221">
        <v>8</v>
      </c>
      <c r="B20" s="221">
        <v>900</v>
      </c>
      <c r="C20" s="221">
        <v>90095</v>
      </c>
      <c r="D20" s="225" t="s">
        <v>323</v>
      </c>
      <c r="E20" s="224">
        <v>40000</v>
      </c>
    </row>
    <row r="21" spans="1:7" ht="17.25" customHeight="1" x14ac:dyDescent="0.2">
      <c r="A21" s="223">
        <v>9</v>
      </c>
      <c r="B21" s="223">
        <v>921</v>
      </c>
      <c r="C21" s="223">
        <v>92110</v>
      </c>
      <c r="D21" s="223" t="s">
        <v>324</v>
      </c>
      <c r="E21" s="224">
        <v>40000</v>
      </c>
    </row>
    <row r="22" spans="1:7" ht="13.5" customHeight="1" x14ac:dyDescent="0.2">
      <c r="A22" s="226"/>
      <c r="B22" s="227"/>
      <c r="C22" s="228"/>
      <c r="D22" s="229" t="s">
        <v>325</v>
      </c>
      <c r="E22" s="230"/>
    </row>
    <row r="23" spans="1:7" ht="13.5" customHeight="1" x14ac:dyDescent="0.2">
      <c r="A23" s="223">
        <v>10</v>
      </c>
      <c r="B23" s="223">
        <v>921</v>
      </c>
      <c r="C23" s="223">
        <v>92113</v>
      </c>
      <c r="D23" s="223" t="s">
        <v>326</v>
      </c>
      <c r="E23" s="224">
        <v>480804.39</v>
      </c>
    </row>
    <row r="24" spans="1:7" ht="37.9" customHeight="1" x14ac:dyDescent="0.2">
      <c r="A24" s="226"/>
      <c r="B24" s="227"/>
      <c r="C24" s="228"/>
      <c r="D24" s="231" t="s">
        <v>327</v>
      </c>
      <c r="E24" s="230"/>
    </row>
    <row r="25" spans="1:7" ht="15.75" customHeight="1" x14ac:dyDescent="0.2">
      <c r="A25" s="223">
        <v>11</v>
      </c>
      <c r="B25" s="223">
        <v>921</v>
      </c>
      <c r="C25" s="223">
        <v>92114</v>
      </c>
      <c r="D25" s="223" t="s">
        <v>328</v>
      </c>
      <c r="E25" s="224">
        <v>40000</v>
      </c>
    </row>
    <row r="26" spans="1:7" ht="15.75" customHeight="1" x14ac:dyDescent="0.2">
      <c r="A26" s="226"/>
      <c r="B26" s="227"/>
      <c r="C26" s="227"/>
      <c r="D26" s="232" t="s">
        <v>329</v>
      </c>
      <c r="E26" s="230"/>
    </row>
    <row r="27" spans="1:7" ht="14.25" customHeight="1" x14ac:dyDescent="0.2">
      <c r="A27" s="223">
        <v>12</v>
      </c>
      <c r="B27" s="223">
        <v>921</v>
      </c>
      <c r="C27" s="223">
        <v>92116</v>
      </c>
      <c r="D27" s="223" t="s">
        <v>330</v>
      </c>
      <c r="E27" s="224">
        <v>238500</v>
      </c>
    </row>
    <row r="28" spans="1:7" ht="12" customHeight="1" x14ac:dyDescent="0.2">
      <c r="A28" s="226"/>
      <c r="B28" s="227"/>
      <c r="C28" s="227"/>
      <c r="D28" s="232" t="s">
        <v>331</v>
      </c>
      <c r="E28" s="230"/>
    </row>
    <row r="29" spans="1:7" ht="14.25" customHeight="1" x14ac:dyDescent="0.2">
      <c r="A29" s="223">
        <v>13</v>
      </c>
      <c r="B29" s="223">
        <v>921</v>
      </c>
      <c r="C29" s="223">
        <v>92116</v>
      </c>
      <c r="D29" s="223" t="s">
        <v>332</v>
      </c>
      <c r="E29" s="224">
        <f>15000+40000</f>
        <v>55000</v>
      </c>
    </row>
    <row r="30" spans="1:7" ht="12" customHeight="1" x14ac:dyDescent="0.2">
      <c r="A30" s="226"/>
      <c r="B30" s="227"/>
      <c r="C30" s="227"/>
      <c r="D30" s="232" t="s">
        <v>331</v>
      </c>
      <c r="E30" s="230"/>
    </row>
    <row r="31" spans="1:7" ht="12" customHeight="1" x14ac:dyDescent="0.2">
      <c r="A31" s="223">
        <v>14</v>
      </c>
      <c r="B31" s="223">
        <v>921</v>
      </c>
      <c r="C31" s="223">
        <v>92195</v>
      </c>
      <c r="D31" s="223" t="s">
        <v>40</v>
      </c>
      <c r="E31" s="224">
        <v>15000</v>
      </c>
    </row>
    <row r="32" spans="1:7" ht="13.5" customHeight="1" x14ac:dyDescent="0.2">
      <c r="A32" s="428" t="s">
        <v>333</v>
      </c>
      <c r="B32" s="429"/>
      <c r="C32" s="429"/>
      <c r="D32" s="430"/>
      <c r="E32" s="431">
        <f>SUM(E13:E31)</f>
        <v>4670670.3899999997</v>
      </c>
    </row>
    <row r="33" spans="1:5" ht="16.5" customHeight="1" x14ac:dyDescent="0.2">
      <c r="A33" s="213" t="s">
        <v>334</v>
      </c>
      <c r="B33" s="214"/>
      <c r="C33" s="214"/>
      <c r="D33" s="214"/>
      <c r="E33" s="215"/>
    </row>
    <row r="34" spans="1:5" ht="15.75" customHeight="1" x14ac:dyDescent="0.2">
      <c r="A34" s="223">
        <v>1</v>
      </c>
      <c r="B34" s="223">
        <v>853</v>
      </c>
      <c r="C34" s="223">
        <v>85395</v>
      </c>
      <c r="D34" s="223" t="s">
        <v>40</v>
      </c>
      <c r="E34" s="224">
        <v>529080</v>
      </c>
    </row>
    <row r="35" spans="1:5" ht="12.75" customHeight="1" x14ac:dyDescent="0.2">
      <c r="A35" s="226"/>
      <c r="B35" s="227"/>
      <c r="C35" s="228"/>
      <c r="D35" s="229" t="s">
        <v>335</v>
      </c>
      <c r="E35" s="230"/>
    </row>
    <row r="36" spans="1:5" ht="15" customHeight="1" x14ac:dyDescent="0.2">
      <c r="A36" s="223">
        <v>2</v>
      </c>
      <c r="B36" s="223">
        <v>921</v>
      </c>
      <c r="C36" s="223">
        <v>92110</v>
      </c>
      <c r="D36" s="223" t="s">
        <v>336</v>
      </c>
      <c r="E36" s="224">
        <f>604731+22572.48+43000</f>
        <v>670303.48</v>
      </c>
    </row>
    <row r="37" spans="1:5" ht="12.75" customHeight="1" x14ac:dyDescent="0.2">
      <c r="A37" s="226"/>
      <c r="B37" s="227"/>
      <c r="C37" s="228"/>
      <c r="D37" s="229" t="s">
        <v>325</v>
      </c>
      <c r="E37" s="230"/>
    </row>
    <row r="38" spans="1:5" ht="15.75" customHeight="1" x14ac:dyDescent="0.2">
      <c r="A38" s="223">
        <v>3</v>
      </c>
      <c r="B38" s="223">
        <v>921</v>
      </c>
      <c r="C38" s="223">
        <v>92113</v>
      </c>
      <c r="D38" s="223" t="s">
        <v>326</v>
      </c>
      <c r="E38" s="224">
        <f>3389340+88204.73+50000</f>
        <v>3527544.73</v>
      </c>
    </row>
    <row r="39" spans="1:5" ht="12" customHeight="1" x14ac:dyDescent="0.2">
      <c r="A39" s="233"/>
      <c r="B39" s="234"/>
      <c r="C39" s="234"/>
      <c r="D39" s="232" t="s">
        <v>337</v>
      </c>
      <c r="E39" s="235"/>
    </row>
    <row r="40" spans="1:5" ht="15.75" customHeight="1" x14ac:dyDescent="0.2">
      <c r="A40" s="223">
        <v>4</v>
      </c>
      <c r="B40" s="223">
        <v>921</v>
      </c>
      <c r="C40" s="223">
        <v>92114</v>
      </c>
      <c r="D40" s="223" t="s">
        <v>338</v>
      </c>
      <c r="E40" s="224">
        <f>1389200+188498.16-171596.16</f>
        <v>1406102</v>
      </c>
    </row>
    <row r="41" spans="1:5" ht="12.75" customHeight="1" x14ac:dyDescent="0.2">
      <c r="A41" s="226"/>
      <c r="B41" s="227"/>
      <c r="C41" s="227"/>
      <c r="D41" s="232" t="s">
        <v>329</v>
      </c>
      <c r="E41" s="230"/>
    </row>
    <row r="42" spans="1:5" ht="15.75" customHeight="1" x14ac:dyDescent="0.2">
      <c r="A42" s="223">
        <v>5</v>
      </c>
      <c r="B42" s="223">
        <v>921</v>
      </c>
      <c r="C42" s="223">
        <v>92116</v>
      </c>
      <c r="D42" s="223" t="s">
        <v>332</v>
      </c>
      <c r="E42" s="224">
        <f>3781970+16902+171596.16+5000</f>
        <v>3975468.16</v>
      </c>
    </row>
    <row r="43" spans="1:5" ht="12.75" customHeight="1" x14ac:dyDescent="0.2">
      <c r="A43" s="226"/>
      <c r="B43" s="227"/>
      <c r="C43" s="227"/>
      <c r="D43" s="232" t="s">
        <v>331</v>
      </c>
      <c r="E43" s="230"/>
    </row>
    <row r="44" spans="1:5" ht="14.25" customHeight="1" x14ac:dyDescent="0.2">
      <c r="A44" s="428" t="s">
        <v>333</v>
      </c>
      <c r="B44" s="429"/>
      <c r="C44" s="429"/>
      <c r="D44" s="430"/>
      <c r="E44" s="431">
        <f>SUM(E34:E43)</f>
        <v>10108498.370000001</v>
      </c>
    </row>
    <row r="45" spans="1:5" ht="16.5" customHeight="1" x14ac:dyDescent="0.2">
      <c r="A45" s="236" t="s">
        <v>310</v>
      </c>
      <c r="B45" s="237"/>
      <c r="C45" s="237"/>
      <c r="D45" s="238"/>
      <c r="E45" s="239">
        <f>SUM(E32,E44)</f>
        <v>14779168.760000002</v>
      </c>
    </row>
    <row r="47" spans="1:5" x14ac:dyDescent="0.2">
      <c r="A47" s="432"/>
    </row>
  </sheetData>
  <pageMargins left="0.59055118110236227" right="0.59055118110236227" top="0.74803149606299213" bottom="0.74803149606299213" header="0.31496062992125984" footer="0.31496062992125984"/>
  <pageSetup paperSize="9" scale="9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39E011-22E5-45F9-93FF-8A14C95FFED2}">
  <dimension ref="A1:G165"/>
  <sheetViews>
    <sheetView zoomScale="120" zoomScaleNormal="120" workbookViewId="0"/>
  </sheetViews>
  <sheetFormatPr defaultColWidth="4" defaultRowHeight="12.75" x14ac:dyDescent="0.2"/>
  <cols>
    <col min="1" max="1" width="4" style="426"/>
    <col min="2" max="2" width="5.7109375" style="426" customWidth="1"/>
    <col min="3" max="3" width="8.42578125" style="426" customWidth="1"/>
    <col min="4" max="4" width="49.140625" style="426" customWidth="1"/>
    <col min="5" max="5" width="21.42578125" style="426" customWidth="1"/>
    <col min="6" max="6" width="9.140625" style="204" customWidth="1"/>
    <col min="7" max="7" width="12.28515625" style="240" customWidth="1"/>
    <col min="8" max="255" width="9.140625" style="426" customWidth="1"/>
    <col min="256" max="257" width="4" style="426"/>
    <col min="258" max="258" width="5.7109375" style="426" customWidth="1"/>
    <col min="259" max="259" width="8.42578125" style="426" customWidth="1"/>
    <col min="260" max="260" width="49.140625" style="426" customWidth="1"/>
    <col min="261" max="261" width="21.42578125" style="426" customWidth="1"/>
    <col min="262" max="262" width="9.140625" style="426" customWidth="1"/>
    <col min="263" max="263" width="12.28515625" style="426" customWidth="1"/>
    <col min="264" max="511" width="9.140625" style="426" customWidth="1"/>
    <col min="512" max="513" width="4" style="426"/>
    <col min="514" max="514" width="5.7109375" style="426" customWidth="1"/>
    <col min="515" max="515" width="8.42578125" style="426" customWidth="1"/>
    <col min="516" max="516" width="49.140625" style="426" customWidth="1"/>
    <col min="517" max="517" width="21.42578125" style="426" customWidth="1"/>
    <col min="518" max="518" width="9.140625" style="426" customWidth="1"/>
    <col min="519" max="519" width="12.28515625" style="426" customWidth="1"/>
    <col min="520" max="767" width="9.140625" style="426" customWidth="1"/>
    <col min="768" max="769" width="4" style="426"/>
    <col min="770" max="770" width="5.7109375" style="426" customWidth="1"/>
    <col min="771" max="771" width="8.42578125" style="426" customWidth="1"/>
    <col min="772" max="772" width="49.140625" style="426" customWidth="1"/>
    <col min="773" max="773" width="21.42578125" style="426" customWidth="1"/>
    <col min="774" max="774" width="9.140625" style="426" customWidth="1"/>
    <col min="775" max="775" width="12.28515625" style="426" customWidth="1"/>
    <col min="776" max="1023" width="9.140625" style="426" customWidth="1"/>
    <col min="1024" max="1025" width="4" style="426"/>
    <col min="1026" max="1026" width="5.7109375" style="426" customWidth="1"/>
    <col min="1027" max="1027" width="8.42578125" style="426" customWidth="1"/>
    <col min="1028" max="1028" width="49.140625" style="426" customWidth="1"/>
    <col min="1029" max="1029" width="21.42578125" style="426" customWidth="1"/>
    <col min="1030" max="1030" width="9.140625" style="426" customWidth="1"/>
    <col min="1031" max="1031" width="12.28515625" style="426" customWidth="1"/>
    <col min="1032" max="1279" width="9.140625" style="426" customWidth="1"/>
    <col min="1280" max="1281" width="4" style="426"/>
    <col min="1282" max="1282" width="5.7109375" style="426" customWidth="1"/>
    <col min="1283" max="1283" width="8.42578125" style="426" customWidth="1"/>
    <col min="1284" max="1284" width="49.140625" style="426" customWidth="1"/>
    <col min="1285" max="1285" width="21.42578125" style="426" customWidth="1"/>
    <col min="1286" max="1286" width="9.140625" style="426" customWidth="1"/>
    <col min="1287" max="1287" width="12.28515625" style="426" customWidth="1"/>
    <col min="1288" max="1535" width="9.140625" style="426" customWidth="1"/>
    <col min="1536" max="1537" width="4" style="426"/>
    <col min="1538" max="1538" width="5.7109375" style="426" customWidth="1"/>
    <col min="1539" max="1539" width="8.42578125" style="426" customWidth="1"/>
    <col min="1540" max="1540" width="49.140625" style="426" customWidth="1"/>
    <col min="1541" max="1541" width="21.42578125" style="426" customWidth="1"/>
    <col min="1542" max="1542" width="9.140625" style="426" customWidth="1"/>
    <col min="1543" max="1543" width="12.28515625" style="426" customWidth="1"/>
    <col min="1544" max="1791" width="9.140625" style="426" customWidth="1"/>
    <col min="1792" max="1793" width="4" style="426"/>
    <col min="1794" max="1794" width="5.7109375" style="426" customWidth="1"/>
    <col min="1795" max="1795" width="8.42578125" style="426" customWidth="1"/>
    <col min="1796" max="1796" width="49.140625" style="426" customWidth="1"/>
    <col min="1797" max="1797" width="21.42578125" style="426" customWidth="1"/>
    <col min="1798" max="1798" width="9.140625" style="426" customWidth="1"/>
    <col min="1799" max="1799" width="12.28515625" style="426" customWidth="1"/>
    <col min="1800" max="2047" width="9.140625" style="426" customWidth="1"/>
    <col min="2048" max="2049" width="4" style="426"/>
    <col min="2050" max="2050" width="5.7109375" style="426" customWidth="1"/>
    <col min="2051" max="2051" width="8.42578125" style="426" customWidth="1"/>
    <col min="2052" max="2052" width="49.140625" style="426" customWidth="1"/>
    <col min="2053" max="2053" width="21.42578125" style="426" customWidth="1"/>
    <col min="2054" max="2054" width="9.140625" style="426" customWidth="1"/>
    <col min="2055" max="2055" width="12.28515625" style="426" customWidth="1"/>
    <col min="2056" max="2303" width="9.140625" style="426" customWidth="1"/>
    <col min="2304" max="2305" width="4" style="426"/>
    <col min="2306" max="2306" width="5.7109375" style="426" customWidth="1"/>
    <col min="2307" max="2307" width="8.42578125" style="426" customWidth="1"/>
    <col min="2308" max="2308" width="49.140625" style="426" customWidth="1"/>
    <col min="2309" max="2309" width="21.42578125" style="426" customWidth="1"/>
    <col min="2310" max="2310" width="9.140625" style="426" customWidth="1"/>
    <col min="2311" max="2311" width="12.28515625" style="426" customWidth="1"/>
    <col min="2312" max="2559" width="9.140625" style="426" customWidth="1"/>
    <col min="2560" max="2561" width="4" style="426"/>
    <col min="2562" max="2562" width="5.7109375" style="426" customWidth="1"/>
    <col min="2563" max="2563" width="8.42578125" style="426" customWidth="1"/>
    <col min="2564" max="2564" width="49.140625" style="426" customWidth="1"/>
    <col min="2565" max="2565" width="21.42578125" style="426" customWidth="1"/>
    <col min="2566" max="2566" width="9.140625" style="426" customWidth="1"/>
    <col min="2567" max="2567" width="12.28515625" style="426" customWidth="1"/>
    <col min="2568" max="2815" width="9.140625" style="426" customWidth="1"/>
    <col min="2816" max="2817" width="4" style="426"/>
    <col min="2818" max="2818" width="5.7109375" style="426" customWidth="1"/>
    <col min="2819" max="2819" width="8.42578125" style="426" customWidth="1"/>
    <col min="2820" max="2820" width="49.140625" style="426" customWidth="1"/>
    <col min="2821" max="2821" width="21.42578125" style="426" customWidth="1"/>
    <col min="2822" max="2822" width="9.140625" style="426" customWidth="1"/>
    <col min="2823" max="2823" width="12.28515625" style="426" customWidth="1"/>
    <col min="2824" max="3071" width="9.140625" style="426" customWidth="1"/>
    <col min="3072" max="3073" width="4" style="426"/>
    <col min="3074" max="3074" width="5.7109375" style="426" customWidth="1"/>
    <col min="3075" max="3075" width="8.42578125" style="426" customWidth="1"/>
    <col min="3076" max="3076" width="49.140625" style="426" customWidth="1"/>
    <col min="3077" max="3077" width="21.42578125" style="426" customWidth="1"/>
    <col min="3078" max="3078" width="9.140625" style="426" customWidth="1"/>
    <col min="3079" max="3079" width="12.28515625" style="426" customWidth="1"/>
    <col min="3080" max="3327" width="9.140625" style="426" customWidth="1"/>
    <col min="3328" max="3329" width="4" style="426"/>
    <col min="3330" max="3330" width="5.7109375" style="426" customWidth="1"/>
    <col min="3331" max="3331" width="8.42578125" style="426" customWidth="1"/>
    <col min="3332" max="3332" width="49.140625" style="426" customWidth="1"/>
    <col min="3333" max="3333" width="21.42578125" style="426" customWidth="1"/>
    <col min="3334" max="3334" width="9.140625" style="426" customWidth="1"/>
    <col min="3335" max="3335" width="12.28515625" style="426" customWidth="1"/>
    <col min="3336" max="3583" width="9.140625" style="426" customWidth="1"/>
    <col min="3584" max="3585" width="4" style="426"/>
    <col min="3586" max="3586" width="5.7109375" style="426" customWidth="1"/>
    <col min="3587" max="3587" width="8.42578125" style="426" customWidth="1"/>
    <col min="3588" max="3588" width="49.140625" style="426" customWidth="1"/>
    <col min="3589" max="3589" width="21.42578125" style="426" customWidth="1"/>
    <col min="3590" max="3590" width="9.140625" style="426" customWidth="1"/>
    <col min="3591" max="3591" width="12.28515625" style="426" customWidth="1"/>
    <col min="3592" max="3839" width="9.140625" style="426" customWidth="1"/>
    <col min="3840" max="3841" width="4" style="426"/>
    <col min="3842" max="3842" width="5.7109375" style="426" customWidth="1"/>
    <col min="3843" max="3843" width="8.42578125" style="426" customWidth="1"/>
    <col min="3844" max="3844" width="49.140625" style="426" customWidth="1"/>
    <col min="3845" max="3845" width="21.42578125" style="426" customWidth="1"/>
    <col min="3846" max="3846" width="9.140625" style="426" customWidth="1"/>
    <col min="3847" max="3847" width="12.28515625" style="426" customWidth="1"/>
    <col min="3848" max="4095" width="9.140625" style="426" customWidth="1"/>
    <col min="4096" max="4097" width="4" style="426"/>
    <col min="4098" max="4098" width="5.7109375" style="426" customWidth="1"/>
    <col min="4099" max="4099" width="8.42578125" style="426" customWidth="1"/>
    <col min="4100" max="4100" width="49.140625" style="426" customWidth="1"/>
    <col min="4101" max="4101" width="21.42578125" style="426" customWidth="1"/>
    <col min="4102" max="4102" width="9.140625" style="426" customWidth="1"/>
    <col min="4103" max="4103" width="12.28515625" style="426" customWidth="1"/>
    <col min="4104" max="4351" width="9.140625" style="426" customWidth="1"/>
    <col min="4352" max="4353" width="4" style="426"/>
    <col min="4354" max="4354" width="5.7109375" style="426" customWidth="1"/>
    <col min="4355" max="4355" width="8.42578125" style="426" customWidth="1"/>
    <col min="4356" max="4356" width="49.140625" style="426" customWidth="1"/>
    <col min="4357" max="4357" width="21.42578125" style="426" customWidth="1"/>
    <col min="4358" max="4358" width="9.140625" style="426" customWidth="1"/>
    <col min="4359" max="4359" width="12.28515625" style="426" customWidth="1"/>
    <col min="4360" max="4607" width="9.140625" style="426" customWidth="1"/>
    <col min="4608" max="4609" width="4" style="426"/>
    <col min="4610" max="4610" width="5.7109375" style="426" customWidth="1"/>
    <col min="4611" max="4611" width="8.42578125" style="426" customWidth="1"/>
    <col min="4612" max="4612" width="49.140625" style="426" customWidth="1"/>
    <col min="4613" max="4613" width="21.42578125" style="426" customWidth="1"/>
    <col min="4614" max="4614" width="9.140625" style="426" customWidth="1"/>
    <col min="4615" max="4615" width="12.28515625" style="426" customWidth="1"/>
    <col min="4616" max="4863" width="9.140625" style="426" customWidth="1"/>
    <col min="4864" max="4865" width="4" style="426"/>
    <col min="4866" max="4866" width="5.7109375" style="426" customWidth="1"/>
    <col min="4867" max="4867" width="8.42578125" style="426" customWidth="1"/>
    <col min="4868" max="4868" width="49.140625" style="426" customWidth="1"/>
    <col min="4869" max="4869" width="21.42578125" style="426" customWidth="1"/>
    <col min="4870" max="4870" width="9.140625" style="426" customWidth="1"/>
    <col min="4871" max="4871" width="12.28515625" style="426" customWidth="1"/>
    <col min="4872" max="5119" width="9.140625" style="426" customWidth="1"/>
    <col min="5120" max="5121" width="4" style="426"/>
    <col min="5122" max="5122" width="5.7109375" style="426" customWidth="1"/>
    <col min="5123" max="5123" width="8.42578125" style="426" customWidth="1"/>
    <col min="5124" max="5124" width="49.140625" style="426" customWidth="1"/>
    <col min="5125" max="5125" width="21.42578125" style="426" customWidth="1"/>
    <col min="5126" max="5126" width="9.140625" style="426" customWidth="1"/>
    <col min="5127" max="5127" width="12.28515625" style="426" customWidth="1"/>
    <col min="5128" max="5375" width="9.140625" style="426" customWidth="1"/>
    <col min="5376" max="5377" width="4" style="426"/>
    <col min="5378" max="5378" width="5.7109375" style="426" customWidth="1"/>
    <col min="5379" max="5379" width="8.42578125" style="426" customWidth="1"/>
    <col min="5380" max="5380" width="49.140625" style="426" customWidth="1"/>
    <col min="5381" max="5381" width="21.42578125" style="426" customWidth="1"/>
    <col min="5382" max="5382" width="9.140625" style="426" customWidth="1"/>
    <col min="5383" max="5383" width="12.28515625" style="426" customWidth="1"/>
    <col min="5384" max="5631" width="9.140625" style="426" customWidth="1"/>
    <col min="5632" max="5633" width="4" style="426"/>
    <col min="5634" max="5634" width="5.7109375" style="426" customWidth="1"/>
    <col min="5635" max="5635" width="8.42578125" style="426" customWidth="1"/>
    <col min="5636" max="5636" width="49.140625" style="426" customWidth="1"/>
    <col min="5637" max="5637" width="21.42578125" style="426" customWidth="1"/>
    <col min="5638" max="5638" width="9.140625" style="426" customWidth="1"/>
    <col min="5639" max="5639" width="12.28515625" style="426" customWidth="1"/>
    <col min="5640" max="5887" width="9.140625" style="426" customWidth="1"/>
    <col min="5888" max="5889" width="4" style="426"/>
    <col min="5890" max="5890" width="5.7109375" style="426" customWidth="1"/>
    <col min="5891" max="5891" width="8.42578125" style="426" customWidth="1"/>
    <col min="5892" max="5892" width="49.140625" style="426" customWidth="1"/>
    <col min="5893" max="5893" width="21.42578125" style="426" customWidth="1"/>
    <col min="5894" max="5894" width="9.140625" style="426" customWidth="1"/>
    <col min="5895" max="5895" width="12.28515625" style="426" customWidth="1"/>
    <col min="5896" max="6143" width="9.140625" style="426" customWidth="1"/>
    <col min="6144" max="6145" width="4" style="426"/>
    <col min="6146" max="6146" width="5.7109375" style="426" customWidth="1"/>
    <col min="6147" max="6147" width="8.42578125" style="426" customWidth="1"/>
    <col min="6148" max="6148" width="49.140625" style="426" customWidth="1"/>
    <col min="6149" max="6149" width="21.42578125" style="426" customWidth="1"/>
    <col min="6150" max="6150" width="9.140625" style="426" customWidth="1"/>
    <col min="6151" max="6151" width="12.28515625" style="426" customWidth="1"/>
    <col min="6152" max="6399" width="9.140625" style="426" customWidth="1"/>
    <col min="6400" max="6401" width="4" style="426"/>
    <col min="6402" max="6402" width="5.7109375" style="426" customWidth="1"/>
    <col min="6403" max="6403" width="8.42578125" style="426" customWidth="1"/>
    <col min="6404" max="6404" width="49.140625" style="426" customWidth="1"/>
    <col min="6405" max="6405" width="21.42578125" style="426" customWidth="1"/>
    <col min="6406" max="6406" width="9.140625" style="426" customWidth="1"/>
    <col min="6407" max="6407" width="12.28515625" style="426" customWidth="1"/>
    <col min="6408" max="6655" width="9.140625" style="426" customWidth="1"/>
    <col min="6656" max="6657" width="4" style="426"/>
    <col min="6658" max="6658" width="5.7109375" style="426" customWidth="1"/>
    <col min="6659" max="6659" width="8.42578125" style="426" customWidth="1"/>
    <col min="6660" max="6660" width="49.140625" style="426" customWidth="1"/>
    <col min="6661" max="6661" width="21.42578125" style="426" customWidth="1"/>
    <col min="6662" max="6662" width="9.140625" style="426" customWidth="1"/>
    <col min="6663" max="6663" width="12.28515625" style="426" customWidth="1"/>
    <col min="6664" max="6911" width="9.140625" style="426" customWidth="1"/>
    <col min="6912" max="6913" width="4" style="426"/>
    <col min="6914" max="6914" width="5.7109375" style="426" customWidth="1"/>
    <col min="6915" max="6915" width="8.42578125" style="426" customWidth="1"/>
    <col min="6916" max="6916" width="49.140625" style="426" customWidth="1"/>
    <col min="6917" max="6917" width="21.42578125" style="426" customWidth="1"/>
    <col min="6918" max="6918" width="9.140625" style="426" customWidth="1"/>
    <col min="6919" max="6919" width="12.28515625" style="426" customWidth="1"/>
    <col min="6920" max="7167" width="9.140625" style="426" customWidth="1"/>
    <col min="7168" max="7169" width="4" style="426"/>
    <col min="7170" max="7170" width="5.7109375" style="426" customWidth="1"/>
    <col min="7171" max="7171" width="8.42578125" style="426" customWidth="1"/>
    <col min="7172" max="7172" width="49.140625" style="426" customWidth="1"/>
    <col min="7173" max="7173" width="21.42578125" style="426" customWidth="1"/>
    <col min="7174" max="7174" width="9.140625" style="426" customWidth="1"/>
    <col min="7175" max="7175" width="12.28515625" style="426" customWidth="1"/>
    <col min="7176" max="7423" width="9.140625" style="426" customWidth="1"/>
    <col min="7424" max="7425" width="4" style="426"/>
    <col min="7426" max="7426" width="5.7109375" style="426" customWidth="1"/>
    <col min="7427" max="7427" width="8.42578125" style="426" customWidth="1"/>
    <col min="7428" max="7428" width="49.140625" style="426" customWidth="1"/>
    <col min="7429" max="7429" width="21.42578125" style="426" customWidth="1"/>
    <col min="7430" max="7430" width="9.140625" style="426" customWidth="1"/>
    <col min="7431" max="7431" width="12.28515625" style="426" customWidth="1"/>
    <col min="7432" max="7679" width="9.140625" style="426" customWidth="1"/>
    <col min="7680" max="7681" width="4" style="426"/>
    <col min="7682" max="7682" width="5.7109375" style="426" customWidth="1"/>
    <col min="7683" max="7683" width="8.42578125" style="426" customWidth="1"/>
    <col min="7684" max="7684" width="49.140625" style="426" customWidth="1"/>
    <col min="7685" max="7685" width="21.42578125" style="426" customWidth="1"/>
    <col min="7686" max="7686" width="9.140625" style="426" customWidth="1"/>
    <col min="7687" max="7687" width="12.28515625" style="426" customWidth="1"/>
    <col min="7688" max="7935" width="9.140625" style="426" customWidth="1"/>
    <col min="7936" max="7937" width="4" style="426"/>
    <col min="7938" max="7938" width="5.7109375" style="426" customWidth="1"/>
    <col min="7939" max="7939" width="8.42578125" style="426" customWidth="1"/>
    <col min="7940" max="7940" width="49.140625" style="426" customWidth="1"/>
    <col min="7941" max="7941" width="21.42578125" style="426" customWidth="1"/>
    <col min="7942" max="7942" width="9.140625" style="426" customWidth="1"/>
    <col min="7943" max="7943" width="12.28515625" style="426" customWidth="1"/>
    <col min="7944" max="8191" width="9.140625" style="426" customWidth="1"/>
    <col min="8192" max="8193" width="4" style="426"/>
    <col min="8194" max="8194" width="5.7109375" style="426" customWidth="1"/>
    <col min="8195" max="8195" width="8.42578125" style="426" customWidth="1"/>
    <col min="8196" max="8196" width="49.140625" style="426" customWidth="1"/>
    <col min="8197" max="8197" width="21.42578125" style="426" customWidth="1"/>
    <col min="8198" max="8198" width="9.140625" style="426" customWidth="1"/>
    <col min="8199" max="8199" width="12.28515625" style="426" customWidth="1"/>
    <col min="8200" max="8447" width="9.140625" style="426" customWidth="1"/>
    <col min="8448" max="8449" width="4" style="426"/>
    <col min="8450" max="8450" width="5.7109375" style="426" customWidth="1"/>
    <col min="8451" max="8451" width="8.42578125" style="426" customWidth="1"/>
    <col min="8452" max="8452" width="49.140625" style="426" customWidth="1"/>
    <col min="8453" max="8453" width="21.42578125" style="426" customWidth="1"/>
    <col min="8454" max="8454" width="9.140625" style="426" customWidth="1"/>
    <col min="8455" max="8455" width="12.28515625" style="426" customWidth="1"/>
    <col min="8456" max="8703" width="9.140625" style="426" customWidth="1"/>
    <col min="8704" max="8705" width="4" style="426"/>
    <col min="8706" max="8706" width="5.7109375" style="426" customWidth="1"/>
    <col min="8707" max="8707" width="8.42578125" style="426" customWidth="1"/>
    <col min="8708" max="8708" width="49.140625" style="426" customWidth="1"/>
    <col min="8709" max="8709" width="21.42578125" style="426" customWidth="1"/>
    <col min="8710" max="8710" width="9.140625" style="426" customWidth="1"/>
    <col min="8711" max="8711" width="12.28515625" style="426" customWidth="1"/>
    <col min="8712" max="8959" width="9.140625" style="426" customWidth="1"/>
    <col min="8960" max="8961" width="4" style="426"/>
    <col min="8962" max="8962" width="5.7109375" style="426" customWidth="1"/>
    <col min="8963" max="8963" width="8.42578125" style="426" customWidth="1"/>
    <col min="8964" max="8964" width="49.140625" style="426" customWidth="1"/>
    <col min="8965" max="8965" width="21.42578125" style="426" customWidth="1"/>
    <col min="8966" max="8966" width="9.140625" style="426" customWidth="1"/>
    <col min="8967" max="8967" width="12.28515625" style="426" customWidth="1"/>
    <col min="8968" max="9215" width="9.140625" style="426" customWidth="1"/>
    <col min="9216" max="9217" width="4" style="426"/>
    <col min="9218" max="9218" width="5.7109375" style="426" customWidth="1"/>
    <col min="9219" max="9219" width="8.42578125" style="426" customWidth="1"/>
    <col min="9220" max="9220" width="49.140625" style="426" customWidth="1"/>
    <col min="9221" max="9221" width="21.42578125" style="426" customWidth="1"/>
    <col min="9222" max="9222" width="9.140625" style="426" customWidth="1"/>
    <col min="9223" max="9223" width="12.28515625" style="426" customWidth="1"/>
    <col min="9224" max="9471" width="9.140625" style="426" customWidth="1"/>
    <col min="9472" max="9473" width="4" style="426"/>
    <col min="9474" max="9474" width="5.7109375" style="426" customWidth="1"/>
    <col min="9475" max="9475" width="8.42578125" style="426" customWidth="1"/>
    <col min="9476" max="9476" width="49.140625" style="426" customWidth="1"/>
    <col min="9477" max="9477" width="21.42578125" style="426" customWidth="1"/>
    <col min="9478" max="9478" width="9.140625" style="426" customWidth="1"/>
    <col min="9479" max="9479" width="12.28515625" style="426" customWidth="1"/>
    <col min="9480" max="9727" width="9.140625" style="426" customWidth="1"/>
    <col min="9728" max="9729" width="4" style="426"/>
    <col min="9730" max="9730" width="5.7109375" style="426" customWidth="1"/>
    <col min="9731" max="9731" width="8.42578125" style="426" customWidth="1"/>
    <col min="9732" max="9732" width="49.140625" style="426" customWidth="1"/>
    <col min="9733" max="9733" width="21.42578125" style="426" customWidth="1"/>
    <col min="9734" max="9734" width="9.140625" style="426" customWidth="1"/>
    <col min="9735" max="9735" width="12.28515625" style="426" customWidth="1"/>
    <col min="9736" max="9983" width="9.140625" style="426" customWidth="1"/>
    <col min="9984" max="9985" width="4" style="426"/>
    <col min="9986" max="9986" width="5.7109375" style="426" customWidth="1"/>
    <col min="9987" max="9987" width="8.42578125" style="426" customWidth="1"/>
    <col min="9988" max="9988" width="49.140625" style="426" customWidth="1"/>
    <col min="9989" max="9989" width="21.42578125" style="426" customWidth="1"/>
    <col min="9990" max="9990" width="9.140625" style="426" customWidth="1"/>
    <col min="9991" max="9991" width="12.28515625" style="426" customWidth="1"/>
    <col min="9992" max="10239" width="9.140625" style="426" customWidth="1"/>
    <col min="10240" max="10241" width="4" style="426"/>
    <col min="10242" max="10242" width="5.7109375" style="426" customWidth="1"/>
    <col min="10243" max="10243" width="8.42578125" style="426" customWidth="1"/>
    <col min="10244" max="10244" width="49.140625" style="426" customWidth="1"/>
    <col min="10245" max="10245" width="21.42578125" style="426" customWidth="1"/>
    <col min="10246" max="10246" width="9.140625" style="426" customWidth="1"/>
    <col min="10247" max="10247" width="12.28515625" style="426" customWidth="1"/>
    <col min="10248" max="10495" width="9.140625" style="426" customWidth="1"/>
    <col min="10496" max="10497" width="4" style="426"/>
    <col min="10498" max="10498" width="5.7109375" style="426" customWidth="1"/>
    <col min="10499" max="10499" width="8.42578125" style="426" customWidth="1"/>
    <col min="10500" max="10500" width="49.140625" style="426" customWidth="1"/>
    <col min="10501" max="10501" width="21.42578125" style="426" customWidth="1"/>
    <col min="10502" max="10502" width="9.140625" style="426" customWidth="1"/>
    <col min="10503" max="10503" width="12.28515625" style="426" customWidth="1"/>
    <col min="10504" max="10751" width="9.140625" style="426" customWidth="1"/>
    <col min="10752" max="10753" width="4" style="426"/>
    <col min="10754" max="10754" width="5.7109375" style="426" customWidth="1"/>
    <col min="10755" max="10755" width="8.42578125" style="426" customWidth="1"/>
    <col min="10756" max="10756" width="49.140625" style="426" customWidth="1"/>
    <col min="10757" max="10757" width="21.42578125" style="426" customWidth="1"/>
    <col min="10758" max="10758" width="9.140625" style="426" customWidth="1"/>
    <col min="10759" max="10759" width="12.28515625" style="426" customWidth="1"/>
    <col min="10760" max="11007" width="9.140625" style="426" customWidth="1"/>
    <col min="11008" max="11009" width="4" style="426"/>
    <col min="11010" max="11010" width="5.7109375" style="426" customWidth="1"/>
    <col min="11011" max="11011" width="8.42578125" style="426" customWidth="1"/>
    <col min="11012" max="11012" width="49.140625" style="426" customWidth="1"/>
    <col min="11013" max="11013" width="21.42578125" style="426" customWidth="1"/>
    <col min="11014" max="11014" width="9.140625" style="426" customWidth="1"/>
    <col min="11015" max="11015" width="12.28515625" style="426" customWidth="1"/>
    <col min="11016" max="11263" width="9.140625" style="426" customWidth="1"/>
    <col min="11264" max="11265" width="4" style="426"/>
    <col min="11266" max="11266" width="5.7109375" style="426" customWidth="1"/>
    <col min="11267" max="11267" width="8.42578125" style="426" customWidth="1"/>
    <col min="11268" max="11268" width="49.140625" style="426" customWidth="1"/>
    <col min="11269" max="11269" width="21.42578125" style="426" customWidth="1"/>
    <col min="11270" max="11270" width="9.140625" style="426" customWidth="1"/>
    <col min="11271" max="11271" width="12.28515625" style="426" customWidth="1"/>
    <col min="11272" max="11519" width="9.140625" style="426" customWidth="1"/>
    <col min="11520" max="11521" width="4" style="426"/>
    <col min="11522" max="11522" width="5.7109375" style="426" customWidth="1"/>
    <col min="11523" max="11523" width="8.42578125" style="426" customWidth="1"/>
    <col min="11524" max="11524" width="49.140625" style="426" customWidth="1"/>
    <col min="11525" max="11525" width="21.42578125" style="426" customWidth="1"/>
    <col min="11526" max="11526" width="9.140625" style="426" customWidth="1"/>
    <col min="11527" max="11527" width="12.28515625" style="426" customWidth="1"/>
    <col min="11528" max="11775" width="9.140625" style="426" customWidth="1"/>
    <col min="11776" max="11777" width="4" style="426"/>
    <col min="11778" max="11778" width="5.7109375" style="426" customWidth="1"/>
    <col min="11779" max="11779" width="8.42578125" style="426" customWidth="1"/>
    <col min="11780" max="11780" width="49.140625" style="426" customWidth="1"/>
    <col min="11781" max="11781" width="21.42578125" style="426" customWidth="1"/>
    <col min="11782" max="11782" width="9.140625" style="426" customWidth="1"/>
    <col min="11783" max="11783" width="12.28515625" style="426" customWidth="1"/>
    <col min="11784" max="12031" width="9.140625" style="426" customWidth="1"/>
    <col min="12032" max="12033" width="4" style="426"/>
    <col min="12034" max="12034" width="5.7109375" style="426" customWidth="1"/>
    <col min="12035" max="12035" width="8.42578125" style="426" customWidth="1"/>
    <col min="12036" max="12036" width="49.140625" style="426" customWidth="1"/>
    <col min="12037" max="12037" width="21.42578125" style="426" customWidth="1"/>
    <col min="12038" max="12038" width="9.140625" style="426" customWidth="1"/>
    <col min="12039" max="12039" width="12.28515625" style="426" customWidth="1"/>
    <col min="12040" max="12287" width="9.140625" style="426" customWidth="1"/>
    <col min="12288" max="12289" width="4" style="426"/>
    <col min="12290" max="12290" width="5.7109375" style="426" customWidth="1"/>
    <col min="12291" max="12291" width="8.42578125" style="426" customWidth="1"/>
    <col min="12292" max="12292" width="49.140625" style="426" customWidth="1"/>
    <col min="12293" max="12293" width="21.42578125" style="426" customWidth="1"/>
    <col min="12294" max="12294" width="9.140625" style="426" customWidth="1"/>
    <col min="12295" max="12295" width="12.28515625" style="426" customWidth="1"/>
    <col min="12296" max="12543" width="9.140625" style="426" customWidth="1"/>
    <col min="12544" max="12545" width="4" style="426"/>
    <col min="12546" max="12546" width="5.7109375" style="426" customWidth="1"/>
    <col min="12547" max="12547" width="8.42578125" style="426" customWidth="1"/>
    <col min="12548" max="12548" width="49.140625" style="426" customWidth="1"/>
    <col min="12549" max="12549" width="21.42578125" style="426" customWidth="1"/>
    <col min="12550" max="12550" width="9.140625" style="426" customWidth="1"/>
    <col min="12551" max="12551" width="12.28515625" style="426" customWidth="1"/>
    <col min="12552" max="12799" width="9.140625" style="426" customWidth="1"/>
    <col min="12800" max="12801" width="4" style="426"/>
    <col min="12802" max="12802" width="5.7109375" style="426" customWidth="1"/>
    <col min="12803" max="12803" width="8.42578125" style="426" customWidth="1"/>
    <col min="12804" max="12804" width="49.140625" style="426" customWidth="1"/>
    <col min="12805" max="12805" width="21.42578125" style="426" customWidth="1"/>
    <col min="12806" max="12806" width="9.140625" style="426" customWidth="1"/>
    <col min="12807" max="12807" width="12.28515625" style="426" customWidth="1"/>
    <col min="12808" max="13055" width="9.140625" style="426" customWidth="1"/>
    <col min="13056" max="13057" width="4" style="426"/>
    <col min="13058" max="13058" width="5.7109375" style="426" customWidth="1"/>
    <col min="13059" max="13059" width="8.42578125" style="426" customWidth="1"/>
    <col min="13060" max="13060" width="49.140625" style="426" customWidth="1"/>
    <col min="13061" max="13061" width="21.42578125" style="426" customWidth="1"/>
    <col min="13062" max="13062" width="9.140625" style="426" customWidth="1"/>
    <col min="13063" max="13063" width="12.28515625" style="426" customWidth="1"/>
    <col min="13064" max="13311" width="9.140625" style="426" customWidth="1"/>
    <col min="13312" max="13313" width="4" style="426"/>
    <col min="13314" max="13314" width="5.7109375" style="426" customWidth="1"/>
    <col min="13315" max="13315" width="8.42578125" style="426" customWidth="1"/>
    <col min="13316" max="13316" width="49.140625" style="426" customWidth="1"/>
    <col min="13317" max="13317" width="21.42578125" style="426" customWidth="1"/>
    <col min="13318" max="13318" width="9.140625" style="426" customWidth="1"/>
    <col min="13319" max="13319" width="12.28515625" style="426" customWidth="1"/>
    <col min="13320" max="13567" width="9.140625" style="426" customWidth="1"/>
    <col min="13568" max="13569" width="4" style="426"/>
    <col min="13570" max="13570" width="5.7109375" style="426" customWidth="1"/>
    <col min="13571" max="13571" width="8.42578125" style="426" customWidth="1"/>
    <col min="13572" max="13572" width="49.140625" style="426" customWidth="1"/>
    <col min="13573" max="13573" width="21.42578125" style="426" customWidth="1"/>
    <col min="13574" max="13574" width="9.140625" style="426" customWidth="1"/>
    <col min="13575" max="13575" width="12.28515625" style="426" customWidth="1"/>
    <col min="13576" max="13823" width="9.140625" style="426" customWidth="1"/>
    <col min="13824" max="13825" width="4" style="426"/>
    <col min="13826" max="13826" width="5.7109375" style="426" customWidth="1"/>
    <col min="13827" max="13827" width="8.42578125" style="426" customWidth="1"/>
    <col min="13828" max="13828" width="49.140625" style="426" customWidth="1"/>
    <col min="13829" max="13829" width="21.42578125" style="426" customWidth="1"/>
    <col min="13830" max="13830" width="9.140625" style="426" customWidth="1"/>
    <col min="13831" max="13831" width="12.28515625" style="426" customWidth="1"/>
    <col min="13832" max="14079" width="9.140625" style="426" customWidth="1"/>
    <col min="14080" max="14081" width="4" style="426"/>
    <col min="14082" max="14082" width="5.7109375" style="426" customWidth="1"/>
    <col min="14083" max="14083" width="8.42578125" style="426" customWidth="1"/>
    <col min="14084" max="14084" width="49.140625" style="426" customWidth="1"/>
    <col min="14085" max="14085" width="21.42578125" style="426" customWidth="1"/>
    <col min="14086" max="14086" width="9.140625" style="426" customWidth="1"/>
    <col min="14087" max="14087" width="12.28515625" style="426" customWidth="1"/>
    <col min="14088" max="14335" width="9.140625" style="426" customWidth="1"/>
    <col min="14336" max="14337" width="4" style="426"/>
    <col min="14338" max="14338" width="5.7109375" style="426" customWidth="1"/>
    <col min="14339" max="14339" width="8.42578125" style="426" customWidth="1"/>
    <col min="14340" max="14340" width="49.140625" style="426" customWidth="1"/>
    <col min="14341" max="14341" width="21.42578125" style="426" customWidth="1"/>
    <col min="14342" max="14342" width="9.140625" style="426" customWidth="1"/>
    <col min="14343" max="14343" width="12.28515625" style="426" customWidth="1"/>
    <col min="14344" max="14591" width="9.140625" style="426" customWidth="1"/>
    <col min="14592" max="14593" width="4" style="426"/>
    <col min="14594" max="14594" width="5.7109375" style="426" customWidth="1"/>
    <col min="14595" max="14595" width="8.42578125" style="426" customWidth="1"/>
    <col min="14596" max="14596" width="49.140625" style="426" customWidth="1"/>
    <col min="14597" max="14597" width="21.42578125" style="426" customWidth="1"/>
    <col min="14598" max="14598" width="9.140625" style="426" customWidth="1"/>
    <col min="14599" max="14599" width="12.28515625" style="426" customWidth="1"/>
    <col min="14600" max="14847" width="9.140625" style="426" customWidth="1"/>
    <col min="14848" max="14849" width="4" style="426"/>
    <col min="14850" max="14850" width="5.7109375" style="426" customWidth="1"/>
    <col min="14851" max="14851" width="8.42578125" style="426" customWidth="1"/>
    <col min="14852" max="14852" width="49.140625" style="426" customWidth="1"/>
    <col min="14853" max="14853" width="21.42578125" style="426" customWidth="1"/>
    <col min="14854" max="14854" width="9.140625" style="426" customWidth="1"/>
    <col min="14855" max="14855" width="12.28515625" style="426" customWidth="1"/>
    <col min="14856" max="15103" width="9.140625" style="426" customWidth="1"/>
    <col min="15104" max="15105" width="4" style="426"/>
    <col min="15106" max="15106" width="5.7109375" style="426" customWidth="1"/>
    <col min="15107" max="15107" width="8.42578125" style="426" customWidth="1"/>
    <col min="15108" max="15108" width="49.140625" style="426" customWidth="1"/>
    <col min="15109" max="15109" width="21.42578125" style="426" customWidth="1"/>
    <col min="15110" max="15110" width="9.140625" style="426" customWidth="1"/>
    <col min="15111" max="15111" width="12.28515625" style="426" customWidth="1"/>
    <col min="15112" max="15359" width="9.140625" style="426" customWidth="1"/>
    <col min="15360" max="15361" width="4" style="426"/>
    <col min="15362" max="15362" width="5.7109375" style="426" customWidth="1"/>
    <col min="15363" max="15363" width="8.42578125" style="426" customWidth="1"/>
    <col min="15364" max="15364" width="49.140625" style="426" customWidth="1"/>
    <col min="15365" max="15365" width="21.42578125" style="426" customWidth="1"/>
    <col min="15366" max="15366" width="9.140625" style="426" customWidth="1"/>
    <col min="15367" max="15367" width="12.28515625" style="426" customWidth="1"/>
    <col min="15368" max="15615" width="9.140625" style="426" customWidth="1"/>
    <col min="15616" max="15617" width="4" style="426"/>
    <col min="15618" max="15618" width="5.7109375" style="426" customWidth="1"/>
    <col min="15619" max="15619" width="8.42578125" style="426" customWidth="1"/>
    <col min="15620" max="15620" width="49.140625" style="426" customWidth="1"/>
    <col min="15621" max="15621" width="21.42578125" style="426" customWidth="1"/>
    <col min="15622" max="15622" width="9.140625" style="426" customWidth="1"/>
    <col min="15623" max="15623" width="12.28515625" style="426" customWidth="1"/>
    <col min="15624" max="15871" width="9.140625" style="426" customWidth="1"/>
    <col min="15872" max="15873" width="4" style="426"/>
    <col min="15874" max="15874" width="5.7109375" style="426" customWidth="1"/>
    <col min="15875" max="15875" width="8.42578125" style="426" customWidth="1"/>
    <col min="15876" max="15876" width="49.140625" style="426" customWidth="1"/>
    <col min="15877" max="15877" width="21.42578125" style="426" customWidth="1"/>
    <col min="15878" max="15878" width="9.140625" style="426" customWidth="1"/>
    <col min="15879" max="15879" width="12.28515625" style="426" customWidth="1"/>
    <col min="15880" max="16127" width="9.140625" style="426" customWidth="1"/>
    <col min="16128" max="16129" width="4" style="426"/>
    <col min="16130" max="16130" width="5.7109375" style="426" customWidth="1"/>
    <col min="16131" max="16131" width="8.42578125" style="426" customWidth="1"/>
    <col min="16132" max="16132" width="49.140625" style="426" customWidth="1"/>
    <col min="16133" max="16133" width="21.42578125" style="426" customWidth="1"/>
    <col min="16134" max="16134" width="9.140625" style="426" customWidth="1"/>
    <col min="16135" max="16135" width="12.28515625" style="426" customWidth="1"/>
    <col min="16136" max="16383" width="9.140625" style="426" customWidth="1"/>
    <col min="16384" max="16384" width="4" style="426"/>
  </cols>
  <sheetData>
    <row r="1" spans="1:7" x14ac:dyDescent="0.2">
      <c r="A1" s="204"/>
      <c r="D1" s="212"/>
      <c r="E1" s="205" t="s">
        <v>339</v>
      </c>
    </row>
    <row r="2" spans="1:7" x14ac:dyDescent="0.2">
      <c r="D2" s="212"/>
      <c r="E2" s="3" t="s">
        <v>258</v>
      </c>
    </row>
    <row r="3" spans="1:7" x14ac:dyDescent="0.2">
      <c r="D3" s="212"/>
      <c r="E3" s="3" t="s">
        <v>1</v>
      </c>
    </row>
    <row r="4" spans="1:7" x14ac:dyDescent="0.2">
      <c r="D4" s="212"/>
      <c r="E4" s="3" t="s">
        <v>259</v>
      </c>
    </row>
    <row r="5" spans="1:7" x14ac:dyDescent="0.2">
      <c r="D5" s="205"/>
      <c r="E5" s="204"/>
    </row>
    <row r="6" spans="1:7" ht="15.75" customHeight="1" x14ac:dyDescent="0.2">
      <c r="A6" s="206" t="s">
        <v>312</v>
      </c>
      <c r="B6" s="206"/>
      <c r="C6" s="206"/>
      <c r="D6" s="206"/>
      <c r="E6" s="206"/>
    </row>
    <row r="7" spans="1:7" ht="15.75" customHeight="1" x14ac:dyDescent="0.2">
      <c r="A7" s="206" t="s">
        <v>340</v>
      </c>
      <c r="B7" s="206"/>
      <c r="C7" s="206"/>
      <c r="D7" s="206"/>
      <c r="E7" s="206"/>
    </row>
    <row r="8" spans="1:7" ht="27" customHeight="1" x14ac:dyDescent="0.2">
      <c r="E8" s="207"/>
    </row>
    <row r="9" spans="1:7" ht="19.5" customHeight="1" x14ac:dyDescent="0.2">
      <c r="E9" s="241" t="s">
        <v>3</v>
      </c>
    </row>
    <row r="10" spans="1:7" ht="20.25" customHeight="1" x14ac:dyDescent="0.2">
      <c r="A10" s="209" t="s">
        <v>270</v>
      </c>
      <c r="B10" s="209" t="s">
        <v>302</v>
      </c>
      <c r="C10" s="209" t="s">
        <v>303</v>
      </c>
      <c r="D10" s="242" t="s">
        <v>314</v>
      </c>
      <c r="E10" s="209" t="s">
        <v>315</v>
      </c>
    </row>
    <row r="11" spans="1:7" s="211" customFormat="1" ht="10.5" customHeight="1" x14ac:dyDescent="0.2">
      <c r="A11" s="210">
        <v>1</v>
      </c>
      <c r="B11" s="210">
        <v>2</v>
      </c>
      <c r="C11" s="210">
        <v>3</v>
      </c>
      <c r="D11" s="243">
        <v>4</v>
      </c>
      <c r="E11" s="210">
        <v>5</v>
      </c>
      <c r="F11" s="212"/>
      <c r="G11" s="244"/>
    </row>
    <row r="12" spans="1:7" ht="17.25" customHeight="1" x14ac:dyDescent="0.2">
      <c r="A12" s="213" t="s">
        <v>316</v>
      </c>
      <c r="B12" s="214"/>
      <c r="C12" s="214"/>
      <c r="D12" s="214"/>
      <c r="E12" s="215"/>
    </row>
    <row r="13" spans="1:7" ht="17.25" customHeight="1" x14ac:dyDescent="0.2">
      <c r="A13" s="245">
        <v>1</v>
      </c>
      <c r="B13" s="245">
        <v>700</v>
      </c>
      <c r="C13" s="245">
        <v>70095</v>
      </c>
      <c r="D13" s="246" t="s">
        <v>341</v>
      </c>
      <c r="E13" s="224">
        <f>1500000-320000</f>
        <v>1180000</v>
      </c>
      <c r="F13" s="247"/>
    </row>
    <row r="14" spans="1:7" ht="26.25" customHeight="1" x14ac:dyDescent="0.2">
      <c r="A14" s="216">
        <v>2</v>
      </c>
      <c r="B14" s="216">
        <v>750</v>
      </c>
      <c r="C14" s="216">
        <v>75095</v>
      </c>
      <c r="D14" s="248" t="s">
        <v>342</v>
      </c>
      <c r="E14" s="218">
        <v>85000</v>
      </c>
      <c r="G14" s="249"/>
    </row>
    <row r="15" spans="1:7" ht="15.75" customHeight="1" x14ac:dyDescent="0.2">
      <c r="A15" s="216">
        <v>3</v>
      </c>
      <c r="B15" s="216">
        <v>755</v>
      </c>
      <c r="C15" s="216">
        <v>75515</v>
      </c>
      <c r="D15" s="248" t="s">
        <v>343</v>
      </c>
      <c r="E15" s="224">
        <v>128040</v>
      </c>
      <c r="G15" s="249"/>
    </row>
    <row r="16" spans="1:7" ht="15.75" customHeight="1" x14ac:dyDescent="0.2">
      <c r="A16" s="223">
        <v>4</v>
      </c>
      <c r="B16" s="223">
        <v>801</v>
      </c>
      <c r="C16" s="223">
        <v>80101</v>
      </c>
      <c r="D16" s="250" t="s">
        <v>30</v>
      </c>
      <c r="E16" s="224">
        <f>24797.85</f>
        <v>24797.85</v>
      </c>
      <c r="G16" s="249"/>
    </row>
    <row r="17" spans="1:7" ht="15.75" customHeight="1" x14ac:dyDescent="0.2">
      <c r="A17" s="251"/>
      <c r="B17" s="252"/>
      <c r="C17" s="253"/>
      <c r="D17" s="254" t="s">
        <v>344</v>
      </c>
      <c r="E17" s="255"/>
      <c r="G17" s="249"/>
    </row>
    <row r="18" spans="1:7" ht="23.25" customHeight="1" x14ac:dyDescent="0.2">
      <c r="A18" s="256"/>
      <c r="B18" s="257"/>
      <c r="C18" s="258"/>
      <c r="D18" s="259" t="s">
        <v>345</v>
      </c>
      <c r="E18" s="260"/>
      <c r="G18" s="249"/>
    </row>
    <row r="19" spans="1:7" ht="15.75" customHeight="1" x14ac:dyDescent="0.2">
      <c r="A19" s="226"/>
      <c r="B19" s="227"/>
      <c r="C19" s="261"/>
      <c r="D19" s="262" t="s">
        <v>346</v>
      </c>
      <c r="E19" s="263"/>
      <c r="G19" s="249"/>
    </row>
    <row r="20" spans="1:7" ht="15.75" customHeight="1" x14ac:dyDescent="0.2">
      <c r="A20" s="223">
        <v>5</v>
      </c>
      <c r="B20" s="223">
        <v>801</v>
      </c>
      <c r="C20" s="223">
        <v>80120</v>
      </c>
      <c r="D20" s="250" t="s">
        <v>36</v>
      </c>
      <c r="E20" s="224">
        <v>12774.65</v>
      </c>
      <c r="G20" s="249"/>
    </row>
    <row r="21" spans="1:7" ht="15.75" customHeight="1" x14ac:dyDescent="0.2">
      <c r="A21" s="250"/>
      <c r="B21" s="264"/>
      <c r="C21" s="228"/>
      <c r="D21" s="265" t="s">
        <v>347</v>
      </c>
      <c r="E21" s="224"/>
      <c r="G21" s="249"/>
    </row>
    <row r="22" spans="1:7" ht="51" customHeight="1" x14ac:dyDescent="0.2">
      <c r="A22" s="266">
        <v>6</v>
      </c>
      <c r="B22" s="266">
        <v>801</v>
      </c>
      <c r="C22" s="266">
        <v>80153</v>
      </c>
      <c r="D22" s="267" t="s">
        <v>348</v>
      </c>
      <c r="E22" s="268">
        <f>33841+15955</f>
        <v>49796</v>
      </c>
      <c r="G22" s="249"/>
    </row>
    <row r="23" spans="1:7" ht="15.75" customHeight="1" x14ac:dyDescent="0.2">
      <c r="A23" s="269"/>
      <c r="B23" s="269"/>
      <c r="C23" s="269"/>
      <c r="D23" s="270" t="s">
        <v>349</v>
      </c>
      <c r="E23" s="271"/>
      <c r="G23" s="249"/>
    </row>
    <row r="24" spans="1:7" ht="15.75" customHeight="1" x14ac:dyDescent="0.2">
      <c r="A24" s="272"/>
      <c r="B24" s="272"/>
      <c r="C24" s="272"/>
      <c r="D24" s="273" t="s">
        <v>346</v>
      </c>
      <c r="E24" s="274"/>
      <c r="G24" s="249"/>
    </row>
    <row r="25" spans="1:7" ht="15.75" customHeight="1" x14ac:dyDescent="0.2">
      <c r="A25" s="275"/>
      <c r="B25" s="275"/>
      <c r="C25" s="275"/>
      <c r="D25" s="276" t="s">
        <v>350</v>
      </c>
      <c r="E25" s="277"/>
      <c r="G25" s="249"/>
    </row>
    <row r="26" spans="1:7" ht="42" customHeight="1" x14ac:dyDescent="0.2">
      <c r="A26" s="278">
        <v>7</v>
      </c>
      <c r="B26" s="278">
        <v>801</v>
      </c>
      <c r="C26" s="278">
        <v>80195</v>
      </c>
      <c r="D26" s="279" t="s">
        <v>351</v>
      </c>
      <c r="E26" s="280">
        <f>533646-31962+295000</f>
        <v>796684</v>
      </c>
      <c r="G26" s="249"/>
    </row>
    <row r="27" spans="1:7" ht="15" customHeight="1" x14ac:dyDescent="0.2">
      <c r="A27" s="223">
        <v>8</v>
      </c>
      <c r="B27" s="223">
        <v>851</v>
      </c>
      <c r="C27" s="223">
        <v>85153</v>
      </c>
      <c r="D27" s="226" t="s">
        <v>352</v>
      </c>
      <c r="E27" s="263">
        <v>55000</v>
      </c>
      <c r="G27" s="249"/>
    </row>
    <row r="28" spans="1:7" ht="39.75" customHeight="1" x14ac:dyDescent="0.2">
      <c r="A28" s="216">
        <v>9</v>
      </c>
      <c r="B28" s="216">
        <v>851</v>
      </c>
      <c r="C28" s="216">
        <v>85154</v>
      </c>
      <c r="D28" s="248" t="s">
        <v>353</v>
      </c>
      <c r="E28" s="218">
        <v>550000</v>
      </c>
    </row>
    <row r="29" spans="1:7" ht="29.25" customHeight="1" x14ac:dyDescent="0.2">
      <c r="A29" s="221">
        <v>10</v>
      </c>
      <c r="B29" s="221">
        <v>851</v>
      </c>
      <c r="C29" s="281">
        <v>85195</v>
      </c>
      <c r="D29" s="248" t="s">
        <v>354</v>
      </c>
      <c r="E29" s="218">
        <v>67500</v>
      </c>
    </row>
    <row r="30" spans="1:7" ht="25.5" customHeight="1" x14ac:dyDescent="0.2">
      <c r="A30" s="282">
        <v>11</v>
      </c>
      <c r="B30" s="282">
        <v>852</v>
      </c>
      <c r="C30" s="283">
        <v>85228</v>
      </c>
      <c r="D30" s="284" t="s">
        <v>355</v>
      </c>
      <c r="E30" s="224">
        <f>7049731-244300</f>
        <v>6805431</v>
      </c>
    </row>
    <row r="31" spans="1:7" ht="25.5" customHeight="1" x14ac:dyDescent="0.2">
      <c r="A31" s="278"/>
      <c r="B31" s="278"/>
      <c r="C31" s="285"/>
      <c r="D31" s="286" t="s">
        <v>356</v>
      </c>
      <c r="E31" s="263">
        <f>1327900+746426+746426</f>
        <v>2820752</v>
      </c>
    </row>
    <row r="32" spans="1:7" ht="25.5" customHeight="1" x14ac:dyDescent="0.2">
      <c r="A32" s="216">
        <v>12</v>
      </c>
      <c r="B32" s="216">
        <v>852</v>
      </c>
      <c r="C32" s="216">
        <v>85295</v>
      </c>
      <c r="D32" s="248" t="s">
        <v>357</v>
      </c>
      <c r="E32" s="224">
        <f>1230600+47700</f>
        <v>1278300</v>
      </c>
    </row>
    <row r="33" spans="1:6" ht="26.25" customHeight="1" x14ac:dyDescent="0.2">
      <c r="A33" s="216">
        <v>13</v>
      </c>
      <c r="B33" s="216">
        <v>852</v>
      </c>
      <c r="C33" s="216">
        <v>85295</v>
      </c>
      <c r="D33" s="248" t="s">
        <v>358</v>
      </c>
      <c r="E33" s="224">
        <v>413452.32</v>
      </c>
    </row>
    <row r="34" spans="1:6" ht="26.25" customHeight="1" x14ac:dyDescent="0.2">
      <c r="A34" s="216">
        <v>14</v>
      </c>
      <c r="B34" s="216">
        <v>853</v>
      </c>
      <c r="C34" s="216">
        <v>85395</v>
      </c>
      <c r="D34" s="248" t="s">
        <v>359</v>
      </c>
      <c r="E34" s="218">
        <f>40000-10005</f>
        <v>29995</v>
      </c>
    </row>
    <row r="35" spans="1:6" ht="41.45" customHeight="1" x14ac:dyDescent="0.2">
      <c r="A35" s="216">
        <v>15</v>
      </c>
      <c r="B35" s="216">
        <v>853</v>
      </c>
      <c r="C35" s="216">
        <v>85395</v>
      </c>
      <c r="D35" s="248" t="s">
        <v>360</v>
      </c>
      <c r="E35" s="218">
        <v>265510.90999999997</v>
      </c>
    </row>
    <row r="36" spans="1:6" ht="15.75" customHeight="1" x14ac:dyDescent="0.2">
      <c r="A36" s="223">
        <v>16</v>
      </c>
      <c r="B36" s="223">
        <v>855</v>
      </c>
      <c r="C36" s="223">
        <v>85510</v>
      </c>
      <c r="D36" s="284" t="s">
        <v>213</v>
      </c>
      <c r="E36" s="224">
        <f>1568400+312600</f>
        <v>1881000</v>
      </c>
    </row>
    <row r="37" spans="1:6" ht="28.5" customHeight="1" x14ac:dyDescent="0.2">
      <c r="A37" s="216">
        <v>17</v>
      </c>
      <c r="B37" s="216">
        <v>900</v>
      </c>
      <c r="C37" s="216">
        <v>90095</v>
      </c>
      <c r="D37" s="248" t="s">
        <v>361</v>
      </c>
      <c r="E37" s="218">
        <v>67500</v>
      </c>
      <c r="F37" s="247"/>
    </row>
    <row r="38" spans="1:6" ht="26.25" customHeight="1" x14ac:dyDescent="0.2">
      <c r="A38" s="216">
        <v>18</v>
      </c>
      <c r="B38" s="216">
        <v>900</v>
      </c>
      <c r="C38" s="216">
        <v>90095</v>
      </c>
      <c r="D38" s="248" t="s">
        <v>362</v>
      </c>
      <c r="E38" s="218">
        <f>200000+100000-32000</f>
        <v>268000</v>
      </c>
      <c r="F38" s="247"/>
    </row>
    <row r="39" spans="1:6" ht="26.25" customHeight="1" x14ac:dyDescent="0.2">
      <c r="A39" s="216">
        <v>19</v>
      </c>
      <c r="B39" s="216">
        <v>900</v>
      </c>
      <c r="C39" s="216">
        <v>90095</v>
      </c>
      <c r="D39" s="248" t="s">
        <v>363</v>
      </c>
      <c r="E39" s="218">
        <f>200000+100000+32000</f>
        <v>332000</v>
      </c>
      <c r="F39" s="247"/>
    </row>
    <row r="40" spans="1:6" ht="16.5" customHeight="1" x14ac:dyDescent="0.2">
      <c r="A40" s="223">
        <v>20</v>
      </c>
      <c r="B40" s="223">
        <v>921</v>
      </c>
      <c r="C40" s="223">
        <v>92120</v>
      </c>
      <c r="D40" s="250" t="s">
        <v>364</v>
      </c>
      <c r="E40" s="224">
        <v>500000</v>
      </c>
    </row>
    <row r="41" spans="1:6" ht="39.75" customHeight="1" x14ac:dyDescent="0.2">
      <c r="A41" s="216">
        <v>21</v>
      </c>
      <c r="B41" s="216">
        <v>921</v>
      </c>
      <c r="C41" s="216">
        <v>92195</v>
      </c>
      <c r="D41" s="248" t="s">
        <v>365</v>
      </c>
      <c r="E41" s="224">
        <f>239100+27900-27900</f>
        <v>239100</v>
      </c>
    </row>
    <row r="42" spans="1:6" ht="39.75" customHeight="1" x14ac:dyDescent="0.2">
      <c r="A42" s="216">
        <v>22</v>
      </c>
      <c r="B42" s="216">
        <v>921</v>
      </c>
      <c r="C42" s="216">
        <v>92195</v>
      </c>
      <c r="D42" s="248" t="s">
        <v>360</v>
      </c>
      <c r="E42" s="224">
        <v>320536.26</v>
      </c>
    </row>
    <row r="43" spans="1:6" ht="14.45" customHeight="1" x14ac:dyDescent="0.2">
      <c r="A43" s="223">
        <v>23</v>
      </c>
      <c r="B43" s="223">
        <v>926</v>
      </c>
      <c r="C43" s="223">
        <v>92605</v>
      </c>
      <c r="D43" s="284" t="s">
        <v>366</v>
      </c>
      <c r="E43" s="224">
        <v>1833375</v>
      </c>
    </row>
    <row r="44" spans="1:6" ht="38.450000000000003" customHeight="1" x14ac:dyDescent="0.2">
      <c r="A44" s="216">
        <v>24</v>
      </c>
      <c r="B44" s="216">
        <v>926</v>
      </c>
      <c r="C44" s="216">
        <v>92605</v>
      </c>
      <c r="D44" s="284" t="s">
        <v>367</v>
      </c>
      <c r="E44" s="224">
        <v>106845.42</v>
      </c>
    </row>
    <row r="45" spans="1:6" ht="15" customHeight="1" x14ac:dyDescent="0.2">
      <c r="A45" s="433"/>
      <c r="B45" s="434"/>
      <c r="C45" s="434"/>
      <c r="D45" s="434" t="s">
        <v>333</v>
      </c>
      <c r="E45" s="431">
        <f>SUM(E13:E44)</f>
        <v>20111390.410000004</v>
      </c>
    </row>
    <row r="46" spans="1:6" ht="17.25" customHeight="1" x14ac:dyDescent="0.2">
      <c r="A46" s="213" t="s">
        <v>334</v>
      </c>
      <c r="B46" s="214"/>
      <c r="C46" s="214"/>
      <c r="D46" s="214"/>
      <c r="E46" s="215"/>
    </row>
    <row r="47" spans="1:6" ht="17.25" customHeight="1" x14ac:dyDescent="0.2">
      <c r="A47" s="209" t="s">
        <v>270</v>
      </c>
      <c r="B47" s="209" t="s">
        <v>302</v>
      </c>
      <c r="C47" s="209" t="s">
        <v>303</v>
      </c>
      <c r="D47" s="242" t="s">
        <v>368</v>
      </c>
      <c r="E47" s="209" t="s">
        <v>315</v>
      </c>
    </row>
    <row r="48" spans="1:6" ht="14.25" customHeight="1" x14ac:dyDescent="0.2">
      <c r="A48" s="223">
        <v>1</v>
      </c>
      <c r="B48" s="223">
        <v>801</v>
      </c>
      <c r="C48" s="223">
        <v>80101</v>
      </c>
      <c r="D48" s="250" t="s">
        <v>30</v>
      </c>
      <c r="E48" s="224">
        <v>7612585</v>
      </c>
    </row>
    <row r="49" spans="1:6" ht="13.5" customHeight="1" x14ac:dyDescent="0.2">
      <c r="A49" s="251"/>
      <c r="B49" s="252"/>
      <c r="C49" s="253"/>
      <c r="D49" s="254" t="s">
        <v>344</v>
      </c>
      <c r="E49" s="255"/>
    </row>
    <row r="50" spans="1:6" ht="13.5" customHeight="1" x14ac:dyDescent="0.2">
      <c r="A50" s="256"/>
      <c r="B50" s="257"/>
      <c r="C50" s="258"/>
      <c r="D50" s="287" t="s">
        <v>369</v>
      </c>
      <c r="E50" s="288"/>
      <c r="F50" s="289"/>
    </row>
    <row r="51" spans="1:6" ht="13.5" customHeight="1" x14ac:dyDescent="0.2">
      <c r="A51" s="256"/>
      <c r="B51" s="257"/>
      <c r="C51" s="258"/>
      <c r="D51" s="290" t="s">
        <v>370</v>
      </c>
      <c r="E51" s="260"/>
    </row>
    <row r="52" spans="1:6" ht="26.25" customHeight="1" x14ac:dyDescent="0.2">
      <c r="A52" s="256"/>
      <c r="B52" s="257"/>
      <c r="C52" s="258"/>
      <c r="D52" s="291" t="s">
        <v>371</v>
      </c>
      <c r="E52" s="288"/>
    </row>
    <row r="53" spans="1:6" ht="27" customHeight="1" x14ac:dyDescent="0.2">
      <c r="A53" s="256"/>
      <c r="B53" s="257"/>
      <c r="C53" s="258"/>
      <c r="D53" s="291" t="s">
        <v>372</v>
      </c>
      <c r="E53" s="288"/>
    </row>
    <row r="54" spans="1:6" ht="24.75" customHeight="1" x14ac:dyDescent="0.2">
      <c r="A54" s="256"/>
      <c r="B54" s="257"/>
      <c r="C54" s="258"/>
      <c r="D54" s="287" t="s">
        <v>373</v>
      </c>
      <c r="E54" s="288"/>
    </row>
    <row r="55" spans="1:6" ht="25.5" customHeight="1" x14ac:dyDescent="0.2">
      <c r="A55" s="256"/>
      <c r="B55" s="257"/>
      <c r="C55" s="258"/>
      <c r="D55" s="292" t="s">
        <v>374</v>
      </c>
      <c r="E55" s="260"/>
    </row>
    <row r="56" spans="1:6" ht="13.5" customHeight="1" x14ac:dyDescent="0.2">
      <c r="A56" s="256"/>
      <c r="B56" s="257"/>
      <c r="C56" s="258"/>
      <c r="D56" s="293" t="s">
        <v>346</v>
      </c>
      <c r="E56" s="288"/>
    </row>
    <row r="57" spans="1:6" ht="24" customHeight="1" x14ac:dyDescent="0.2">
      <c r="A57" s="226"/>
      <c r="B57" s="227"/>
      <c r="C57" s="261"/>
      <c r="D57" s="294" t="s">
        <v>345</v>
      </c>
      <c r="E57" s="263"/>
    </row>
    <row r="58" spans="1:6" ht="13.5" customHeight="1" x14ac:dyDescent="0.2">
      <c r="A58" s="223">
        <v>2</v>
      </c>
      <c r="B58" s="223">
        <v>801</v>
      </c>
      <c r="C58" s="223">
        <v>80103</v>
      </c>
      <c r="D58" s="250" t="s">
        <v>375</v>
      </c>
      <c r="E58" s="224">
        <v>124687</v>
      </c>
    </row>
    <row r="59" spans="1:6" ht="24" customHeight="1" x14ac:dyDescent="0.2">
      <c r="A59" s="256"/>
      <c r="B59" s="257"/>
      <c r="C59" s="258"/>
      <c r="D59" s="295" t="s">
        <v>371</v>
      </c>
      <c r="E59" s="255"/>
    </row>
    <row r="60" spans="1:6" ht="13.5" customHeight="1" x14ac:dyDescent="0.2">
      <c r="A60" s="226"/>
      <c r="B60" s="227"/>
      <c r="C60" s="261"/>
      <c r="D60" s="229" t="s">
        <v>346</v>
      </c>
      <c r="E60" s="263"/>
    </row>
    <row r="61" spans="1:6" ht="14.25" customHeight="1" x14ac:dyDescent="0.2">
      <c r="A61" s="223">
        <v>3</v>
      </c>
      <c r="B61" s="223">
        <v>801</v>
      </c>
      <c r="C61" s="223">
        <v>80104</v>
      </c>
      <c r="D61" s="250" t="s">
        <v>133</v>
      </c>
      <c r="E61" s="224">
        <v>8825749</v>
      </c>
    </row>
    <row r="62" spans="1:6" ht="14.25" customHeight="1" x14ac:dyDescent="0.2">
      <c r="A62" s="251"/>
      <c r="B62" s="252"/>
      <c r="C62" s="253"/>
      <c r="D62" s="254" t="s">
        <v>376</v>
      </c>
      <c r="E62" s="255"/>
    </row>
    <row r="63" spans="1:6" ht="14.25" customHeight="1" x14ac:dyDescent="0.2">
      <c r="A63" s="256"/>
      <c r="B63" s="257"/>
      <c r="C63" s="258"/>
      <c r="D63" s="296" t="s">
        <v>377</v>
      </c>
      <c r="E63" s="288"/>
    </row>
    <row r="64" spans="1:6" ht="13.5" customHeight="1" x14ac:dyDescent="0.2">
      <c r="A64" s="256"/>
      <c r="B64" s="257"/>
      <c r="C64" s="258"/>
      <c r="D64" s="296" t="s">
        <v>378</v>
      </c>
      <c r="E64" s="288"/>
    </row>
    <row r="65" spans="1:5" ht="23.25" customHeight="1" x14ac:dyDescent="0.2">
      <c r="A65" s="256"/>
      <c r="B65" s="257"/>
      <c r="C65" s="258"/>
      <c r="D65" s="291" t="s">
        <v>379</v>
      </c>
      <c r="E65" s="288"/>
    </row>
    <row r="66" spans="1:5" ht="13.5" customHeight="1" x14ac:dyDescent="0.2">
      <c r="A66" s="256"/>
      <c r="B66" s="257"/>
      <c r="C66" s="258"/>
      <c r="D66" s="297" t="s">
        <v>380</v>
      </c>
      <c r="E66" s="260"/>
    </row>
    <row r="67" spans="1:5" ht="13.5" customHeight="1" x14ac:dyDescent="0.2">
      <c r="A67" s="256"/>
      <c r="B67" s="257"/>
      <c r="C67" s="258"/>
      <c r="D67" s="291" t="s">
        <v>381</v>
      </c>
      <c r="E67" s="288"/>
    </row>
    <row r="68" spans="1:5" ht="13.5" customHeight="1" x14ac:dyDescent="0.2">
      <c r="A68" s="256"/>
      <c r="B68" s="257"/>
      <c r="C68" s="258"/>
      <c r="D68" s="291" t="s">
        <v>382</v>
      </c>
      <c r="E68" s="288"/>
    </row>
    <row r="69" spans="1:5" ht="13.5" customHeight="1" x14ac:dyDescent="0.2">
      <c r="A69" s="256"/>
      <c r="B69" s="257"/>
      <c r="C69" s="258"/>
      <c r="D69" s="296" t="s">
        <v>383</v>
      </c>
      <c r="E69" s="288"/>
    </row>
    <row r="70" spans="1:5" ht="13.5" customHeight="1" x14ac:dyDescent="0.2">
      <c r="A70" s="256"/>
      <c r="B70" s="257"/>
      <c r="C70" s="258"/>
      <c r="D70" s="297" t="s">
        <v>384</v>
      </c>
      <c r="E70" s="260"/>
    </row>
    <row r="71" spans="1:5" ht="13.5" customHeight="1" x14ac:dyDescent="0.2">
      <c r="A71" s="256"/>
      <c r="B71" s="257"/>
      <c r="C71" s="258"/>
      <c r="D71" s="291" t="s">
        <v>385</v>
      </c>
      <c r="E71" s="288"/>
    </row>
    <row r="72" spans="1:5" ht="13.5" customHeight="1" x14ac:dyDescent="0.2">
      <c r="A72" s="226"/>
      <c r="B72" s="227"/>
      <c r="C72" s="261"/>
      <c r="D72" s="298" t="s">
        <v>386</v>
      </c>
      <c r="E72" s="299"/>
    </row>
    <row r="73" spans="1:5" ht="13.5" customHeight="1" x14ac:dyDescent="0.2">
      <c r="A73" s="256"/>
      <c r="B73" s="257"/>
      <c r="C73" s="258"/>
      <c r="D73" s="300" t="s">
        <v>387</v>
      </c>
      <c r="E73" s="260"/>
    </row>
    <row r="74" spans="1:5" ht="13.5" customHeight="1" x14ac:dyDescent="0.2">
      <c r="A74" s="256"/>
      <c r="B74" s="257"/>
      <c r="C74" s="258"/>
      <c r="D74" s="300" t="s">
        <v>388</v>
      </c>
      <c r="E74" s="260"/>
    </row>
    <row r="75" spans="1:5" ht="13.5" customHeight="1" x14ac:dyDescent="0.2">
      <c r="A75" s="256"/>
      <c r="B75" s="257"/>
      <c r="C75" s="258"/>
      <c r="D75" s="293" t="s">
        <v>389</v>
      </c>
      <c r="E75" s="288"/>
    </row>
    <row r="76" spans="1:5" ht="13.5" customHeight="1" x14ac:dyDescent="0.2">
      <c r="A76" s="226"/>
      <c r="B76" s="227"/>
      <c r="C76" s="261"/>
      <c r="D76" s="262" t="s">
        <v>390</v>
      </c>
      <c r="E76" s="263"/>
    </row>
    <row r="77" spans="1:5" ht="24" customHeight="1" x14ac:dyDescent="0.2">
      <c r="A77" s="216">
        <v>4</v>
      </c>
      <c r="B77" s="216">
        <v>801</v>
      </c>
      <c r="C77" s="216">
        <v>80106</v>
      </c>
      <c r="D77" s="248" t="s">
        <v>391</v>
      </c>
      <c r="E77" s="218">
        <v>62237</v>
      </c>
    </row>
    <row r="78" spans="1:5" ht="13.5" customHeight="1" x14ac:dyDescent="0.2">
      <c r="A78" s="250"/>
      <c r="B78" s="264"/>
      <c r="C78" s="228"/>
      <c r="D78" s="301" t="s">
        <v>392</v>
      </c>
      <c r="E78" s="224"/>
    </row>
    <row r="79" spans="1:5" ht="13.5" customHeight="1" x14ac:dyDescent="0.2">
      <c r="A79" s="223">
        <v>5</v>
      </c>
      <c r="B79" s="223">
        <v>801</v>
      </c>
      <c r="C79" s="223">
        <v>80115</v>
      </c>
      <c r="D79" s="264" t="s">
        <v>139</v>
      </c>
      <c r="E79" s="224">
        <v>2505180</v>
      </c>
    </row>
    <row r="80" spans="1:5" ht="23.25" customHeight="1" x14ac:dyDescent="0.2">
      <c r="A80" s="250"/>
      <c r="B80" s="264"/>
      <c r="C80" s="228"/>
      <c r="D80" s="302" t="s">
        <v>393</v>
      </c>
      <c r="E80" s="224"/>
    </row>
    <row r="81" spans="1:5" ht="13.5" customHeight="1" x14ac:dyDescent="0.2">
      <c r="A81" s="223">
        <v>6</v>
      </c>
      <c r="B81" s="223">
        <v>801</v>
      </c>
      <c r="C81" s="223">
        <v>80116</v>
      </c>
      <c r="D81" s="264" t="s">
        <v>140</v>
      </c>
      <c r="E81" s="224">
        <f>5272240-50000-140000</f>
        <v>5082240</v>
      </c>
    </row>
    <row r="82" spans="1:5" ht="13.5" customHeight="1" x14ac:dyDescent="0.2">
      <c r="A82" s="251"/>
      <c r="B82" s="252"/>
      <c r="C82" s="253"/>
      <c r="D82" s="303" t="s">
        <v>394</v>
      </c>
      <c r="E82" s="255"/>
    </row>
    <row r="83" spans="1:5" ht="25.5" customHeight="1" x14ac:dyDescent="0.2">
      <c r="A83" s="256"/>
      <c r="B83" s="257"/>
      <c r="C83" s="258"/>
      <c r="D83" s="287" t="s">
        <v>395</v>
      </c>
      <c r="E83" s="288"/>
    </row>
    <row r="84" spans="1:5" ht="22.5" customHeight="1" x14ac:dyDescent="0.2">
      <c r="A84" s="256"/>
      <c r="B84" s="257"/>
      <c r="C84" s="258"/>
      <c r="D84" s="291" t="s">
        <v>396</v>
      </c>
      <c r="E84" s="288"/>
    </row>
    <row r="85" spans="1:5" ht="13.5" customHeight="1" x14ac:dyDescent="0.2">
      <c r="A85" s="256"/>
      <c r="B85" s="257"/>
      <c r="C85" s="258"/>
      <c r="D85" s="300" t="s">
        <v>397</v>
      </c>
      <c r="E85" s="260"/>
    </row>
    <row r="86" spans="1:5" ht="13.5" customHeight="1" x14ac:dyDescent="0.2">
      <c r="A86" s="256"/>
      <c r="B86" s="257"/>
      <c r="C86" s="258"/>
      <c r="D86" s="304" t="s">
        <v>398</v>
      </c>
      <c r="E86" s="305"/>
    </row>
    <row r="87" spans="1:5" ht="25.5" customHeight="1" x14ac:dyDescent="0.2">
      <c r="A87" s="256"/>
      <c r="B87" s="257"/>
      <c r="C87" s="258"/>
      <c r="D87" s="290" t="s">
        <v>399</v>
      </c>
      <c r="E87" s="260"/>
    </row>
    <row r="88" spans="1:5" ht="13.5" customHeight="1" x14ac:dyDescent="0.2">
      <c r="A88" s="256"/>
      <c r="B88" s="257"/>
      <c r="C88" s="258"/>
      <c r="D88" s="287" t="s">
        <v>400</v>
      </c>
      <c r="E88" s="288"/>
    </row>
    <row r="89" spans="1:5" ht="13.5" customHeight="1" x14ac:dyDescent="0.2">
      <c r="A89" s="256"/>
      <c r="B89" s="257"/>
      <c r="C89" s="258"/>
      <c r="D89" s="287" t="s">
        <v>401</v>
      </c>
      <c r="E89" s="288"/>
    </row>
    <row r="90" spans="1:5" ht="12.75" customHeight="1" x14ac:dyDescent="0.2">
      <c r="A90" s="256"/>
      <c r="B90" s="257"/>
      <c r="C90" s="258"/>
      <c r="D90" s="291" t="s">
        <v>402</v>
      </c>
      <c r="E90" s="288"/>
    </row>
    <row r="91" spans="1:5" ht="13.5" customHeight="1" x14ac:dyDescent="0.2">
      <c r="A91" s="256"/>
      <c r="B91" s="257"/>
      <c r="C91" s="258"/>
      <c r="D91" s="293" t="s">
        <v>403</v>
      </c>
      <c r="E91" s="288"/>
    </row>
    <row r="92" spans="1:5" ht="13.5" customHeight="1" x14ac:dyDescent="0.2">
      <c r="A92" s="256"/>
      <c r="B92" s="257"/>
      <c r="C92" s="258"/>
      <c r="D92" s="306" t="s">
        <v>404</v>
      </c>
      <c r="E92" s="260"/>
    </row>
    <row r="93" spans="1:5" ht="13.5" customHeight="1" x14ac:dyDescent="0.2">
      <c r="A93" s="256"/>
      <c r="B93" s="257"/>
      <c r="C93" s="258"/>
      <c r="D93" s="307" t="s">
        <v>405</v>
      </c>
      <c r="E93" s="288"/>
    </row>
    <row r="94" spans="1:5" ht="13.5" customHeight="1" x14ac:dyDescent="0.2">
      <c r="A94" s="256"/>
      <c r="B94" s="257"/>
      <c r="C94" s="258"/>
      <c r="D94" s="293" t="s">
        <v>406</v>
      </c>
      <c r="E94" s="288"/>
    </row>
    <row r="95" spans="1:5" ht="25.5" customHeight="1" x14ac:dyDescent="0.2">
      <c r="A95" s="226"/>
      <c r="B95" s="227"/>
      <c r="C95" s="261"/>
      <c r="D95" s="294" t="s">
        <v>407</v>
      </c>
      <c r="E95" s="263"/>
    </row>
    <row r="96" spans="1:5" ht="13.5" customHeight="1" x14ac:dyDescent="0.2">
      <c r="A96" s="223">
        <v>7</v>
      </c>
      <c r="B96" s="223">
        <v>801</v>
      </c>
      <c r="C96" s="223">
        <v>80117</v>
      </c>
      <c r="D96" s="250" t="s">
        <v>33</v>
      </c>
      <c r="E96" s="224">
        <v>2656984</v>
      </c>
    </row>
    <row r="97" spans="1:5" ht="15" customHeight="1" x14ac:dyDescent="0.2">
      <c r="A97" s="251"/>
      <c r="B97" s="252"/>
      <c r="C97" s="253"/>
      <c r="D97" s="308" t="s">
        <v>408</v>
      </c>
      <c r="E97" s="255"/>
    </row>
    <row r="98" spans="1:5" ht="15" customHeight="1" x14ac:dyDescent="0.2">
      <c r="A98" s="256"/>
      <c r="B98" s="257"/>
      <c r="C98" s="258"/>
      <c r="D98" s="290" t="s">
        <v>409</v>
      </c>
      <c r="E98" s="260"/>
    </row>
    <row r="99" spans="1:5" ht="25.5" customHeight="1" x14ac:dyDescent="0.2">
      <c r="A99" s="256"/>
      <c r="B99" s="257"/>
      <c r="C99" s="258"/>
      <c r="D99" s="290" t="s">
        <v>410</v>
      </c>
      <c r="E99" s="260"/>
    </row>
    <row r="100" spans="1:5" ht="24.75" customHeight="1" x14ac:dyDescent="0.2">
      <c r="A100" s="256"/>
      <c r="B100" s="257"/>
      <c r="C100" s="258"/>
      <c r="D100" s="309" t="s">
        <v>411</v>
      </c>
      <c r="E100" s="288"/>
    </row>
    <row r="101" spans="1:5" ht="25.5" customHeight="1" x14ac:dyDescent="0.2">
      <c r="A101" s="256"/>
      <c r="B101" s="257"/>
      <c r="C101" s="258"/>
      <c r="D101" s="294" t="s">
        <v>412</v>
      </c>
      <c r="E101" s="310"/>
    </row>
    <row r="102" spans="1:5" ht="15.75" customHeight="1" x14ac:dyDescent="0.2">
      <c r="A102" s="223">
        <v>8</v>
      </c>
      <c r="B102" s="223">
        <v>801</v>
      </c>
      <c r="C102" s="223">
        <v>80120</v>
      </c>
      <c r="D102" s="250" t="s">
        <v>36</v>
      </c>
      <c r="E102" s="224">
        <v>6769589</v>
      </c>
    </row>
    <row r="103" spans="1:5" ht="13.5" customHeight="1" x14ac:dyDescent="0.2">
      <c r="A103" s="256"/>
      <c r="B103" s="257"/>
      <c r="C103" s="258"/>
      <c r="D103" s="287" t="s">
        <v>413</v>
      </c>
      <c r="E103" s="288"/>
    </row>
    <row r="104" spans="1:5" ht="13.5" customHeight="1" x14ac:dyDescent="0.2">
      <c r="A104" s="256"/>
      <c r="B104" s="257"/>
      <c r="C104" s="258"/>
      <c r="D104" s="287" t="s">
        <v>414</v>
      </c>
      <c r="E104" s="288"/>
    </row>
    <row r="105" spans="1:5" ht="13.5" customHeight="1" x14ac:dyDescent="0.2">
      <c r="A105" s="256"/>
      <c r="B105" s="257"/>
      <c r="C105" s="258"/>
      <c r="D105" s="293" t="s">
        <v>415</v>
      </c>
      <c r="E105" s="288"/>
    </row>
    <row r="106" spans="1:5" ht="24.75" customHeight="1" x14ac:dyDescent="0.2">
      <c r="A106" s="256"/>
      <c r="B106" s="257"/>
      <c r="C106" s="258"/>
      <c r="D106" s="287" t="s">
        <v>416</v>
      </c>
      <c r="E106" s="288"/>
    </row>
    <row r="107" spans="1:5" ht="13.5" customHeight="1" x14ac:dyDescent="0.2">
      <c r="A107" s="256"/>
      <c r="B107" s="257"/>
      <c r="C107" s="258"/>
      <c r="D107" s="293" t="s">
        <v>417</v>
      </c>
      <c r="E107" s="288"/>
    </row>
    <row r="108" spans="1:5" ht="15" customHeight="1" x14ac:dyDescent="0.2">
      <c r="A108" s="256"/>
      <c r="B108" s="257"/>
      <c r="C108" s="258"/>
      <c r="D108" s="287" t="s">
        <v>418</v>
      </c>
      <c r="E108" s="288"/>
    </row>
    <row r="109" spans="1:5" ht="25.5" customHeight="1" x14ac:dyDescent="0.2">
      <c r="A109" s="256"/>
      <c r="B109" s="257"/>
      <c r="C109" s="258"/>
      <c r="D109" s="296" t="s">
        <v>419</v>
      </c>
      <c r="E109" s="288"/>
    </row>
    <row r="110" spans="1:5" ht="25.5" customHeight="1" x14ac:dyDescent="0.2">
      <c r="A110" s="256"/>
      <c r="B110" s="257"/>
      <c r="C110" s="258"/>
      <c r="D110" s="292" t="s">
        <v>420</v>
      </c>
      <c r="E110" s="260"/>
    </row>
    <row r="111" spans="1:5" ht="25.5" customHeight="1" x14ac:dyDescent="0.2">
      <c r="A111" s="256"/>
      <c r="B111" s="257"/>
      <c r="C111" s="258"/>
      <c r="D111" s="291" t="s">
        <v>421</v>
      </c>
      <c r="E111" s="288"/>
    </row>
    <row r="112" spans="1:5" ht="13.5" customHeight="1" x14ac:dyDescent="0.2">
      <c r="A112" s="256"/>
      <c r="B112" s="257"/>
      <c r="C112" s="258"/>
      <c r="D112" s="300" t="s">
        <v>422</v>
      </c>
      <c r="E112" s="260"/>
    </row>
    <row r="113" spans="1:5" ht="13.5" customHeight="1" x14ac:dyDescent="0.2">
      <c r="A113" s="226"/>
      <c r="B113" s="227"/>
      <c r="C113" s="261"/>
      <c r="D113" s="262" t="s">
        <v>347</v>
      </c>
      <c r="E113" s="263"/>
    </row>
    <row r="114" spans="1:5" ht="51" customHeight="1" x14ac:dyDescent="0.2">
      <c r="A114" s="216">
        <v>9</v>
      </c>
      <c r="B114" s="216">
        <v>801</v>
      </c>
      <c r="C114" s="216">
        <v>80149</v>
      </c>
      <c r="D114" s="248" t="s">
        <v>423</v>
      </c>
      <c r="E114" s="218">
        <v>2707080</v>
      </c>
    </row>
    <row r="115" spans="1:5" ht="25.5" customHeight="1" x14ac:dyDescent="0.2">
      <c r="A115" s="251"/>
      <c r="B115" s="252"/>
      <c r="C115" s="253"/>
      <c r="D115" s="295" t="s">
        <v>379</v>
      </c>
      <c r="E115" s="255"/>
    </row>
    <row r="116" spans="1:5" ht="13.5" customHeight="1" x14ac:dyDescent="0.2">
      <c r="A116" s="256"/>
      <c r="B116" s="257"/>
      <c r="C116" s="258"/>
      <c r="D116" s="292" t="s">
        <v>386</v>
      </c>
      <c r="E116" s="260"/>
    </row>
    <row r="117" spans="1:5" ht="13.5" customHeight="1" x14ac:dyDescent="0.2">
      <c r="A117" s="256"/>
      <c r="B117" s="257"/>
      <c r="C117" s="258"/>
      <c r="D117" s="291" t="s">
        <v>424</v>
      </c>
      <c r="E117" s="288"/>
    </row>
    <row r="118" spans="1:5" ht="13.5" customHeight="1" x14ac:dyDescent="0.2">
      <c r="A118" s="256"/>
      <c r="B118" s="257"/>
      <c r="C118" s="258"/>
      <c r="D118" s="297" t="s">
        <v>376</v>
      </c>
      <c r="E118" s="260"/>
    </row>
    <row r="119" spans="1:5" ht="13.5" customHeight="1" x14ac:dyDescent="0.2">
      <c r="A119" s="256"/>
      <c r="B119" s="257"/>
      <c r="C119" s="258"/>
      <c r="D119" s="296" t="s">
        <v>378</v>
      </c>
      <c r="E119" s="288"/>
    </row>
    <row r="120" spans="1:5" ht="13.5" customHeight="1" x14ac:dyDescent="0.2">
      <c r="A120" s="256"/>
      <c r="B120" s="257"/>
      <c r="C120" s="258"/>
      <c r="D120" s="291" t="s">
        <v>425</v>
      </c>
      <c r="E120" s="288"/>
    </row>
    <row r="121" spans="1:5" ht="13.5" customHeight="1" x14ac:dyDescent="0.2">
      <c r="A121" s="256"/>
      <c r="B121" s="257"/>
      <c r="C121" s="258"/>
      <c r="D121" s="291" t="s">
        <v>426</v>
      </c>
      <c r="E121" s="288"/>
    </row>
    <row r="122" spans="1:5" ht="13.5" customHeight="1" x14ac:dyDescent="0.2">
      <c r="A122" s="256"/>
      <c r="B122" s="257"/>
      <c r="C122" s="258"/>
      <c r="D122" s="291" t="s">
        <v>346</v>
      </c>
      <c r="E122" s="288"/>
    </row>
    <row r="123" spans="1:5" ht="13.5" customHeight="1" x14ac:dyDescent="0.2">
      <c r="A123" s="256"/>
      <c r="B123" s="257"/>
      <c r="C123" s="258"/>
      <c r="D123" s="291" t="s">
        <v>382</v>
      </c>
      <c r="E123" s="288"/>
    </row>
    <row r="124" spans="1:5" ht="13.5" customHeight="1" x14ac:dyDescent="0.2">
      <c r="A124" s="256"/>
      <c r="B124" s="257"/>
      <c r="C124" s="258"/>
      <c r="D124" s="296" t="s">
        <v>377</v>
      </c>
      <c r="E124" s="288"/>
    </row>
    <row r="125" spans="1:5" ht="13.5" customHeight="1" x14ac:dyDescent="0.2">
      <c r="A125" s="256"/>
      <c r="B125" s="257"/>
      <c r="C125" s="258"/>
      <c r="D125" s="291" t="s">
        <v>390</v>
      </c>
      <c r="E125" s="288"/>
    </row>
    <row r="126" spans="1:5" ht="15" customHeight="1" x14ac:dyDescent="0.2">
      <c r="A126" s="226"/>
      <c r="B126" s="227"/>
      <c r="C126" s="261"/>
      <c r="D126" s="311" t="s">
        <v>388</v>
      </c>
      <c r="E126" s="263"/>
    </row>
    <row r="127" spans="1:5" ht="39" customHeight="1" x14ac:dyDescent="0.2">
      <c r="A127" s="216">
        <v>10</v>
      </c>
      <c r="B127" s="216">
        <v>801</v>
      </c>
      <c r="C127" s="216">
        <v>80150</v>
      </c>
      <c r="D127" s="248" t="s">
        <v>427</v>
      </c>
      <c r="E127" s="218">
        <f>165299+20000+40000</f>
        <v>225299</v>
      </c>
    </row>
    <row r="128" spans="1:5" ht="13.5" customHeight="1" x14ac:dyDescent="0.2">
      <c r="A128" s="251"/>
      <c r="B128" s="252"/>
      <c r="C128" s="253"/>
      <c r="D128" s="295" t="s">
        <v>344</v>
      </c>
      <c r="E128" s="255"/>
    </row>
    <row r="129" spans="1:6" ht="25.5" customHeight="1" x14ac:dyDescent="0.2">
      <c r="A129" s="256"/>
      <c r="B129" s="257"/>
      <c r="C129" s="258"/>
      <c r="D129" s="287" t="s">
        <v>428</v>
      </c>
      <c r="E129" s="288"/>
    </row>
    <row r="130" spans="1:6" ht="15.75" customHeight="1" x14ac:dyDescent="0.2">
      <c r="A130" s="226"/>
      <c r="B130" s="227"/>
      <c r="C130" s="261"/>
      <c r="D130" s="294" t="s">
        <v>369</v>
      </c>
      <c r="E130" s="263"/>
      <c r="F130" s="289"/>
    </row>
    <row r="131" spans="1:6" ht="13.5" customHeight="1" x14ac:dyDescent="0.2">
      <c r="A131" s="223">
        <v>11</v>
      </c>
      <c r="B131" s="223">
        <v>801</v>
      </c>
      <c r="C131" s="223">
        <v>80151</v>
      </c>
      <c r="D131" s="264" t="s">
        <v>156</v>
      </c>
      <c r="E131" s="224">
        <v>108410</v>
      </c>
    </row>
    <row r="132" spans="1:6" ht="13.5" customHeight="1" x14ac:dyDescent="0.2">
      <c r="A132" s="250"/>
      <c r="B132" s="264"/>
      <c r="C132" s="228"/>
      <c r="D132" s="312" t="s">
        <v>429</v>
      </c>
      <c r="E132" s="224"/>
    </row>
    <row r="133" spans="1:6" ht="13.5" customHeight="1" x14ac:dyDescent="0.2">
      <c r="A133" s="226"/>
      <c r="B133" s="227"/>
      <c r="C133" s="261"/>
      <c r="D133" s="313" t="s">
        <v>403</v>
      </c>
      <c r="E133" s="263"/>
    </row>
    <row r="134" spans="1:6" ht="114" customHeight="1" x14ac:dyDescent="0.2">
      <c r="A134" s="216">
        <v>12</v>
      </c>
      <c r="B134" s="216">
        <v>801</v>
      </c>
      <c r="C134" s="216">
        <v>80152</v>
      </c>
      <c r="D134" s="248" t="s">
        <v>430</v>
      </c>
      <c r="E134" s="218">
        <f>413835+30000+100000</f>
        <v>543835</v>
      </c>
    </row>
    <row r="135" spans="1:6" ht="12.75" customHeight="1" x14ac:dyDescent="0.2">
      <c r="A135" s="251"/>
      <c r="B135" s="252"/>
      <c r="C135" s="253"/>
      <c r="D135" s="314" t="s">
        <v>408</v>
      </c>
      <c r="E135" s="255"/>
    </row>
    <row r="136" spans="1:6" ht="15" customHeight="1" x14ac:dyDescent="0.2">
      <c r="A136" s="256"/>
      <c r="B136" s="257"/>
      <c r="C136" s="258"/>
      <c r="D136" s="296" t="s">
        <v>347</v>
      </c>
      <c r="E136" s="288"/>
    </row>
    <row r="137" spans="1:6" ht="22.9" customHeight="1" x14ac:dyDescent="0.2">
      <c r="A137" s="256"/>
      <c r="B137" s="257"/>
      <c r="C137" s="258"/>
      <c r="D137" s="315" t="s">
        <v>393</v>
      </c>
      <c r="E137" s="288"/>
    </row>
    <row r="138" spans="1:6" ht="23.25" customHeight="1" x14ac:dyDescent="0.2">
      <c r="A138" s="226"/>
      <c r="B138" s="227"/>
      <c r="C138" s="261"/>
      <c r="D138" s="311" t="s">
        <v>421</v>
      </c>
      <c r="E138" s="263"/>
    </row>
    <row r="139" spans="1:6" ht="15.75" customHeight="1" x14ac:dyDescent="0.2">
      <c r="A139" s="316">
        <v>13</v>
      </c>
      <c r="B139" s="316">
        <v>853</v>
      </c>
      <c r="C139" s="316">
        <v>85311</v>
      </c>
      <c r="D139" s="227" t="s">
        <v>431</v>
      </c>
      <c r="E139" s="263">
        <f>190800+10005</f>
        <v>200805</v>
      </c>
    </row>
    <row r="140" spans="1:6" ht="15" customHeight="1" x14ac:dyDescent="0.2">
      <c r="A140" s="250"/>
      <c r="B140" s="264"/>
      <c r="C140" s="261"/>
      <c r="D140" s="229" t="s">
        <v>432</v>
      </c>
      <c r="E140" s="263"/>
    </row>
    <row r="141" spans="1:6" ht="15.75" customHeight="1" x14ac:dyDescent="0.2">
      <c r="A141" s="223">
        <v>14</v>
      </c>
      <c r="B141" s="223">
        <v>854</v>
      </c>
      <c r="C141" s="223">
        <v>85402</v>
      </c>
      <c r="D141" s="264" t="s">
        <v>196</v>
      </c>
      <c r="E141" s="224">
        <f>706538+70000+160000</f>
        <v>936538</v>
      </c>
    </row>
    <row r="142" spans="1:6" ht="13.5" customHeight="1" x14ac:dyDescent="0.2">
      <c r="A142" s="250"/>
      <c r="B142" s="264"/>
      <c r="C142" s="228"/>
      <c r="D142" s="317" t="s">
        <v>433</v>
      </c>
      <c r="E142" s="224"/>
    </row>
    <row r="143" spans="1:6" ht="15.75" customHeight="1" x14ac:dyDescent="0.2">
      <c r="A143" s="223">
        <v>15</v>
      </c>
      <c r="B143" s="223">
        <v>854</v>
      </c>
      <c r="C143" s="223">
        <v>85404</v>
      </c>
      <c r="D143" s="264" t="s">
        <v>198</v>
      </c>
      <c r="E143" s="224">
        <v>500188</v>
      </c>
    </row>
    <row r="144" spans="1:6" ht="13.5" customHeight="1" x14ac:dyDescent="0.2">
      <c r="A144" s="251"/>
      <c r="B144" s="252"/>
      <c r="C144" s="253"/>
      <c r="D144" s="318" t="s">
        <v>388</v>
      </c>
      <c r="E144" s="255"/>
    </row>
    <row r="145" spans="1:5" ht="13.5" customHeight="1" x14ac:dyDescent="0.2">
      <c r="A145" s="256"/>
      <c r="B145" s="257"/>
      <c r="C145" s="258"/>
      <c r="D145" s="297" t="s">
        <v>378</v>
      </c>
      <c r="E145" s="260"/>
    </row>
    <row r="146" spans="1:5" ht="24.75" customHeight="1" x14ac:dyDescent="0.2">
      <c r="A146" s="256"/>
      <c r="B146" s="257"/>
      <c r="C146" s="258"/>
      <c r="D146" s="291" t="s">
        <v>379</v>
      </c>
      <c r="E146" s="288"/>
    </row>
    <row r="147" spans="1:5" ht="13.5" customHeight="1" x14ac:dyDescent="0.2">
      <c r="A147" s="256"/>
      <c r="B147" s="257"/>
      <c r="C147" s="258"/>
      <c r="D147" s="291" t="s">
        <v>424</v>
      </c>
      <c r="E147" s="288"/>
    </row>
    <row r="148" spans="1:5" ht="13.5" customHeight="1" x14ac:dyDescent="0.2">
      <c r="A148" s="256"/>
      <c r="B148" s="257"/>
      <c r="C148" s="258"/>
      <c r="D148" s="297" t="s">
        <v>383</v>
      </c>
      <c r="E148" s="260"/>
    </row>
    <row r="149" spans="1:5" ht="13.5" customHeight="1" x14ac:dyDescent="0.2">
      <c r="A149" s="226"/>
      <c r="B149" s="227"/>
      <c r="C149" s="261"/>
      <c r="D149" s="319" t="s">
        <v>425</v>
      </c>
      <c r="E149" s="299"/>
    </row>
    <row r="150" spans="1:5" ht="13.5" customHeight="1" x14ac:dyDescent="0.2">
      <c r="A150" s="256"/>
      <c r="B150" s="257"/>
      <c r="C150" s="258"/>
      <c r="D150" s="292" t="s">
        <v>382</v>
      </c>
      <c r="E150" s="260"/>
    </row>
    <row r="151" spans="1:5" ht="13.5" customHeight="1" x14ac:dyDescent="0.2">
      <c r="A151" s="256"/>
      <c r="B151" s="257"/>
      <c r="C151" s="258"/>
      <c r="D151" s="297" t="s">
        <v>376</v>
      </c>
      <c r="E151" s="260"/>
    </row>
    <row r="152" spans="1:5" ht="14.25" customHeight="1" x14ac:dyDescent="0.2">
      <c r="A152" s="226"/>
      <c r="B152" s="227"/>
      <c r="C152" s="261"/>
      <c r="D152" s="311" t="s">
        <v>426</v>
      </c>
      <c r="E152" s="263"/>
    </row>
    <row r="153" spans="1:5" ht="25.5" customHeight="1" x14ac:dyDescent="0.2">
      <c r="A153" s="216">
        <v>16</v>
      </c>
      <c r="B153" s="216">
        <v>854</v>
      </c>
      <c r="C153" s="216">
        <v>85406</v>
      </c>
      <c r="D153" s="320" t="s">
        <v>434</v>
      </c>
      <c r="E153" s="224">
        <f>217601-70000-90000</f>
        <v>57601</v>
      </c>
    </row>
    <row r="154" spans="1:5" ht="12.75" customHeight="1" x14ac:dyDescent="0.2">
      <c r="A154" s="250"/>
      <c r="B154" s="264"/>
      <c r="C154" s="228"/>
      <c r="D154" s="317" t="s">
        <v>435</v>
      </c>
      <c r="E154" s="224"/>
    </row>
    <row r="155" spans="1:5" ht="37.5" customHeight="1" x14ac:dyDescent="0.2">
      <c r="A155" s="226"/>
      <c r="B155" s="227"/>
      <c r="C155" s="261"/>
      <c r="D155" s="321" t="s">
        <v>436</v>
      </c>
      <c r="E155" s="263"/>
    </row>
    <row r="156" spans="1:5" ht="13.5" customHeight="1" x14ac:dyDescent="0.2">
      <c r="A156" s="223">
        <v>17</v>
      </c>
      <c r="B156" s="223">
        <v>854</v>
      </c>
      <c r="C156" s="223">
        <v>85410</v>
      </c>
      <c r="D156" s="264" t="s">
        <v>201</v>
      </c>
      <c r="E156" s="224">
        <f>952007-70000</f>
        <v>882007</v>
      </c>
    </row>
    <row r="157" spans="1:5" ht="12.75" customHeight="1" x14ac:dyDescent="0.2">
      <c r="A157" s="250"/>
      <c r="B157" s="264"/>
      <c r="C157" s="228"/>
      <c r="D157" s="229" t="s">
        <v>437</v>
      </c>
      <c r="E157" s="224"/>
    </row>
    <row r="158" spans="1:5" ht="14.25" customHeight="1" x14ac:dyDescent="0.2">
      <c r="A158" s="433"/>
      <c r="B158" s="434"/>
      <c r="C158" s="434"/>
      <c r="D158" s="434" t="s">
        <v>333</v>
      </c>
      <c r="E158" s="431">
        <f>SUM(E48:E157)</f>
        <v>39801014</v>
      </c>
    </row>
    <row r="159" spans="1:5" ht="15.75" customHeight="1" x14ac:dyDescent="0.2">
      <c r="A159" s="322"/>
      <c r="B159" s="323"/>
      <c r="C159" s="323"/>
      <c r="D159" s="323" t="s">
        <v>310</v>
      </c>
      <c r="E159" s="239">
        <f>SUM(E45,E158)</f>
        <v>59912404.410000004</v>
      </c>
    </row>
    <row r="161" spans="1:5" ht="12.6" customHeight="1" x14ac:dyDescent="0.2">
      <c r="A161" s="432"/>
      <c r="E161" s="435"/>
    </row>
    <row r="163" spans="1:5" x14ac:dyDescent="0.2">
      <c r="E163" s="435"/>
    </row>
    <row r="165" spans="1:5" x14ac:dyDescent="0.2">
      <c r="E165" s="436"/>
    </row>
  </sheetData>
  <pageMargins left="0.51181102362204722" right="0.51181102362204722" top="0.74803149606299213" bottom="0.74803149606299213" header="0.31496062992125984" footer="0.31496062992125984"/>
  <pageSetup paperSize="9" orientation="portrait" r:id="rId1"/>
  <headerFooter>
    <oddFooter>&amp;C&amp;"Arial,Pogrubiony"&amp;8&amp;P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94B418-3142-4029-B640-E1CC1A9FBDD4}">
  <dimension ref="A1:G37"/>
  <sheetViews>
    <sheetView zoomScale="110" zoomScaleNormal="110" workbookViewId="0"/>
  </sheetViews>
  <sheetFormatPr defaultRowHeight="15" x14ac:dyDescent="0.25"/>
  <cols>
    <col min="1" max="1" width="4.42578125" style="385" customWidth="1"/>
    <col min="2" max="2" width="7.5703125" style="385" customWidth="1"/>
    <col min="3" max="3" width="49" style="385" customWidth="1"/>
    <col min="4" max="4" width="14.85546875" style="385" customWidth="1"/>
    <col min="5" max="5" width="14" style="385" customWidth="1"/>
    <col min="6" max="6" width="14.140625" style="385" customWidth="1"/>
    <col min="7" max="7" width="17" style="385" customWidth="1"/>
    <col min="8" max="256" width="9.140625" style="385"/>
    <col min="257" max="257" width="4.42578125" style="385" customWidth="1"/>
    <col min="258" max="258" width="7.5703125" style="385" customWidth="1"/>
    <col min="259" max="259" width="47.42578125" style="385" customWidth="1"/>
    <col min="260" max="260" width="14.85546875" style="385" customWidth="1"/>
    <col min="261" max="261" width="14" style="385" customWidth="1"/>
    <col min="262" max="262" width="14.140625" style="385" customWidth="1"/>
    <col min="263" max="263" width="14.7109375" style="385" customWidth="1"/>
    <col min="264" max="512" width="9.140625" style="385"/>
    <col min="513" max="513" width="4.42578125" style="385" customWidth="1"/>
    <col min="514" max="514" width="7.5703125" style="385" customWidth="1"/>
    <col min="515" max="515" width="47.42578125" style="385" customWidth="1"/>
    <col min="516" max="516" width="14.85546875" style="385" customWidth="1"/>
    <col min="517" max="517" width="14" style="385" customWidth="1"/>
    <col min="518" max="518" width="14.140625" style="385" customWidth="1"/>
    <col min="519" max="519" width="14.7109375" style="385" customWidth="1"/>
    <col min="520" max="768" width="9.140625" style="385"/>
    <col min="769" max="769" width="4.42578125" style="385" customWidth="1"/>
    <col min="770" max="770" width="7.5703125" style="385" customWidth="1"/>
    <col min="771" max="771" width="47.42578125" style="385" customWidth="1"/>
    <col min="772" max="772" width="14.85546875" style="385" customWidth="1"/>
    <col min="773" max="773" width="14" style="385" customWidth="1"/>
    <col min="774" max="774" width="14.140625" style="385" customWidth="1"/>
    <col min="775" max="775" width="14.7109375" style="385" customWidth="1"/>
    <col min="776" max="1024" width="9.140625" style="385"/>
    <col min="1025" max="1025" width="4.42578125" style="385" customWidth="1"/>
    <col min="1026" max="1026" width="7.5703125" style="385" customWidth="1"/>
    <col min="1027" max="1027" width="47.42578125" style="385" customWidth="1"/>
    <col min="1028" max="1028" width="14.85546875" style="385" customWidth="1"/>
    <col min="1029" max="1029" width="14" style="385" customWidth="1"/>
    <col min="1030" max="1030" width="14.140625" style="385" customWidth="1"/>
    <col min="1031" max="1031" width="14.7109375" style="385" customWidth="1"/>
    <col min="1032" max="1280" width="9.140625" style="385"/>
    <col min="1281" max="1281" width="4.42578125" style="385" customWidth="1"/>
    <col min="1282" max="1282" width="7.5703125" style="385" customWidth="1"/>
    <col min="1283" max="1283" width="47.42578125" style="385" customWidth="1"/>
    <col min="1284" max="1284" width="14.85546875" style="385" customWidth="1"/>
    <col min="1285" max="1285" width="14" style="385" customWidth="1"/>
    <col min="1286" max="1286" width="14.140625" style="385" customWidth="1"/>
    <col min="1287" max="1287" width="14.7109375" style="385" customWidth="1"/>
    <col min="1288" max="1536" width="9.140625" style="385"/>
    <col min="1537" max="1537" width="4.42578125" style="385" customWidth="1"/>
    <col min="1538" max="1538" width="7.5703125" style="385" customWidth="1"/>
    <col min="1539" max="1539" width="47.42578125" style="385" customWidth="1"/>
    <col min="1540" max="1540" width="14.85546875" style="385" customWidth="1"/>
    <col min="1541" max="1541" width="14" style="385" customWidth="1"/>
    <col min="1542" max="1542" width="14.140625" style="385" customWidth="1"/>
    <col min="1543" max="1543" width="14.7109375" style="385" customWidth="1"/>
    <col min="1544" max="1792" width="9.140625" style="385"/>
    <col min="1793" max="1793" width="4.42578125" style="385" customWidth="1"/>
    <col min="1794" max="1794" width="7.5703125" style="385" customWidth="1"/>
    <col min="1795" max="1795" width="47.42578125" style="385" customWidth="1"/>
    <col min="1796" max="1796" width="14.85546875" style="385" customWidth="1"/>
    <col min="1797" max="1797" width="14" style="385" customWidth="1"/>
    <col min="1798" max="1798" width="14.140625" style="385" customWidth="1"/>
    <col min="1799" max="1799" width="14.7109375" style="385" customWidth="1"/>
    <col min="1800" max="2048" width="9.140625" style="385"/>
    <col min="2049" max="2049" width="4.42578125" style="385" customWidth="1"/>
    <col min="2050" max="2050" width="7.5703125" style="385" customWidth="1"/>
    <col min="2051" max="2051" width="47.42578125" style="385" customWidth="1"/>
    <col min="2052" max="2052" width="14.85546875" style="385" customWidth="1"/>
    <col min="2053" max="2053" width="14" style="385" customWidth="1"/>
    <col min="2054" max="2054" width="14.140625" style="385" customWidth="1"/>
    <col min="2055" max="2055" width="14.7109375" style="385" customWidth="1"/>
    <col min="2056" max="2304" width="9.140625" style="385"/>
    <col min="2305" max="2305" width="4.42578125" style="385" customWidth="1"/>
    <col min="2306" max="2306" width="7.5703125" style="385" customWidth="1"/>
    <col min="2307" max="2307" width="47.42578125" style="385" customWidth="1"/>
    <col min="2308" max="2308" width="14.85546875" style="385" customWidth="1"/>
    <col min="2309" max="2309" width="14" style="385" customWidth="1"/>
    <col min="2310" max="2310" width="14.140625" style="385" customWidth="1"/>
    <col min="2311" max="2311" width="14.7109375" style="385" customWidth="1"/>
    <col min="2312" max="2560" width="9.140625" style="385"/>
    <col min="2561" max="2561" width="4.42578125" style="385" customWidth="1"/>
    <col min="2562" max="2562" width="7.5703125" style="385" customWidth="1"/>
    <col min="2563" max="2563" width="47.42578125" style="385" customWidth="1"/>
    <col min="2564" max="2564" width="14.85546875" style="385" customWidth="1"/>
    <col min="2565" max="2565" width="14" style="385" customWidth="1"/>
    <col min="2566" max="2566" width="14.140625" style="385" customWidth="1"/>
    <col min="2567" max="2567" width="14.7109375" style="385" customWidth="1"/>
    <col min="2568" max="2816" width="9.140625" style="385"/>
    <col min="2817" max="2817" width="4.42578125" style="385" customWidth="1"/>
    <col min="2818" max="2818" width="7.5703125" style="385" customWidth="1"/>
    <col min="2819" max="2819" width="47.42578125" style="385" customWidth="1"/>
    <col min="2820" max="2820" width="14.85546875" style="385" customWidth="1"/>
    <col min="2821" max="2821" width="14" style="385" customWidth="1"/>
    <col min="2822" max="2822" width="14.140625" style="385" customWidth="1"/>
    <col min="2823" max="2823" width="14.7109375" style="385" customWidth="1"/>
    <col min="2824" max="3072" width="9.140625" style="385"/>
    <col min="3073" max="3073" width="4.42578125" style="385" customWidth="1"/>
    <col min="3074" max="3074" width="7.5703125" style="385" customWidth="1"/>
    <col min="3075" max="3075" width="47.42578125" style="385" customWidth="1"/>
    <col min="3076" max="3076" width="14.85546875" style="385" customWidth="1"/>
    <col min="3077" max="3077" width="14" style="385" customWidth="1"/>
    <col min="3078" max="3078" width="14.140625" style="385" customWidth="1"/>
    <col min="3079" max="3079" width="14.7109375" style="385" customWidth="1"/>
    <col min="3080" max="3328" width="9.140625" style="385"/>
    <col min="3329" max="3329" width="4.42578125" style="385" customWidth="1"/>
    <col min="3330" max="3330" width="7.5703125" style="385" customWidth="1"/>
    <col min="3331" max="3331" width="47.42578125" style="385" customWidth="1"/>
    <col min="3332" max="3332" width="14.85546875" style="385" customWidth="1"/>
    <col min="3333" max="3333" width="14" style="385" customWidth="1"/>
    <col min="3334" max="3334" width="14.140625" style="385" customWidth="1"/>
    <col min="3335" max="3335" width="14.7109375" style="385" customWidth="1"/>
    <col min="3336" max="3584" width="9.140625" style="385"/>
    <col min="3585" max="3585" width="4.42578125" style="385" customWidth="1"/>
    <col min="3586" max="3586" width="7.5703125" style="385" customWidth="1"/>
    <col min="3587" max="3587" width="47.42578125" style="385" customWidth="1"/>
    <col min="3588" max="3588" width="14.85546875" style="385" customWidth="1"/>
    <col min="3589" max="3589" width="14" style="385" customWidth="1"/>
    <col min="3590" max="3590" width="14.140625" style="385" customWidth="1"/>
    <col min="3591" max="3591" width="14.7109375" style="385" customWidth="1"/>
    <col min="3592" max="3840" width="9.140625" style="385"/>
    <col min="3841" max="3841" width="4.42578125" style="385" customWidth="1"/>
    <col min="3842" max="3842" width="7.5703125" style="385" customWidth="1"/>
    <col min="3843" max="3843" width="47.42578125" style="385" customWidth="1"/>
    <col min="3844" max="3844" width="14.85546875" style="385" customWidth="1"/>
    <col min="3845" max="3845" width="14" style="385" customWidth="1"/>
    <col min="3846" max="3846" width="14.140625" style="385" customWidth="1"/>
    <col min="3847" max="3847" width="14.7109375" style="385" customWidth="1"/>
    <col min="3848" max="4096" width="9.140625" style="385"/>
    <col min="4097" max="4097" width="4.42578125" style="385" customWidth="1"/>
    <col min="4098" max="4098" width="7.5703125" style="385" customWidth="1"/>
    <col min="4099" max="4099" width="47.42578125" style="385" customWidth="1"/>
    <col min="4100" max="4100" width="14.85546875" style="385" customWidth="1"/>
    <col min="4101" max="4101" width="14" style="385" customWidth="1"/>
    <col min="4102" max="4102" width="14.140625" style="385" customWidth="1"/>
    <col min="4103" max="4103" width="14.7109375" style="385" customWidth="1"/>
    <col min="4104" max="4352" width="9.140625" style="385"/>
    <col min="4353" max="4353" width="4.42578125" style="385" customWidth="1"/>
    <col min="4354" max="4354" width="7.5703125" style="385" customWidth="1"/>
    <col min="4355" max="4355" width="47.42578125" style="385" customWidth="1"/>
    <col min="4356" max="4356" width="14.85546875" style="385" customWidth="1"/>
    <col min="4357" max="4357" width="14" style="385" customWidth="1"/>
    <col min="4358" max="4358" width="14.140625" style="385" customWidth="1"/>
    <col min="4359" max="4359" width="14.7109375" style="385" customWidth="1"/>
    <col min="4360" max="4608" width="9.140625" style="385"/>
    <col min="4609" max="4609" width="4.42578125" style="385" customWidth="1"/>
    <col min="4610" max="4610" width="7.5703125" style="385" customWidth="1"/>
    <col min="4611" max="4611" width="47.42578125" style="385" customWidth="1"/>
    <col min="4612" max="4612" width="14.85546875" style="385" customWidth="1"/>
    <col min="4613" max="4613" width="14" style="385" customWidth="1"/>
    <col min="4614" max="4614" width="14.140625" style="385" customWidth="1"/>
    <col min="4615" max="4615" width="14.7109375" style="385" customWidth="1"/>
    <col min="4616" max="4864" width="9.140625" style="385"/>
    <col min="4865" max="4865" width="4.42578125" style="385" customWidth="1"/>
    <col min="4866" max="4866" width="7.5703125" style="385" customWidth="1"/>
    <col min="4867" max="4867" width="47.42578125" style="385" customWidth="1"/>
    <col min="4868" max="4868" width="14.85546875" style="385" customWidth="1"/>
    <col min="4869" max="4869" width="14" style="385" customWidth="1"/>
    <col min="4870" max="4870" width="14.140625" style="385" customWidth="1"/>
    <col min="4871" max="4871" width="14.7109375" style="385" customWidth="1"/>
    <col min="4872" max="5120" width="9.140625" style="385"/>
    <col min="5121" max="5121" width="4.42578125" style="385" customWidth="1"/>
    <col min="5122" max="5122" width="7.5703125" style="385" customWidth="1"/>
    <col min="5123" max="5123" width="47.42578125" style="385" customWidth="1"/>
    <col min="5124" max="5124" width="14.85546875" style="385" customWidth="1"/>
    <col min="5125" max="5125" width="14" style="385" customWidth="1"/>
    <col min="5126" max="5126" width="14.140625" style="385" customWidth="1"/>
    <col min="5127" max="5127" width="14.7109375" style="385" customWidth="1"/>
    <col min="5128" max="5376" width="9.140625" style="385"/>
    <col min="5377" max="5377" width="4.42578125" style="385" customWidth="1"/>
    <col min="5378" max="5378" width="7.5703125" style="385" customWidth="1"/>
    <col min="5379" max="5379" width="47.42578125" style="385" customWidth="1"/>
    <col min="5380" max="5380" width="14.85546875" style="385" customWidth="1"/>
    <col min="5381" max="5381" width="14" style="385" customWidth="1"/>
    <col min="5382" max="5382" width="14.140625" style="385" customWidth="1"/>
    <col min="5383" max="5383" width="14.7109375" style="385" customWidth="1"/>
    <col min="5384" max="5632" width="9.140625" style="385"/>
    <col min="5633" max="5633" width="4.42578125" style="385" customWidth="1"/>
    <col min="5634" max="5634" width="7.5703125" style="385" customWidth="1"/>
    <col min="5635" max="5635" width="47.42578125" style="385" customWidth="1"/>
    <col min="5636" max="5636" width="14.85546875" style="385" customWidth="1"/>
    <col min="5637" max="5637" width="14" style="385" customWidth="1"/>
    <col min="5638" max="5638" width="14.140625" style="385" customWidth="1"/>
    <col min="5639" max="5639" width="14.7109375" style="385" customWidth="1"/>
    <col min="5640" max="5888" width="9.140625" style="385"/>
    <col min="5889" max="5889" width="4.42578125" style="385" customWidth="1"/>
    <col min="5890" max="5890" width="7.5703125" style="385" customWidth="1"/>
    <col min="5891" max="5891" width="47.42578125" style="385" customWidth="1"/>
    <col min="5892" max="5892" width="14.85546875" style="385" customWidth="1"/>
    <col min="5893" max="5893" width="14" style="385" customWidth="1"/>
    <col min="5894" max="5894" width="14.140625" style="385" customWidth="1"/>
    <col min="5895" max="5895" width="14.7109375" style="385" customWidth="1"/>
    <col min="5896" max="6144" width="9.140625" style="385"/>
    <col min="6145" max="6145" width="4.42578125" style="385" customWidth="1"/>
    <col min="6146" max="6146" width="7.5703125" style="385" customWidth="1"/>
    <col min="6147" max="6147" width="47.42578125" style="385" customWidth="1"/>
    <col min="6148" max="6148" width="14.85546875" style="385" customWidth="1"/>
    <col min="6149" max="6149" width="14" style="385" customWidth="1"/>
    <col min="6150" max="6150" width="14.140625" style="385" customWidth="1"/>
    <col min="6151" max="6151" width="14.7109375" style="385" customWidth="1"/>
    <col min="6152" max="6400" width="9.140625" style="385"/>
    <col min="6401" max="6401" width="4.42578125" style="385" customWidth="1"/>
    <col min="6402" max="6402" width="7.5703125" style="385" customWidth="1"/>
    <col min="6403" max="6403" width="47.42578125" style="385" customWidth="1"/>
    <col min="6404" max="6404" width="14.85546875" style="385" customWidth="1"/>
    <col min="6405" max="6405" width="14" style="385" customWidth="1"/>
    <col min="6406" max="6406" width="14.140625" style="385" customWidth="1"/>
    <col min="6407" max="6407" width="14.7109375" style="385" customWidth="1"/>
    <col min="6408" max="6656" width="9.140625" style="385"/>
    <col min="6657" max="6657" width="4.42578125" style="385" customWidth="1"/>
    <col min="6658" max="6658" width="7.5703125" style="385" customWidth="1"/>
    <col min="6659" max="6659" width="47.42578125" style="385" customWidth="1"/>
    <col min="6660" max="6660" width="14.85546875" style="385" customWidth="1"/>
    <col min="6661" max="6661" width="14" style="385" customWidth="1"/>
    <col min="6662" max="6662" width="14.140625" style="385" customWidth="1"/>
    <col min="6663" max="6663" width="14.7109375" style="385" customWidth="1"/>
    <col min="6664" max="6912" width="9.140625" style="385"/>
    <col min="6913" max="6913" width="4.42578125" style="385" customWidth="1"/>
    <col min="6914" max="6914" width="7.5703125" style="385" customWidth="1"/>
    <col min="6915" max="6915" width="47.42578125" style="385" customWidth="1"/>
    <col min="6916" max="6916" width="14.85546875" style="385" customWidth="1"/>
    <col min="6917" max="6917" width="14" style="385" customWidth="1"/>
    <col min="6918" max="6918" width="14.140625" style="385" customWidth="1"/>
    <col min="6919" max="6919" width="14.7109375" style="385" customWidth="1"/>
    <col min="6920" max="7168" width="9.140625" style="385"/>
    <col min="7169" max="7169" width="4.42578125" style="385" customWidth="1"/>
    <col min="7170" max="7170" width="7.5703125" style="385" customWidth="1"/>
    <col min="7171" max="7171" width="47.42578125" style="385" customWidth="1"/>
    <col min="7172" max="7172" width="14.85546875" style="385" customWidth="1"/>
    <col min="7173" max="7173" width="14" style="385" customWidth="1"/>
    <col min="7174" max="7174" width="14.140625" style="385" customWidth="1"/>
    <col min="7175" max="7175" width="14.7109375" style="385" customWidth="1"/>
    <col min="7176" max="7424" width="9.140625" style="385"/>
    <col min="7425" max="7425" width="4.42578125" style="385" customWidth="1"/>
    <col min="7426" max="7426" width="7.5703125" style="385" customWidth="1"/>
    <col min="7427" max="7427" width="47.42578125" style="385" customWidth="1"/>
    <col min="7428" max="7428" width="14.85546875" style="385" customWidth="1"/>
    <col min="7429" max="7429" width="14" style="385" customWidth="1"/>
    <col min="7430" max="7430" width="14.140625" style="385" customWidth="1"/>
    <col min="7431" max="7431" width="14.7109375" style="385" customWidth="1"/>
    <col min="7432" max="7680" width="9.140625" style="385"/>
    <col min="7681" max="7681" width="4.42578125" style="385" customWidth="1"/>
    <col min="7682" max="7682" width="7.5703125" style="385" customWidth="1"/>
    <col min="7683" max="7683" width="47.42578125" style="385" customWidth="1"/>
    <col min="7684" max="7684" width="14.85546875" style="385" customWidth="1"/>
    <col min="7685" max="7685" width="14" style="385" customWidth="1"/>
    <col min="7686" max="7686" width="14.140625" style="385" customWidth="1"/>
    <col min="7687" max="7687" width="14.7109375" style="385" customWidth="1"/>
    <col min="7688" max="7936" width="9.140625" style="385"/>
    <col min="7937" max="7937" width="4.42578125" style="385" customWidth="1"/>
    <col min="7938" max="7938" width="7.5703125" style="385" customWidth="1"/>
    <col min="7939" max="7939" width="47.42578125" style="385" customWidth="1"/>
    <col min="7940" max="7940" width="14.85546875" style="385" customWidth="1"/>
    <col min="7941" max="7941" width="14" style="385" customWidth="1"/>
    <col min="7942" max="7942" width="14.140625" style="385" customWidth="1"/>
    <col min="7943" max="7943" width="14.7109375" style="385" customWidth="1"/>
    <col min="7944" max="8192" width="9.140625" style="385"/>
    <col min="8193" max="8193" width="4.42578125" style="385" customWidth="1"/>
    <col min="8194" max="8194" width="7.5703125" style="385" customWidth="1"/>
    <col min="8195" max="8195" width="47.42578125" style="385" customWidth="1"/>
    <col min="8196" max="8196" width="14.85546875" style="385" customWidth="1"/>
    <col min="8197" max="8197" width="14" style="385" customWidth="1"/>
    <col min="8198" max="8198" width="14.140625" style="385" customWidth="1"/>
    <col min="8199" max="8199" width="14.7109375" style="385" customWidth="1"/>
    <col min="8200" max="8448" width="9.140625" style="385"/>
    <col min="8449" max="8449" width="4.42578125" style="385" customWidth="1"/>
    <col min="8450" max="8450" width="7.5703125" style="385" customWidth="1"/>
    <col min="8451" max="8451" width="47.42578125" style="385" customWidth="1"/>
    <col min="8452" max="8452" width="14.85546875" style="385" customWidth="1"/>
    <col min="8453" max="8453" width="14" style="385" customWidth="1"/>
    <col min="8454" max="8454" width="14.140625" style="385" customWidth="1"/>
    <col min="8455" max="8455" width="14.7109375" style="385" customWidth="1"/>
    <col min="8456" max="8704" width="9.140625" style="385"/>
    <col min="8705" max="8705" width="4.42578125" style="385" customWidth="1"/>
    <col min="8706" max="8706" width="7.5703125" style="385" customWidth="1"/>
    <col min="8707" max="8707" width="47.42578125" style="385" customWidth="1"/>
    <col min="8708" max="8708" width="14.85546875" style="385" customWidth="1"/>
    <col min="8709" max="8709" width="14" style="385" customWidth="1"/>
    <col min="8710" max="8710" width="14.140625" style="385" customWidth="1"/>
    <col min="8711" max="8711" width="14.7109375" style="385" customWidth="1"/>
    <col min="8712" max="8960" width="9.140625" style="385"/>
    <col min="8961" max="8961" width="4.42578125" style="385" customWidth="1"/>
    <col min="8962" max="8962" width="7.5703125" style="385" customWidth="1"/>
    <col min="8963" max="8963" width="47.42578125" style="385" customWidth="1"/>
    <col min="8964" max="8964" width="14.85546875" style="385" customWidth="1"/>
    <col min="8965" max="8965" width="14" style="385" customWidth="1"/>
    <col min="8966" max="8966" width="14.140625" style="385" customWidth="1"/>
    <col min="8967" max="8967" width="14.7109375" style="385" customWidth="1"/>
    <col min="8968" max="9216" width="9.140625" style="385"/>
    <col min="9217" max="9217" width="4.42578125" style="385" customWidth="1"/>
    <col min="9218" max="9218" width="7.5703125" style="385" customWidth="1"/>
    <col min="9219" max="9219" width="47.42578125" style="385" customWidth="1"/>
    <col min="9220" max="9220" width="14.85546875" style="385" customWidth="1"/>
    <col min="9221" max="9221" width="14" style="385" customWidth="1"/>
    <col min="9222" max="9222" width="14.140625" style="385" customWidth="1"/>
    <col min="9223" max="9223" width="14.7109375" style="385" customWidth="1"/>
    <col min="9224" max="9472" width="9.140625" style="385"/>
    <col min="9473" max="9473" width="4.42578125" style="385" customWidth="1"/>
    <col min="9474" max="9474" width="7.5703125" style="385" customWidth="1"/>
    <col min="9475" max="9475" width="47.42578125" style="385" customWidth="1"/>
    <col min="9476" max="9476" width="14.85546875" style="385" customWidth="1"/>
    <col min="9477" max="9477" width="14" style="385" customWidth="1"/>
    <col min="9478" max="9478" width="14.140625" style="385" customWidth="1"/>
    <col min="9479" max="9479" width="14.7109375" style="385" customWidth="1"/>
    <col min="9480" max="9728" width="9.140625" style="385"/>
    <col min="9729" max="9729" width="4.42578125" style="385" customWidth="1"/>
    <col min="9730" max="9730" width="7.5703125" style="385" customWidth="1"/>
    <col min="9731" max="9731" width="47.42578125" style="385" customWidth="1"/>
    <col min="9732" max="9732" width="14.85546875" style="385" customWidth="1"/>
    <col min="9733" max="9733" width="14" style="385" customWidth="1"/>
    <col min="9734" max="9734" width="14.140625" style="385" customWidth="1"/>
    <col min="9735" max="9735" width="14.7109375" style="385" customWidth="1"/>
    <col min="9736" max="9984" width="9.140625" style="385"/>
    <col min="9985" max="9985" width="4.42578125" style="385" customWidth="1"/>
    <col min="9986" max="9986" width="7.5703125" style="385" customWidth="1"/>
    <col min="9987" max="9987" width="47.42578125" style="385" customWidth="1"/>
    <col min="9988" max="9988" width="14.85546875" style="385" customWidth="1"/>
    <col min="9989" max="9989" width="14" style="385" customWidth="1"/>
    <col min="9990" max="9990" width="14.140625" style="385" customWidth="1"/>
    <col min="9991" max="9991" width="14.7109375" style="385" customWidth="1"/>
    <col min="9992" max="10240" width="9.140625" style="385"/>
    <col min="10241" max="10241" width="4.42578125" style="385" customWidth="1"/>
    <col min="10242" max="10242" width="7.5703125" style="385" customWidth="1"/>
    <col min="10243" max="10243" width="47.42578125" style="385" customWidth="1"/>
    <col min="10244" max="10244" width="14.85546875" style="385" customWidth="1"/>
    <col min="10245" max="10245" width="14" style="385" customWidth="1"/>
    <col min="10246" max="10246" width="14.140625" style="385" customWidth="1"/>
    <col min="10247" max="10247" width="14.7109375" style="385" customWidth="1"/>
    <col min="10248" max="10496" width="9.140625" style="385"/>
    <col min="10497" max="10497" width="4.42578125" style="385" customWidth="1"/>
    <col min="10498" max="10498" width="7.5703125" style="385" customWidth="1"/>
    <col min="10499" max="10499" width="47.42578125" style="385" customWidth="1"/>
    <col min="10500" max="10500" width="14.85546875" style="385" customWidth="1"/>
    <col min="10501" max="10501" width="14" style="385" customWidth="1"/>
    <col min="10502" max="10502" width="14.140625" style="385" customWidth="1"/>
    <col min="10503" max="10503" width="14.7109375" style="385" customWidth="1"/>
    <col min="10504" max="10752" width="9.140625" style="385"/>
    <col min="10753" max="10753" width="4.42578125" style="385" customWidth="1"/>
    <col min="10754" max="10754" width="7.5703125" style="385" customWidth="1"/>
    <col min="10755" max="10755" width="47.42578125" style="385" customWidth="1"/>
    <col min="10756" max="10756" width="14.85546875" style="385" customWidth="1"/>
    <col min="10757" max="10757" width="14" style="385" customWidth="1"/>
    <col min="10758" max="10758" width="14.140625" style="385" customWidth="1"/>
    <col min="10759" max="10759" width="14.7109375" style="385" customWidth="1"/>
    <col min="10760" max="11008" width="9.140625" style="385"/>
    <col min="11009" max="11009" width="4.42578125" style="385" customWidth="1"/>
    <col min="11010" max="11010" width="7.5703125" style="385" customWidth="1"/>
    <col min="11011" max="11011" width="47.42578125" style="385" customWidth="1"/>
    <col min="11012" max="11012" width="14.85546875" style="385" customWidth="1"/>
    <col min="11013" max="11013" width="14" style="385" customWidth="1"/>
    <col min="11014" max="11014" width="14.140625" style="385" customWidth="1"/>
    <col min="11015" max="11015" width="14.7109375" style="385" customWidth="1"/>
    <col min="11016" max="11264" width="9.140625" style="385"/>
    <col min="11265" max="11265" width="4.42578125" style="385" customWidth="1"/>
    <col min="11266" max="11266" width="7.5703125" style="385" customWidth="1"/>
    <col min="11267" max="11267" width="47.42578125" style="385" customWidth="1"/>
    <col min="11268" max="11268" width="14.85546875" style="385" customWidth="1"/>
    <col min="11269" max="11269" width="14" style="385" customWidth="1"/>
    <col min="11270" max="11270" width="14.140625" style="385" customWidth="1"/>
    <col min="11271" max="11271" width="14.7109375" style="385" customWidth="1"/>
    <col min="11272" max="11520" width="9.140625" style="385"/>
    <col min="11521" max="11521" width="4.42578125" style="385" customWidth="1"/>
    <col min="11522" max="11522" width="7.5703125" style="385" customWidth="1"/>
    <col min="11523" max="11523" width="47.42578125" style="385" customWidth="1"/>
    <col min="11524" max="11524" width="14.85546875" style="385" customWidth="1"/>
    <col min="11525" max="11525" width="14" style="385" customWidth="1"/>
    <col min="11526" max="11526" width="14.140625" style="385" customWidth="1"/>
    <col min="11527" max="11527" width="14.7109375" style="385" customWidth="1"/>
    <col min="11528" max="11776" width="9.140625" style="385"/>
    <col min="11777" max="11777" width="4.42578125" style="385" customWidth="1"/>
    <col min="11778" max="11778" width="7.5703125" style="385" customWidth="1"/>
    <col min="11779" max="11779" width="47.42578125" style="385" customWidth="1"/>
    <col min="11780" max="11780" width="14.85546875" style="385" customWidth="1"/>
    <col min="11781" max="11781" width="14" style="385" customWidth="1"/>
    <col min="11782" max="11782" width="14.140625" style="385" customWidth="1"/>
    <col min="11783" max="11783" width="14.7109375" style="385" customWidth="1"/>
    <col min="11784" max="12032" width="9.140625" style="385"/>
    <col min="12033" max="12033" width="4.42578125" style="385" customWidth="1"/>
    <col min="12034" max="12034" width="7.5703125" style="385" customWidth="1"/>
    <col min="12035" max="12035" width="47.42578125" style="385" customWidth="1"/>
    <col min="12036" max="12036" width="14.85546875" style="385" customWidth="1"/>
    <col min="12037" max="12037" width="14" style="385" customWidth="1"/>
    <col min="12038" max="12038" width="14.140625" style="385" customWidth="1"/>
    <col min="12039" max="12039" width="14.7109375" style="385" customWidth="1"/>
    <col min="12040" max="12288" width="9.140625" style="385"/>
    <col min="12289" max="12289" width="4.42578125" style="385" customWidth="1"/>
    <col min="12290" max="12290" width="7.5703125" style="385" customWidth="1"/>
    <col min="12291" max="12291" width="47.42578125" style="385" customWidth="1"/>
    <col min="12292" max="12292" width="14.85546875" style="385" customWidth="1"/>
    <col min="12293" max="12293" width="14" style="385" customWidth="1"/>
    <col min="12294" max="12294" width="14.140625" style="385" customWidth="1"/>
    <col min="12295" max="12295" width="14.7109375" style="385" customWidth="1"/>
    <col min="12296" max="12544" width="9.140625" style="385"/>
    <col min="12545" max="12545" width="4.42578125" style="385" customWidth="1"/>
    <col min="12546" max="12546" width="7.5703125" style="385" customWidth="1"/>
    <col min="12547" max="12547" width="47.42578125" style="385" customWidth="1"/>
    <col min="12548" max="12548" width="14.85546875" style="385" customWidth="1"/>
    <col min="12549" max="12549" width="14" style="385" customWidth="1"/>
    <col min="12550" max="12550" width="14.140625" style="385" customWidth="1"/>
    <col min="12551" max="12551" width="14.7109375" style="385" customWidth="1"/>
    <col min="12552" max="12800" width="9.140625" style="385"/>
    <col min="12801" max="12801" width="4.42578125" style="385" customWidth="1"/>
    <col min="12802" max="12802" width="7.5703125" style="385" customWidth="1"/>
    <col min="12803" max="12803" width="47.42578125" style="385" customWidth="1"/>
    <col min="12804" max="12804" width="14.85546875" style="385" customWidth="1"/>
    <col min="12805" max="12805" width="14" style="385" customWidth="1"/>
    <col min="12806" max="12806" width="14.140625" style="385" customWidth="1"/>
    <col min="12807" max="12807" width="14.7109375" style="385" customWidth="1"/>
    <col min="12808" max="13056" width="9.140625" style="385"/>
    <col min="13057" max="13057" width="4.42578125" style="385" customWidth="1"/>
    <col min="13058" max="13058" width="7.5703125" style="385" customWidth="1"/>
    <col min="13059" max="13059" width="47.42578125" style="385" customWidth="1"/>
    <col min="13060" max="13060" width="14.85546875" style="385" customWidth="1"/>
    <col min="13061" max="13061" width="14" style="385" customWidth="1"/>
    <col min="13062" max="13062" width="14.140625" style="385" customWidth="1"/>
    <col min="13063" max="13063" width="14.7109375" style="385" customWidth="1"/>
    <col min="13064" max="13312" width="9.140625" style="385"/>
    <col min="13313" max="13313" width="4.42578125" style="385" customWidth="1"/>
    <col min="13314" max="13314" width="7.5703125" style="385" customWidth="1"/>
    <col min="13315" max="13315" width="47.42578125" style="385" customWidth="1"/>
    <col min="13316" max="13316" width="14.85546875" style="385" customWidth="1"/>
    <col min="13317" max="13317" width="14" style="385" customWidth="1"/>
    <col min="13318" max="13318" width="14.140625" style="385" customWidth="1"/>
    <col min="13319" max="13319" width="14.7109375" style="385" customWidth="1"/>
    <col min="13320" max="13568" width="9.140625" style="385"/>
    <col min="13569" max="13569" width="4.42578125" style="385" customWidth="1"/>
    <col min="13570" max="13570" width="7.5703125" style="385" customWidth="1"/>
    <col min="13571" max="13571" width="47.42578125" style="385" customWidth="1"/>
    <col min="13572" max="13572" width="14.85546875" style="385" customWidth="1"/>
    <col min="13573" max="13573" width="14" style="385" customWidth="1"/>
    <col min="13574" max="13574" width="14.140625" style="385" customWidth="1"/>
    <col min="13575" max="13575" width="14.7109375" style="385" customWidth="1"/>
    <col min="13576" max="13824" width="9.140625" style="385"/>
    <col min="13825" max="13825" width="4.42578125" style="385" customWidth="1"/>
    <col min="13826" max="13826" width="7.5703125" style="385" customWidth="1"/>
    <col min="13827" max="13827" width="47.42578125" style="385" customWidth="1"/>
    <col min="13828" max="13828" width="14.85546875" style="385" customWidth="1"/>
    <col min="13829" max="13829" width="14" style="385" customWidth="1"/>
    <col min="13830" max="13830" width="14.140625" style="385" customWidth="1"/>
    <col min="13831" max="13831" width="14.7109375" style="385" customWidth="1"/>
    <col min="13832" max="14080" width="9.140625" style="385"/>
    <col min="14081" max="14081" width="4.42578125" style="385" customWidth="1"/>
    <col min="14082" max="14082" width="7.5703125" style="385" customWidth="1"/>
    <col min="14083" max="14083" width="47.42578125" style="385" customWidth="1"/>
    <col min="14084" max="14084" width="14.85546875" style="385" customWidth="1"/>
    <col min="14085" max="14085" width="14" style="385" customWidth="1"/>
    <col min="14086" max="14086" width="14.140625" style="385" customWidth="1"/>
    <col min="14087" max="14087" width="14.7109375" style="385" customWidth="1"/>
    <col min="14088" max="14336" width="9.140625" style="385"/>
    <col min="14337" max="14337" width="4.42578125" style="385" customWidth="1"/>
    <col min="14338" max="14338" width="7.5703125" style="385" customWidth="1"/>
    <col min="14339" max="14339" width="47.42578125" style="385" customWidth="1"/>
    <col min="14340" max="14340" width="14.85546875" style="385" customWidth="1"/>
    <col min="14341" max="14341" width="14" style="385" customWidth="1"/>
    <col min="14342" max="14342" width="14.140625" style="385" customWidth="1"/>
    <col min="14343" max="14343" width="14.7109375" style="385" customWidth="1"/>
    <col min="14344" max="14592" width="9.140625" style="385"/>
    <col min="14593" max="14593" width="4.42578125" style="385" customWidth="1"/>
    <col min="14594" max="14594" width="7.5703125" style="385" customWidth="1"/>
    <col min="14595" max="14595" width="47.42578125" style="385" customWidth="1"/>
    <col min="14596" max="14596" width="14.85546875" style="385" customWidth="1"/>
    <col min="14597" max="14597" width="14" style="385" customWidth="1"/>
    <col min="14598" max="14598" width="14.140625" style="385" customWidth="1"/>
    <col min="14599" max="14599" width="14.7109375" style="385" customWidth="1"/>
    <col min="14600" max="14848" width="9.140625" style="385"/>
    <col min="14849" max="14849" width="4.42578125" style="385" customWidth="1"/>
    <col min="14850" max="14850" width="7.5703125" style="385" customWidth="1"/>
    <col min="14851" max="14851" width="47.42578125" style="385" customWidth="1"/>
    <col min="14852" max="14852" width="14.85546875" style="385" customWidth="1"/>
    <col min="14853" max="14853" width="14" style="385" customWidth="1"/>
    <col min="14854" max="14854" width="14.140625" style="385" customWidth="1"/>
    <col min="14855" max="14855" width="14.7109375" style="385" customWidth="1"/>
    <col min="14856" max="15104" width="9.140625" style="385"/>
    <col min="15105" max="15105" width="4.42578125" style="385" customWidth="1"/>
    <col min="15106" max="15106" width="7.5703125" style="385" customWidth="1"/>
    <col min="15107" max="15107" width="47.42578125" style="385" customWidth="1"/>
    <col min="15108" max="15108" width="14.85546875" style="385" customWidth="1"/>
    <col min="15109" max="15109" width="14" style="385" customWidth="1"/>
    <col min="15110" max="15110" width="14.140625" style="385" customWidth="1"/>
    <col min="15111" max="15111" width="14.7109375" style="385" customWidth="1"/>
    <col min="15112" max="15360" width="9.140625" style="385"/>
    <col min="15361" max="15361" width="4.42578125" style="385" customWidth="1"/>
    <col min="15362" max="15362" width="7.5703125" style="385" customWidth="1"/>
    <col min="15363" max="15363" width="47.42578125" style="385" customWidth="1"/>
    <col min="15364" max="15364" width="14.85546875" style="385" customWidth="1"/>
    <col min="15365" max="15365" width="14" style="385" customWidth="1"/>
    <col min="15366" max="15366" width="14.140625" style="385" customWidth="1"/>
    <col min="15367" max="15367" width="14.7109375" style="385" customWidth="1"/>
    <col min="15368" max="15616" width="9.140625" style="385"/>
    <col min="15617" max="15617" width="4.42578125" style="385" customWidth="1"/>
    <col min="15618" max="15618" width="7.5703125" style="385" customWidth="1"/>
    <col min="15619" max="15619" width="47.42578125" style="385" customWidth="1"/>
    <col min="15620" max="15620" width="14.85546875" style="385" customWidth="1"/>
    <col min="15621" max="15621" width="14" style="385" customWidth="1"/>
    <col min="15622" max="15622" width="14.140625" style="385" customWidth="1"/>
    <col min="15623" max="15623" width="14.7109375" style="385" customWidth="1"/>
    <col min="15624" max="15872" width="9.140625" style="385"/>
    <col min="15873" max="15873" width="4.42578125" style="385" customWidth="1"/>
    <col min="15874" max="15874" width="7.5703125" style="385" customWidth="1"/>
    <col min="15875" max="15875" width="47.42578125" style="385" customWidth="1"/>
    <col min="15876" max="15876" width="14.85546875" style="385" customWidth="1"/>
    <col min="15877" max="15877" width="14" style="385" customWidth="1"/>
    <col min="15878" max="15878" width="14.140625" style="385" customWidth="1"/>
    <col min="15879" max="15879" width="14.7109375" style="385" customWidth="1"/>
    <col min="15880" max="16128" width="9.140625" style="385"/>
    <col min="16129" max="16129" width="4.42578125" style="385" customWidth="1"/>
    <col min="16130" max="16130" width="7.5703125" style="385" customWidth="1"/>
    <col min="16131" max="16131" width="47.42578125" style="385" customWidth="1"/>
    <col min="16132" max="16132" width="14.85546875" style="385" customWidth="1"/>
    <col min="16133" max="16133" width="14" style="385" customWidth="1"/>
    <col min="16134" max="16134" width="14.140625" style="385" customWidth="1"/>
    <col min="16135" max="16135" width="14.7109375" style="385" customWidth="1"/>
    <col min="16136" max="16384" width="9.140625" style="385"/>
  </cols>
  <sheetData>
    <row r="1" spans="1:7" x14ac:dyDescent="0.25">
      <c r="F1" s="3" t="s">
        <v>438</v>
      </c>
    </row>
    <row r="2" spans="1:7" x14ac:dyDescent="0.25">
      <c r="F2" s="3" t="s">
        <v>258</v>
      </c>
    </row>
    <row r="3" spans="1:7" x14ac:dyDescent="0.25">
      <c r="F3" s="3" t="s">
        <v>1</v>
      </c>
    </row>
    <row r="4" spans="1:7" x14ac:dyDescent="0.25">
      <c r="F4" s="3" t="s">
        <v>259</v>
      </c>
    </row>
    <row r="6" spans="1:7" s="325" customFormat="1" ht="12.75" x14ac:dyDescent="0.2">
      <c r="A6" s="324" t="s">
        <v>439</v>
      </c>
      <c r="B6" s="324"/>
      <c r="C6" s="324"/>
      <c r="D6" s="324"/>
      <c r="E6" s="324"/>
      <c r="F6" s="324"/>
      <c r="G6" s="324"/>
    </row>
    <row r="7" spans="1:7" s="325" customFormat="1" ht="12.75" x14ac:dyDescent="0.2">
      <c r="A7" s="324" t="s">
        <v>440</v>
      </c>
      <c r="B7" s="324"/>
      <c r="C7" s="324"/>
      <c r="D7" s="324"/>
      <c r="E7" s="324"/>
      <c r="F7" s="324"/>
      <c r="G7" s="324"/>
    </row>
    <row r="8" spans="1:7" x14ac:dyDescent="0.25">
      <c r="A8" s="326" t="s">
        <v>441</v>
      </c>
      <c r="B8" s="326"/>
      <c r="C8" s="326"/>
      <c r="D8" s="326"/>
      <c r="E8" s="326"/>
      <c r="F8" s="326"/>
      <c r="G8" s="326"/>
    </row>
    <row r="9" spans="1:7" x14ac:dyDescent="0.25">
      <c r="A9" s="437"/>
      <c r="B9" s="437"/>
      <c r="C9" s="437"/>
      <c r="D9" s="437"/>
      <c r="E9" s="437"/>
      <c r="F9" s="437"/>
      <c r="G9" s="327" t="s">
        <v>3</v>
      </c>
    </row>
    <row r="10" spans="1:7" ht="15" customHeight="1" x14ac:dyDescent="0.25">
      <c r="A10" s="328"/>
      <c r="B10" s="328"/>
      <c r="C10" s="328"/>
      <c r="D10" s="329" t="s">
        <v>442</v>
      </c>
      <c r="E10" s="330"/>
      <c r="F10" s="331"/>
      <c r="G10" s="329" t="s">
        <v>442</v>
      </c>
    </row>
    <row r="11" spans="1:7" x14ac:dyDescent="0.25">
      <c r="A11" s="332"/>
      <c r="B11" s="332" t="s">
        <v>5</v>
      </c>
      <c r="C11" s="332"/>
      <c r="D11" s="333" t="s">
        <v>443</v>
      </c>
      <c r="E11" s="333"/>
      <c r="F11" s="333"/>
      <c r="G11" s="333" t="s">
        <v>444</v>
      </c>
    </row>
    <row r="12" spans="1:7" x14ac:dyDescent="0.25">
      <c r="A12" s="332" t="s">
        <v>270</v>
      </c>
      <c r="B12" s="334"/>
      <c r="C12" s="332" t="s">
        <v>445</v>
      </c>
      <c r="D12" s="333" t="s">
        <v>446</v>
      </c>
      <c r="E12" s="333" t="s">
        <v>447</v>
      </c>
      <c r="F12" s="333" t="s">
        <v>448</v>
      </c>
      <c r="G12" s="333" t="s">
        <v>449</v>
      </c>
    </row>
    <row r="13" spans="1:7" x14ac:dyDescent="0.25">
      <c r="A13" s="334"/>
      <c r="B13" s="334" t="s">
        <v>6</v>
      </c>
      <c r="C13" s="334"/>
      <c r="D13" s="335" t="s">
        <v>450</v>
      </c>
      <c r="E13" s="335"/>
      <c r="F13" s="335"/>
      <c r="G13" s="335" t="s">
        <v>450</v>
      </c>
    </row>
    <row r="14" spans="1:7" x14ac:dyDescent="0.25">
      <c r="A14" s="336">
        <v>1</v>
      </c>
      <c r="B14" s="336">
        <v>2</v>
      </c>
      <c r="C14" s="336">
        <v>3</v>
      </c>
      <c r="D14" s="336">
        <v>4</v>
      </c>
      <c r="E14" s="336">
        <v>5</v>
      </c>
      <c r="F14" s="336">
        <v>6</v>
      </c>
      <c r="G14" s="336">
        <v>7</v>
      </c>
    </row>
    <row r="15" spans="1:7" s="437" customFormat="1" ht="12" customHeight="1" x14ac:dyDescent="0.25">
      <c r="A15" s="337"/>
      <c r="B15" s="338">
        <v>801</v>
      </c>
      <c r="C15" s="438"/>
      <c r="D15" s="439"/>
      <c r="E15" s="439"/>
      <c r="F15" s="439"/>
      <c r="G15" s="439"/>
    </row>
    <row r="16" spans="1:7" x14ac:dyDescent="0.25">
      <c r="A16" s="339" t="s">
        <v>451</v>
      </c>
      <c r="B16" s="440">
        <v>80101</v>
      </c>
      <c r="C16" s="340" t="s">
        <v>30</v>
      </c>
      <c r="D16" s="441">
        <v>170.99</v>
      </c>
      <c r="E16" s="441">
        <v>823627.21</v>
      </c>
      <c r="F16" s="441">
        <v>823798.2</v>
      </c>
      <c r="G16" s="441">
        <v>0</v>
      </c>
    </row>
    <row r="17" spans="1:7" x14ac:dyDescent="0.25">
      <c r="A17" s="339" t="s">
        <v>452</v>
      </c>
      <c r="B17" s="440">
        <v>80102</v>
      </c>
      <c r="C17" s="341" t="s">
        <v>132</v>
      </c>
      <c r="D17" s="442">
        <v>0</v>
      </c>
      <c r="E17" s="442">
        <v>7490</v>
      </c>
      <c r="F17" s="442">
        <v>7490</v>
      </c>
      <c r="G17" s="442">
        <v>0</v>
      </c>
    </row>
    <row r="18" spans="1:7" x14ac:dyDescent="0.25">
      <c r="A18" s="339" t="s">
        <v>453</v>
      </c>
      <c r="B18" s="440">
        <v>80104</v>
      </c>
      <c r="C18" s="341" t="s">
        <v>133</v>
      </c>
      <c r="D18" s="442">
        <v>5123.59</v>
      </c>
      <c r="E18" s="442">
        <v>3311313.59</v>
      </c>
      <c r="F18" s="442">
        <v>3316437.18</v>
      </c>
      <c r="G18" s="442">
        <v>0</v>
      </c>
    </row>
    <row r="19" spans="1:7" x14ac:dyDescent="0.25">
      <c r="A19" s="339" t="s">
        <v>454</v>
      </c>
      <c r="B19" s="440">
        <v>80115</v>
      </c>
      <c r="C19" s="341" t="s">
        <v>139</v>
      </c>
      <c r="D19" s="442">
        <v>3153.5</v>
      </c>
      <c r="E19" s="442">
        <v>1143508</v>
      </c>
      <c r="F19" s="442">
        <v>1146661.5</v>
      </c>
      <c r="G19" s="442">
        <v>0</v>
      </c>
    </row>
    <row r="20" spans="1:7" x14ac:dyDescent="0.25">
      <c r="A20" s="339" t="s">
        <v>455</v>
      </c>
      <c r="B20" s="440">
        <v>80120</v>
      </c>
      <c r="C20" s="341" t="s">
        <v>36</v>
      </c>
      <c r="D20" s="443">
        <v>68.55</v>
      </c>
      <c r="E20" s="442">
        <v>243036.99</v>
      </c>
      <c r="F20" s="442">
        <v>243105.54</v>
      </c>
      <c r="G20" s="442">
        <v>0</v>
      </c>
    </row>
    <row r="21" spans="1:7" x14ac:dyDescent="0.25">
      <c r="A21" s="339" t="s">
        <v>456</v>
      </c>
      <c r="B21" s="440">
        <v>80132</v>
      </c>
      <c r="C21" s="341" t="s">
        <v>457</v>
      </c>
      <c r="D21" s="442">
        <v>2.87</v>
      </c>
      <c r="E21" s="442">
        <v>40992</v>
      </c>
      <c r="F21" s="442">
        <v>40994.870000000003</v>
      </c>
      <c r="G21" s="444">
        <v>0</v>
      </c>
    </row>
    <row r="22" spans="1:7" x14ac:dyDescent="0.25">
      <c r="A22" s="339" t="s">
        <v>458</v>
      </c>
      <c r="B22" s="440">
        <v>80134</v>
      </c>
      <c r="C22" s="341" t="s">
        <v>144</v>
      </c>
      <c r="D22" s="442">
        <v>0</v>
      </c>
      <c r="E22" s="442">
        <v>1300</v>
      </c>
      <c r="F22" s="442">
        <v>1300</v>
      </c>
      <c r="G22" s="442">
        <v>0</v>
      </c>
    </row>
    <row r="23" spans="1:7" ht="25.5" x14ac:dyDescent="0.25">
      <c r="A23" s="342" t="s">
        <v>459</v>
      </c>
      <c r="B23" s="445">
        <v>80140</v>
      </c>
      <c r="C23" s="343" t="s">
        <v>460</v>
      </c>
      <c r="D23" s="442">
        <v>0</v>
      </c>
      <c r="E23" s="442">
        <v>101038</v>
      </c>
      <c r="F23" s="442">
        <v>101038</v>
      </c>
      <c r="G23" s="442">
        <v>0</v>
      </c>
    </row>
    <row r="24" spans="1:7" x14ac:dyDescent="0.25">
      <c r="A24" s="342" t="s">
        <v>461</v>
      </c>
      <c r="B24" s="445">
        <v>80142</v>
      </c>
      <c r="C24" s="343" t="s">
        <v>145</v>
      </c>
      <c r="D24" s="442">
        <v>0</v>
      </c>
      <c r="E24" s="442">
        <v>281040</v>
      </c>
      <c r="F24" s="442">
        <v>281040</v>
      </c>
      <c r="G24" s="442">
        <v>0</v>
      </c>
    </row>
    <row r="25" spans="1:7" x14ac:dyDescent="0.25">
      <c r="A25" s="342" t="s">
        <v>462</v>
      </c>
      <c r="B25" s="445">
        <v>80144</v>
      </c>
      <c r="C25" s="343" t="s">
        <v>463</v>
      </c>
      <c r="D25" s="442">
        <v>0</v>
      </c>
      <c r="E25" s="442">
        <v>63532</v>
      </c>
      <c r="F25" s="442">
        <v>63532</v>
      </c>
      <c r="G25" s="442">
        <v>0</v>
      </c>
    </row>
    <row r="26" spans="1:7" x14ac:dyDescent="0.25">
      <c r="A26" s="344" t="s">
        <v>464</v>
      </c>
      <c r="B26" s="446">
        <v>80148</v>
      </c>
      <c r="C26" s="341" t="s">
        <v>149</v>
      </c>
      <c r="D26" s="447">
        <v>304.12</v>
      </c>
      <c r="E26" s="447">
        <v>2773291</v>
      </c>
      <c r="F26" s="447">
        <v>2773595.12</v>
      </c>
      <c r="G26" s="447">
        <v>0</v>
      </c>
    </row>
    <row r="27" spans="1:7" ht="12.75" customHeight="1" x14ac:dyDescent="0.25">
      <c r="A27" s="448"/>
      <c r="B27" s="345">
        <v>854</v>
      </c>
      <c r="C27" s="346"/>
      <c r="D27" s="449"/>
      <c r="E27" s="449"/>
      <c r="F27" s="449"/>
      <c r="G27" s="449"/>
    </row>
    <row r="28" spans="1:7" x14ac:dyDescent="0.25">
      <c r="A28" s="339" t="s">
        <v>451</v>
      </c>
      <c r="B28" s="440">
        <v>85410</v>
      </c>
      <c r="C28" s="341" t="s">
        <v>201</v>
      </c>
      <c r="D28" s="442">
        <v>20.57</v>
      </c>
      <c r="E28" s="442">
        <v>491700</v>
      </c>
      <c r="F28" s="442">
        <v>491720.57</v>
      </c>
      <c r="G28" s="442">
        <v>0</v>
      </c>
    </row>
    <row r="29" spans="1:7" x14ac:dyDescent="0.25">
      <c r="A29" s="339" t="s">
        <v>452</v>
      </c>
      <c r="B29" s="440">
        <v>85412</v>
      </c>
      <c r="C29" s="341" t="s">
        <v>465</v>
      </c>
      <c r="D29" s="442"/>
      <c r="E29" s="442"/>
      <c r="F29" s="442"/>
      <c r="G29" s="442"/>
    </row>
    <row r="30" spans="1:7" x14ac:dyDescent="0.25">
      <c r="A30" s="339"/>
      <c r="B30" s="440"/>
      <c r="C30" s="341" t="s">
        <v>466</v>
      </c>
      <c r="D30" s="442">
        <v>0</v>
      </c>
      <c r="E30" s="442">
        <v>9850</v>
      </c>
      <c r="F30" s="442">
        <v>9850</v>
      </c>
      <c r="G30" s="442">
        <v>0</v>
      </c>
    </row>
    <row r="31" spans="1:7" x14ac:dyDescent="0.25">
      <c r="A31" s="339" t="s">
        <v>453</v>
      </c>
      <c r="B31" s="440">
        <v>85417</v>
      </c>
      <c r="C31" s="347" t="s">
        <v>202</v>
      </c>
      <c r="D31" s="442">
        <v>0</v>
      </c>
      <c r="E31" s="442">
        <v>80400</v>
      </c>
      <c r="F31" s="442">
        <v>80400</v>
      </c>
      <c r="G31" s="442">
        <v>0</v>
      </c>
    </row>
    <row r="32" spans="1:7" x14ac:dyDescent="0.25">
      <c r="A32" s="348" t="s">
        <v>454</v>
      </c>
      <c r="B32" s="450">
        <v>85420</v>
      </c>
      <c r="C32" s="349" t="s">
        <v>203</v>
      </c>
      <c r="D32" s="451">
        <v>0</v>
      </c>
      <c r="E32" s="451">
        <v>19502</v>
      </c>
      <c r="F32" s="451">
        <v>19502</v>
      </c>
      <c r="G32" s="452">
        <v>0</v>
      </c>
    </row>
    <row r="33" spans="1:7" s="456" customFormat="1" ht="20.25" customHeight="1" x14ac:dyDescent="0.25">
      <c r="A33" s="453"/>
      <c r="B33" s="453"/>
      <c r="C33" s="454" t="s">
        <v>467</v>
      </c>
      <c r="D33" s="455">
        <f>SUM(D16:D32)</f>
        <v>8844.19</v>
      </c>
      <c r="E33" s="455">
        <f>SUM(E16:E32)</f>
        <v>9391620.7899999991</v>
      </c>
      <c r="F33" s="455">
        <f>SUM(F16:F32)</f>
        <v>9400464.9800000004</v>
      </c>
      <c r="G33" s="455">
        <f>SUM(G16:G32)</f>
        <v>0</v>
      </c>
    </row>
    <row r="35" spans="1:7" x14ac:dyDescent="0.25">
      <c r="A35" s="457"/>
      <c r="B35" s="457"/>
      <c r="C35" s="350"/>
    </row>
    <row r="36" spans="1:7" x14ac:dyDescent="0.25">
      <c r="A36" s="457"/>
      <c r="B36" s="457"/>
      <c r="C36" s="350"/>
    </row>
    <row r="37" spans="1:7" x14ac:dyDescent="0.25">
      <c r="A37" s="457"/>
      <c r="B37" s="457"/>
      <c r="C37" s="350"/>
    </row>
  </sheetData>
  <pageMargins left="0.78740157480314965" right="0.78740157480314965" top="0.74803149606299213" bottom="0.74803149606299213" header="0.31496062992125984" footer="0.31496062992125984"/>
  <pageSetup paperSize="9" firstPageNumber="50" orientation="landscape" useFirstPageNumber="1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265511-EF97-45BF-B2A9-FD0B4CF9885F}">
  <dimension ref="A1:BX137"/>
  <sheetViews>
    <sheetView topLeftCell="A22" zoomScale="130" zoomScaleNormal="130" workbookViewId="0"/>
  </sheetViews>
  <sheetFormatPr defaultRowHeight="15" x14ac:dyDescent="0.25"/>
  <cols>
    <col min="1" max="1" width="4.85546875" style="437" customWidth="1"/>
    <col min="2" max="2" width="33.42578125" style="437" customWidth="1"/>
    <col min="3" max="3" width="8.5703125" style="437" customWidth="1"/>
    <col min="4" max="4" width="9.42578125" style="437" customWidth="1"/>
    <col min="5" max="5" width="8.140625" style="437" customWidth="1"/>
    <col min="6" max="6" width="13" style="385" customWidth="1"/>
    <col min="7" max="7" width="12.85546875" style="385" customWidth="1"/>
    <col min="8" max="8" width="9.140625" style="385"/>
    <col min="9" max="9" width="12.42578125" style="385" customWidth="1"/>
    <col min="10" max="76" width="9.140625" style="385"/>
    <col min="77" max="253" width="9.140625" style="437"/>
    <col min="254" max="254" width="5.28515625" style="437" customWidth="1"/>
    <col min="255" max="255" width="8" style="437" customWidth="1"/>
    <col min="256" max="256" width="5.85546875" style="437" customWidth="1"/>
    <col min="257" max="257" width="9.42578125" style="437" customWidth="1"/>
    <col min="258" max="258" width="11.28515625" style="437" customWidth="1"/>
    <col min="259" max="259" width="11" style="437" customWidth="1"/>
    <col min="260" max="260" width="13.140625" style="437" customWidth="1"/>
    <col min="261" max="261" width="11.7109375" style="437" customWidth="1"/>
    <col min="262" max="262" width="11.140625" style="437" customWidth="1"/>
    <col min="263" max="263" width="11.7109375" style="437" customWidth="1"/>
    <col min="264" max="509" width="9.140625" style="437"/>
    <col min="510" max="510" width="5.28515625" style="437" customWidth="1"/>
    <col min="511" max="511" width="8" style="437" customWidth="1"/>
    <col min="512" max="512" width="5.85546875" style="437" customWidth="1"/>
    <col min="513" max="513" width="9.42578125" style="437" customWidth="1"/>
    <col min="514" max="514" width="11.28515625" style="437" customWidth="1"/>
    <col min="515" max="515" width="11" style="437" customWidth="1"/>
    <col min="516" max="516" width="13.140625" style="437" customWidth="1"/>
    <col min="517" max="517" width="11.7109375" style="437" customWidth="1"/>
    <col min="518" max="518" width="11.140625" style="437" customWidth="1"/>
    <col min="519" max="519" width="11.7109375" style="437" customWidth="1"/>
    <col min="520" max="765" width="9.140625" style="437"/>
    <col min="766" max="766" width="5.28515625" style="437" customWidth="1"/>
    <col min="767" max="767" width="8" style="437" customWidth="1"/>
    <col min="768" max="768" width="5.85546875" style="437" customWidth="1"/>
    <col min="769" max="769" width="9.42578125" style="437" customWidth="1"/>
    <col min="770" max="770" width="11.28515625" style="437" customWidth="1"/>
    <col min="771" max="771" width="11" style="437" customWidth="1"/>
    <col min="772" max="772" width="13.140625" style="437" customWidth="1"/>
    <col min="773" max="773" width="11.7109375" style="437" customWidth="1"/>
    <col min="774" max="774" width="11.140625" style="437" customWidth="1"/>
    <col min="775" max="775" width="11.7109375" style="437" customWidth="1"/>
    <col min="776" max="1021" width="9.140625" style="437"/>
    <col min="1022" max="1022" width="5.28515625" style="437" customWidth="1"/>
    <col min="1023" max="1023" width="8" style="437" customWidth="1"/>
    <col min="1024" max="1024" width="5.85546875" style="437" customWidth="1"/>
    <col min="1025" max="1025" width="9.42578125" style="437" customWidth="1"/>
    <col min="1026" max="1026" width="11.28515625" style="437" customWidth="1"/>
    <col min="1027" max="1027" width="11" style="437" customWidth="1"/>
    <col min="1028" max="1028" width="13.140625" style="437" customWidth="1"/>
    <col min="1029" max="1029" width="11.7109375" style="437" customWidth="1"/>
    <col min="1030" max="1030" width="11.140625" style="437" customWidth="1"/>
    <col min="1031" max="1031" width="11.7109375" style="437" customWidth="1"/>
    <col min="1032" max="1277" width="9.140625" style="437"/>
    <col min="1278" max="1278" width="5.28515625" style="437" customWidth="1"/>
    <col min="1279" max="1279" width="8" style="437" customWidth="1"/>
    <col min="1280" max="1280" width="5.85546875" style="437" customWidth="1"/>
    <col min="1281" max="1281" width="9.42578125" style="437" customWidth="1"/>
    <col min="1282" max="1282" width="11.28515625" style="437" customWidth="1"/>
    <col min="1283" max="1283" width="11" style="437" customWidth="1"/>
    <col min="1284" max="1284" width="13.140625" style="437" customWidth="1"/>
    <col min="1285" max="1285" width="11.7109375" style="437" customWidth="1"/>
    <col min="1286" max="1286" width="11.140625" style="437" customWidth="1"/>
    <col min="1287" max="1287" width="11.7109375" style="437" customWidth="1"/>
    <col min="1288" max="1533" width="9.140625" style="437"/>
    <col min="1534" max="1534" width="5.28515625" style="437" customWidth="1"/>
    <col min="1535" max="1535" width="8" style="437" customWidth="1"/>
    <col min="1536" max="1536" width="5.85546875" style="437" customWidth="1"/>
    <col min="1537" max="1537" width="9.42578125" style="437" customWidth="1"/>
    <col min="1538" max="1538" width="11.28515625" style="437" customWidth="1"/>
    <col min="1539" max="1539" width="11" style="437" customWidth="1"/>
    <col min="1540" max="1540" width="13.140625" style="437" customWidth="1"/>
    <col min="1541" max="1541" width="11.7109375" style="437" customWidth="1"/>
    <col min="1542" max="1542" width="11.140625" style="437" customWidth="1"/>
    <col min="1543" max="1543" width="11.7109375" style="437" customWidth="1"/>
    <col min="1544" max="1789" width="9.140625" style="437"/>
    <col min="1790" max="1790" width="5.28515625" style="437" customWidth="1"/>
    <col min="1791" max="1791" width="8" style="437" customWidth="1"/>
    <col min="1792" max="1792" width="5.85546875" style="437" customWidth="1"/>
    <col min="1793" max="1793" width="9.42578125" style="437" customWidth="1"/>
    <col min="1794" max="1794" width="11.28515625" style="437" customWidth="1"/>
    <col min="1795" max="1795" width="11" style="437" customWidth="1"/>
    <col min="1796" max="1796" width="13.140625" style="437" customWidth="1"/>
    <col min="1797" max="1797" width="11.7109375" style="437" customWidth="1"/>
    <col min="1798" max="1798" width="11.140625" style="437" customWidth="1"/>
    <col min="1799" max="1799" width="11.7109375" style="437" customWidth="1"/>
    <col min="1800" max="2045" width="9.140625" style="437"/>
    <col min="2046" max="2046" width="5.28515625" style="437" customWidth="1"/>
    <col min="2047" max="2047" width="8" style="437" customWidth="1"/>
    <col min="2048" max="2048" width="5.85546875" style="437" customWidth="1"/>
    <col min="2049" max="2049" width="9.42578125" style="437" customWidth="1"/>
    <col min="2050" max="2050" width="11.28515625" style="437" customWidth="1"/>
    <col min="2051" max="2051" width="11" style="437" customWidth="1"/>
    <col min="2052" max="2052" width="13.140625" style="437" customWidth="1"/>
    <col min="2053" max="2053" width="11.7109375" style="437" customWidth="1"/>
    <col min="2054" max="2054" width="11.140625" style="437" customWidth="1"/>
    <col min="2055" max="2055" width="11.7109375" style="437" customWidth="1"/>
    <col min="2056" max="2301" width="9.140625" style="437"/>
    <col min="2302" max="2302" width="5.28515625" style="437" customWidth="1"/>
    <col min="2303" max="2303" width="8" style="437" customWidth="1"/>
    <col min="2304" max="2304" width="5.85546875" style="437" customWidth="1"/>
    <col min="2305" max="2305" width="9.42578125" style="437" customWidth="1"/>
    <col min="2306" max="2306" width="11.28515625" style="437" customWidth="1"/>
    <col min="2307" max="2307" width="11" style="437" customWidth="1"/>
    <col min="2308" max="2308" width="13.140625" style="437" customWidth="1"/>
    <col min="2309" max="2309" width="11.7109375" style="437" customWidth="1"/>
    <col min="2310" max="2310" width="11.140625" style="437" customWidth="1"/>
    <col min="2311" max="2311" width="11.7109375" style="437" customWidth="1"/>
    <col min="2312" max="2557" width="9.140625" style="437"/>
    <col min="2558" max="2558" width="5.28515625" style="437" customWidth="1"/>
    <col min="2559" max="2559" width="8" style="437" customWidth="1"/>
    <col min="2560" max="2560" width="5.85546875" style="437" customWidth="1"/>
    <col min="2561" max="2561" width="9.42578125" style="437" customWidth="1"/>
    <col min="2562" max="2562" width="11.28515625" style="437" customWidth="1"/>
    <col min="2563" max="2563" width="11" style="437" customWidth="1"/>
    <col min="2564" max="2564" width="13.140625" style="437" customWidth="1"/>
    <col min="2565" max="2565" width="11.7109375" style="437" customWidth="1"/>
    <col min="2566" max="2566" width="11.140625" style="437" customWidth="1"/>
    <col min="2567" max="2567" width="11.7109375" style="437" customWidth="1"/>
    <col min="2568" max="2813" width="9.140625" style="437"/>
    <col min="2814" max="2814" width="5.28515625" style="437" customWidth="1"/>
    <col min="2815" max="2815" width="8" style="437" customWidth="1"/>
    <col min="2816" max="2816" width="5.85546875" style="437" customWidth="1"/>
    <col min="2817" max="2817" width="9.42578125" style="437" customWidth="1"/>
    <col min="2818" max="2818" width="11.28515625" style="437" customWidth="1"/>
    <col min="2819" max="2819" width="11" style="437" customWidth="1"/>
    <col min="2820" max="2820" width="13.140625" style="437" customWidth="1"/>
    <col min="2821" max="2821" width="11.7109375" style="437" customWidth="1"/>
    <col min="2822" max="2822" width="11.140625" style="437" customWidth="1"/>
    <col min="2823" max="2823" width="11.7109375" style="437" customWidth="1"/>
    <col min="2824" max="3069" width="9.140625" style="437"/>
    <col min="3070" max="3070" width="5.28515625" style="437" customWidth="1"/>
    <col min="3071" max="3071" width="8" style="437" customWidth="1"/>
    <col min="3072" max="3072" width="5.85546875" style="437" customWidth="1"/>
    <col min="3073" max="3073" width="9.42578125" style="437" customWidth="1"/>
    <col min="3074" max="3074" width="11.28515625" style="437" customWidth="1"/>
    <col min="3075" max="3075" width="11" style="437" customWidth="1"/>
    <col min="3076" max="3076" width="13.140625" style="437" customWidth="1"/>
    <col min="3077" max="3077" width="11.7109375" style="437" customWidth="1"/>
    <col min="3078" max="3078" width="11.140625" style="437" customWidth="1"/>
    <col min="3079" max="3079" width="11.7109375" style="437" customWidth="1"/>
    <col min="3080" max="3325" width="9.140625" style="437"/>
    <col min="3326" max="3326" width="5.28515625" style="437" customWidth="1"/>
    <col min="3327" max="3327" width="8" style="437" customWidth="1"/>
    <col min="3328" max="3328" width="5.85546875" style="437" customWidth="1"/>
    <col min="3329" max="3329" width="9.42578125" style="437" customWidth="1"/>
    <col min="3330" max="3330" width="11.28515625" style="437" customWidth="1"/>
    <col min="3331" max="3331" width="11" style="437" customWidth="1"/>
    <col min="3332" max="3332" width="13.140625" style="437" customWidth="1"/>
    <col min="3333" max="3333" width="11.7109375" style="437" customWidth="1"/>
    <col min="3334" max="3334" width="11.140625" style="437" customWidth="1"/>
    <col min="3335" max="3335" width="11.7109375" style="437" customWidth="1"/>
    <col min="3336" max="3581" width="9.140625" style="437"/>
    <col min="3582" max="3582" width="5.28515625" style="437" customWidth="1"/>
    <col min="3583" max="3583" width="8" style="437" customWidth="1"/>
    <col min="3584" max="3584" width="5.85546875" style="437" customWidth="1"/>
    <col min="3585" max="3585" width="9.42578125" style="437" customWidth="1"/>
    <col min="3586" max="3586" width="11.28515625" style="437" customWidth="1"/>
    <col min="3587" max="3587" width="11" style="437" customWidth="1"/>
    <col min="3588" max="3588" width="13.140625" style="437" customWidth="1"/>
    <col min="3589" max="3589" width="11.7109375" style="437" customWidth="1"/>
    <col min="3590" max="3590" width="11.140625" style="437" customWidth="1"/>
    <col min="3591" max="3591" width="11.7109375" style="437" customWidth="1"/>
    <col min="3592" max="3837" width="9.140625" style="437"/>
    <col min="3838" max="3838" width="5.28515625" style="437" customWidth="1"/>
    <col min="3839" max="3839" width="8" style="437" customWidth="1"/>
    <col min="3840" max="3840" width="5.85546875" style="437" customWidth="1"/>
    <col min="3841" max="3841" width="9.42578125" style="437" customWidth="1"/>
    <col min="3842" max="3842" width="11.28515625" style="437" customWidth="1"/>
    <col min="3843" max="3843" width="11" style="437" customWidth="1"/>
    <col min="3844" max="3844" width="13.140625" style="437" customWidth="1"/>
    <col min="3845" max="3845" width="11.7109375" style="437" customWidth="1"/>
    <col min="3846" max="3846" width="11.140625" style="437" customWidth="1"/>
    <col min="3847" max="3847" width="11.7109375" style="437" customWidth="1"/>
    <col min="3848" max="4093" width="9.140625" style="437"/>
    <col min="4094" max="4094" width="5.28515625" style="437" customWidth="1"/>
    <col min="4095" max="4095" width="8" style="437" customWidth="1"/>
    <col min="4096" max="4096" width="5.85546875" style="437" customWidth="1"/>
    <col min="4097" max="4097" width="9.42578125" style="437" customWidth="1"/>
    <col min="4098" max="4098" width="11.28515625" style="437" customWidth="1"/>
    <col min="4099" max="4099" width="11" style="437" customWidth="1"/>
    <col min="4100" max="4100" width="13.140625" style="437" customWidth="1"/>
    <col min="4101" max="4101" width="11.7109375" style="437" customWidth="1"/>
    <col min="4102" max="4102" width="11.140625" style="437" customWidth="1"/>
    <col min="4103" max="4103" width="11.7109375" style="437" customWidth="1"/>
    <col min="4104" max="4349" width="9.140625" style="437"/>
    <col min="4350" max="4350" width="5.28515625" style="437" customWidth="1"/>
    <col min="4351" max="4351" width="8" style="437" customWidth="1"/>
    <col min="4352" max="4352" width="5.85546875" style="437" customWidth="1"/>
    <col min="4353" max="4353" width="9.42578125" style="437" customWidth="1"/>
    <col min="4354" max="4354" width="11.28515625" style="437" customWidth="1"/>
    <col min="4355" max="4355" width="11" style="437" customWidth="1"/>
    <col min="4356" max="4356" width="13.140625" style="437" customWidth="1"/>
    <col min="4357" max="4357" width="11.7109375" style="437" customWidth="1"/>
    <col min="4358" max="4358" width="11.140625" style="437" customWidth="1"/>
    <col min="4359" max="4359" width="11.7109375" style="437" customWidth="1"/>
    <col min="4360" max="4605" width="9.140625" style="437"/>
    <col min="4606" max="4606" width="5.28515625" style="437" customWidth="1"/>
    <col min="4607" max="4607" width="8" style="437" customWidth="1"/>
    <col min="4608" max="4608" width="5.85546875" style="437" customWidth="1"/>
    <col min="4609" max="4609" width="9.42578125" style="437" customWidth="1"/>
    <col min="4610" max="4610" width="11.28515625" style="437" customWidth="1"/>
    <col min="4611" max="4611" width="11" style="437" customWidth="1"/>
    <col min="4612" max="4612" width="13.140625" style="437" customWidth="1"/>
    <col min="4613" max="4613" width="11.7109375" style="437" customWidth="1"/>
    <col min="4614" max="4614" width="11.140625" style="437" customWidth="1"/>
    <col min="4615" max="4615" width="11.7109375" style="437" customWidth="1"/>
    <col min="4616" max="4861" width="9.140625" style="437"/>
    <col min="4862" max="4862" width="5.28515625" style="437" customWidth="1"/>
    <col min="4863" max="4863" width="8" style="437" customWidth="1"/>
    <col min="4864" max="4864" width="5.85546875" style="437" customWidth="1"/>
    <col min="4865" max="4865" width="9.42578125" style="437" customWidth="1"/>
    <col min="4866" max="4866" width="11.28515625" style="437" customWidth="1"/>
    <col min="4867" max="4867" width="11" style="437" customWidth="1"/>
    <col min="4868" max="4868" width="13.140625" style="437" customWidth="1"/>
    <col min="4869" max="4869" width="11.7109375" style="437" customWidth="1"/>
    <col min="4870" max="4870" width="11.140625" style="437" customWidth="1"/>
    <col min="4871" max="4871" width="11.7109375" style="437" customWidth="1"/>
    <col min="4872" max="5117" width="9.140625" style="437"/>
    <col min="5118" max="5118" width="5.28515625" style="437" customWidth="1"/>
    <col min="5119" max="5119" width="8" style="437" customWidth="1"/>
    <col min="5120" max="5120" width="5.85546875" style="437" customWidth="1"/>
    <col min="5121" max="5121" width="9.42578125" style="437" customWidth="1"/>
    <col min="5122" max="5122" width="11.28515625" style="437" customWidth="1"/>
    <col min="5123" max="5123" width="11" style="437" customWidth="1"/>
    <col min="5124" max="5124" width="13.140625" style="437" customWidth="1"/>
    <col min="5125" max="5125" width="11.7109375" style="437" customWidth="1"/>
    <col min="5126" max="5126" width="11.140625" style="437" customWidth="1"/>
    <col min="5127" max="5127" width="11.7109375" style="437" customWidth="1"/>
    <col min="5128" max="5373" width="9.140625" style="437"/>
    <col min="5374" max="5374" width="5.28515625" style="437" customWidth="1"/>
    <col min="5375" max="5375" width="8" style="437" customWidth="1"/>
    <col min="5376" max="5376" width="5.85546875" style="437" customWidth="1"/>
    <col min="5377" max="5377" width="9.42578125" style="437" customWidth="1"/>
    <col min="5378" max="5378" width="11.28515625" style="437" customWidth="1"/>
    <col min="5379" max="5379" width="11" style="437" customWidth="1"/>
    <col min="5380" max="5380" width="13.140625" style="437" customWidth="1"/>
    <col min="5381" max="5381" width="11.7109375" style="437" customWidth="1"/>
    <col min="5382" max="5382" width="11.140625" style="437" customWidth="1"/>
    <col min="5383" max="5383" width="11.7109375" style="437" customWidth="1"/>
    <col min="5384" max="5629" width="9.140625" style="437"/>
    <col min="5630" max="5630" width="5.28515625" style="437" customWidth="1"/>
    <col min="5631" max="5631" width="8" style="437" customWidth="1"/>
    <col min="5632" max="5632" width="5.85546875" style="437" customWidth="1"/>
    <col min="5633" max="5633" width="9.42578125" style="437" customWidth="1"/>
    <col min="5634" max="5634" width="11.28515625" style="437" customWidth="1"/>
    <col min="5635" max="5635" width="11" style="437" customWidth="1"/>
    <col min="5636" max="5636" width="13.140625" style="437" customWidth="1"/>
    <col min="5637" max="5637" width="11.7109375" style="437" customWidth="1"/>
    <col min="5638" max="5638" width="11.140625" style="437" customWidth="1"/>
    <col min="5639" max="5639" width="11.7109375" style="437" customWidth="1"/>
    <col min="5640" max="5885" width="9.140625" style="437"/>
    <col min="5886" max="5886" width="5.28515625" style="437" customWidth="1"/>
    <col min="5887" max="5887" width="8" style="437" customWidth="1"/>
    <col min="5888" max="5888" width="5.85546875" style="437" customWidth="1"/>
    <col min="5889" max="5889" width="9.42578125" style="437" customWidth="1"/>
    <col min="5890" max="5890" width="11.28515625" style="437" customWidth="1"/>
    <col min="5891" max="5891" width="11" style="437" customWidth="1"/>
    <col min="5892" max="5892" width="13.140625" style="437" customWidth="1"/>
    <col min="5893" max="5893" width="11.7109375" style="437" customWidth="1"/>
    <col min="5894" max="5894" width="11.140625" style="437" customWidth="1"/>
    <col min="5895" max="5895" width="11.7109375" style="437" customWidth="1"/>
    <col min="5896" max="6141" width="9.140625" style="437"/>
    <col min="6142" max="6142" width="5.28515625" style="437" customWidth="1"/>
    <col min="6143" max="6143" width="8" style="437" customWidth="1"/>
    <col min="6144" max="6144" width="5.85546875" style="437" customWidth="1"/>
    <col min="6145" max="6145" width="9.42578125" style="437" customWidth="1"/>
    <col min="6146" max="6146" width="11.28515625" style="437" customWidth="1"/>
    <col min="6147" max="6147" width="11" style="437" customWidth="1"/>
    <col min="6148" max="6148" width="13.140625" style="437" customWidth="1"/>
    <col min="6149" max="6149" width="11.7109375" style="437" customWidth="1"/>
    <col min="6150" max="6150" width="11.140625" style="437" customWidth="1"/>
    <col min="6151" max="6151" width="11.7109375" style="437" customWidth="1"/>
    <col min="6152" max="6397" width="9.140625" style="437"/>
    <col min="6398" max="6398" width="5.28515625" style="437" customWidth="1"/>
    <col min="6399" max="6399" width="8" style="437" customWidth="1"/>
    <col min="6400" max="6400" width="5.85546875" style="437" customWidth="1"/>
    <col min="6401" max="6401" width="9.42578125" style="437" customWidth="1"/>
    <col min="6402" max="6402" width="11.28515625" style="437" customWidth="1"/>
    <col min="6403" max="6403" width="11" style="437" customWidth="1"/>
    <col min="6404" max="6404" width="13.140625" style="437" customWidth="1"/>
    <col min="6405" max="6405" width="11.7109375" style="437" customWidth="1"/>
    <col min="6406" max="6406" width="11.140625" style="437" customWidth="1"/>
    <col min="6407" max="6407" width="11.7109375" style="437" customWidth="1"/>
    <col min="6408" max="6653" width="9.140625" style="437"/>
    <col min="6654" max="6654" width="5.28515625" style="437" customWidth="1"/>
    <col min="6655" max="6655" width="8" style="437" customWidth="1"/>
    <col min="6656" max="6656" width="5.85546875" style="437" customWidth="1"/>
    <col min="6657" max="6657" width="9.42578125" style="437" customWidth="1"/>
    <col min="6658" max="6658" width="11.28515625" style="437" customWidth="1"/>
    <col min="6659" max="6659" width="11" style="437" customWidth="1"/>
    <col min="6660" max="6660" width="13.140625" style="437" customWidth="1"/>
    <col min="6661" max="6661" width="11.7109375" style="437" customWidth="1"/>
    <col min="6662" max="6662" width="11.140625" style="437" customWidth="1"/>
    <col min="6663" max="6663" width="11.7109375" style="437" customWidth="1"/>
    <col min="6664" max="6909" width="9.140625" style="437"/>
    <col min="6910" max="6910" width="5.28515625" style="437" customWidth="1"/>
    <col min="6911" max="6911" width="8" style="437" customWidth="1"/>
    <col min="6912" max="6912" width="5.85546875" style="437" customWidth="1"/>
    <col min="6913" max="6913" width="9.42578125" style="437" customWidth="1"/>
    <col min="6914" max="6914" width="11.28515625" style="437" customWidth="1"/>
    <col min="6915" max="6915" width="11" style="437" customWidth="1"/>
    <col min="6916" max="6916" width="13.140625" style="437" customWidth="1"/>
    <col min="6917" max="6917" width="11.7109375" style="437" customWidth="1"/>
    <col min="6918" max="6918" width="11.140625" style="437" customWidth="1"/>
    <col min="6919" max="6919" width="11.7109375" style="437" customWidth="1"/>
    <col min="6920" max="7165" width="9.140625" style="437"/>
    <col min="7166" max="7166" width="5.28515625" style="437" customWidth="1"/>
    <col min="7167" max="7167" width="8" style="437" customWidth="1"/>
    <col min="7168" max="7168" width="5.85546875" style="437" customWidth="1"/>
    <col min="7169" max="7169" width="9.42578125" style="437" customWidth="1"/>
    <col min="7170" max="7170" width="11.28515625" style="437" customWidth="1"/>
    <col min="7171" max="7171" width="11" style="437" customWidth="1"/>
    <col min="7172" max="7172" width="13.140625" style="437" customWidth="1"/>
    <col min="7173" max="7173" width="11.7109375" style="437" customWidth="1"/>
    <col min="7174" max="7174" width="11.140625" style="437" customWidth="1"/>
    <col min="7175" max="7175" width="11.7109375" style="437" customWidth="1"/>
    <col min="7176" max="7421" width="9.140625" style="437"/>
    <col min="7422" max="7422" width="5.28515625" style="437" customWidth="1"/>
    <col min="7423" max="7423" width="8" style="437" customWidth="1"/>
    <col min="7424" max="7424" width="5.85546875" style="437" customWidth="1"/>
    <col min="7425" max="7425" width="9.42578125" style="437" customWidth="1"/>
    <col min="7426" max="7426" width="11.28515625" style="437" customWidth="1"/>
    <col min="7427" max="7427" width="11" style="437" customWidth="1"/>
    <col min="7428" max="7428" width="13.140625" style="437" customWidth="1"/>
    <col min="7429" max="7429" width="11.7109375" style="437" customWidth="1"/>
    <col min="7430" max="7430" width="11.140625" style="437" customWidth="1"/>
    <col min="7431" max="7431" width="11.7109375" style="437" customWidth="1"/>
    <col min="7432" max="7677" width="9.140625" style="437"/>
    <col min="7678" max="7678" width="5.28515625" style="437" customWidth="1"/>
    <col min="7679" max="7679" width="8" style="437" customWidth="1"/>
    <col min="7680" max="7680" width="5.85546875" style="437" customWidth="1"/>
    <col min="7681" max="7681" width="9.42578125" style="437" customWidth="1"/>
    <col min="7682" max="7682" width="11.28515625" style="437" customWidth="1"/>
    <col min="7683" max="7683" width="11" style="437" customWidth="1"/>
    <col min="7684" max="7684" width="13.140625" style="437" customWidth="1"/>
    <col min="7685" max="7685" width="11.7109375" style="437" customWidth="1"/>
    <col min="7686" max="7686" width="11.140625" style="437" customWidth="1"/>
    <col min="7687" max="7687" width="11.7109375" style="437" customWidth="1"/>
    <col min="7688" max="7933" width="9.140625" style="437"/>
    <col min="7934" max="7934" width="5.28515625" style="437" customWidth="1"/>
    <col min="7935" max="7935" width="8" style="437" customWidth="1"/>
    <col min="7936" max="7936" width="5.85546875" style="437" customWidth="1"/>
    <col min="7937" max="7937" width="9.42578125" style="437" customWidth="1"/>
    <col min="7938" max="7938" width="11.28515625" style="437" customWidth="1"/>
    <col min="7939" max="7939" width="11" style="437" customWidth="1"/>
    <col min="7940" max="7940" width="13.140625" style="437" customWidth="1"/>
    <col min="7941" max="7941" width="11.7109375" style="437" customWidth="1"/>
    <col min="7942" max="7942" width="11.140625" style="437" customWidth="1"/>
    <col min="7943" max="7943" width="11.7109375" style="437" customWidth="1"/>
    <col min="7944" max="8189" width="9.140625" style="437"/>
    <col min="8190" max="8190" width="5.28515625" style="437" customWidth="1"/>
    <col min="8191" max="8191" width="8" style="437" customWidth="1"/>
    <col min="8192" max="8192" width="5.85546875" style="437" customWidth="1"/>
    <col min="8193" max="8193" width="9.42578125" style="437" customWidth="1"/>
    <col min="8194" max="8194" width="11.28515625" style="437" customWidth="1"/>
    <col min="8195" max="8195" width="11" style="437" customWidth="1"/>
    <col min="8196" max="8196" width="13.140625" style="437" customWidth="1"/>
    <col min="8197" max="8197" width="11.7109375" style="437" customWidth="1"/>
    <col min="8198" max="8198" width="11.140625" style="437" customWidth="1"/>
    <col min="8199" max="8199" width="11.7109375" style="437" customWidth="1"/>
    <col min="8200" max="8445" width="9.140625" style="437"/>
    <col min="8446" max="8446" width="5.28515625" style="437" customWidth="1"/>
    <col min="8447" max="8447" width="8" style="437" customWidth="1"/>
    <col min="8448" max="8448" width="5.85546875" style="437" customWidth="1"/>
    <col min="8449" max="8449" width="9.42578125" style="437" customWidth="1"/>
    <col min="8450" max="8450" width="11.28515625" style="437" customWidth="1"/>
    <col min="8451" max="8451" width="11" style="437" customWidth="1"/>
    <col min="8452" max="8452" width="13.140625" style="437" customWidth="1"/>
    <col min="8453" max="8453" width="11.7109375" style="437" customWidth="1"/>
    <col min="8454" max="8454" width="11.140625" style="437" customWidth="1"/>
    <col min="8455" max="8455" width="11.7109375" style="437" customWidth="1"/>
    <col min="8456" max="8701" width="9.140625" style="437"/>
    <col min="8702" max="8702" width="5.28515625" style="437" customWidth="1"/>
    <col min="8703" max="8703" width="8" style="437" customWidth="1"/>
    <col min="8704" max="8704" width="5.85546875" style="437" customWidth="1"/>
    <col min="8705" max="8705" width="9.42578125" style="437" customWidth="1"/>
    <col min="8706" max="8706" width="11.28515625" style="437" customWidth="1"/>
    <col min="8707" max="8707" width="11" style="437" customWidth="1"/>
    <col min="8708" max="8708" width="13.140625" style="437" customWidth="1"/>
    <col min="8709" max="8709" width="11.7109375" style="437" customWidth="1"/>
    <col min="8710" max="8710" width="11.140625" style="437" customWidth="1"/>
    <col min="8711" max="8711" width="11.7109375" style="437" customWidth="1"/>
    <col min="8712" max="8957" width="9.140625" style="437"/>
    <col min="8958" max="8958" width="5.28515625" style="437" customWidth="1"/>
    <col min="8959" max="8959" width="8" style="437" customWidth="1"/>
    <col min="8960" max="8960" width="5.85546875" style="437" customWidth="1"/>
    <col min="8961" max="8961" width="9.42578125" style="437" customWidth="1"/>
    <col min="8962" max="8962" width="11.28515625" style="437" customWidth="1"/>
    <col min="8963" max="8963" width="11" style="437" customWidth="1"/>
    <col min="8964" max="8964" width="13.140625" style="437" customWidth="1"/>
    <col min="8965" max="8965" width="11.7109375" style="437" customWidth="1"/>
    <col min="8966" max="8966" width="11.140625" style="437" customWidth="1"/>
    <col min="8967" max="8967" width="11.7109375" style="437" customWidth="1"/>
    <col min="8968" max="9213" width="9.140625" style="437"/>
    <col min="9214" max="9214" width="5.28515625" style="437" customWidth="1"/>
    <col min="9215" max="9215" width="8" style="437" customWidth="1"/>
    <col min="9216" max="9216" width="5.85546875" style="437" customWidth="1"/>
    <col min="9217" max="9217" width="9.42578125" style="437" customWidth="1"/>
    <col min="9218" max="9218" width="11.28515625" style="437" customWidth="1"/>
    <col min="9219" max="9219" width="11" style="437" customWidth="1"/>
    <col min="9220" max="9220" width="13.140625" style="437" customWidth="1"/>
    <col min="9221" max="9221" width="11.7109375" style="437" customWidth="1"/>
    <col min="9222" max="9222" width="11.140625" style="437" customWidth="1"/>
    <col min="9223" max="9223" width="11.7109375" style="437" customWidth="1"/>
    <col min="9224" max="9469" width="9.140625" style="437"/>
    <col min="9470" max="9470" width="5.28515625" style="437" customWidth="1"/>
    <col min="9471" max="9471" width="8" style="437" customWidth="1"/>
    <col min="9472" max="9472" width="5.85546875" style="437" customWidth="1"/>
    <col min="9473" max="9473" width="9.42578125" style="437" customWidth="1"/>
    <col min="9474" max="9474" width="11.28515625" style="437" customWidth="1"/>
    <col min="9475" max="9475" width="11" style="437" customWidth="1"/>
    <col min="9476" max="9476" width="13.140625" style="437" customWidth="1"/>
    <col min="9477" max="9477" width="11.7109375" style="437" customWidth="1"/>
    <col min="9478" max="9478" width="11.140625" style="437" customWidth="1"/>
    <col min="9479" max="9479" width="11.7109375" style="437" customWidth="1"/>
    <col min="9480" max="9725" width="9.140625" style="437"/>
    <col min="9726" max="9726" width="5.28515625" style="437" customWidth="1"/>
    <col min="9727" max="9727" width="8" style="437" customWidth="1"/>
    <col min="9728" max="9728" width="5.85546875" style="437" customWidth="1"/>
    <col min="9729" max="9729" width="9.42578125" style="437" customWidth="1"/>
    <col min="9730" max="9730" width="11.28515625" style="437" customWidth="1"/>
    <col min="9731" max="9731" width="11" style="437" customWidth="1"/>
    <col min="9732" max="9732" width="13.140625" style="437" customWidth="1"/>
    <col min="9733" max="9733" width="11.7109375" style="437" customWidth="1"/>
    <col min="9734" max="9734" width="11.140625" style="437" customWidth="1"/>
    <col min="9735" max="9735" width="11.7109375" style="437" customWidth="1"/>
    <col min="9736" max="9981" width="9.140625" style="437"/>
    <col min="9982" max="9982" width="5.28515625" style="437" customWidth="1"/>
    <col min="9983" max="9983" width="8" style="437" customWidth="1"/>
    <col min="9984" max="9984" width="5.85546875" style="437" customWidth="1"/>
    <col min="9985" max="9985" width="9.42578125" style="437" customWidth="1"/>
    <col min="9986" max="9986" width="11.28515625" style="437" customWidth="1"/>
    <col min="9987" max="9987" width="11" style="437" customWidth="1"/>
    <col min="9988" max="9988" width="13.140625" style="437" customWidth="1"/>
    <col min="9989" max="9989" width="11.7109375" style="437" customWidth="1"/>
    <col min="9990" max="9990" width="11.140625" style="437" customWidth="1"/>
    <col min="9991" max="9991" width="11.7109375" style="437" customWidth="1"/>
    <col min="9992" max="10237" width="9.140625" style="437"/>
    <col min="10238" max="10238" width="5.28515625" style="437" customWidth="1"/>
    <col min="10239" max="10239" width="8" style="437" customWidth="1"/>
    <col min="10240" max="10240" width="5.85546875" style="437" customWidth="1"/>
    <col min="10241" max="10241" width="9.42578125" style="437" customWidth="1"/>
    <col min="10242" max="10242" width="11.28515625" style="437" customWidth="1"/>
    <col min="10243" max="10243" width="11" style="437" customWidth="1"/>
    <col min="10244" max="10244" width="13.140625" style="437" customWidth="1"/>
    <col min="10245" max="10245" width="11.7109375" style="437" customWidth="1"/>
    <col min="10246" max="10246" width="11.140625" style="437" customWidth="1"/>
    <col min="10247" max="10247" width="11.7109375" style="437" customWidth="1"/>
    <col min="10248" max="10493" width="9.140625" style="437"/>
    <col min="10494" max="10494" width="5.28515625" style="437" customWidth="1"/>
    <col min="10495" max="10495" width="8" style="437" customWidth="1"/>
    <col min="10496" max="10496" width="5.85546875" style="437" customWidth="1"/>
    <col min="10497" max="10497" width="9.42578125" style="437" customWidth="1"/>
    <col min="10498" max="10498" width="11.28515625" style="437" customWidth="1"/>
    <col min="10499" max="10499" width="11" style="437" customWidth="1"/>
    <col min="10500" max="10500" width="13.140625" style="437" customWidth="1"/>
    <col min="10501" max="10501" width="11.7109375" style="437" customWidth="1"/>
    <col min="10502" max="10502" width="11.140625" style="437" customWidth="1"/>
    <col min="10503" max="10503" width="11.7109375" style="437" customWidth="1"/>
    <col min="10504" max="10749" width="9.140625" style="437"/>
    <col min="10750" max="10750" width="5.28515625" style="437" customWidth="1"/>
    <col min="10751" max="10751" width="8" style="437" customWidth="1"/>
    <col min="10752" max="10752" width="5.85546875" style="437" customWidth="1"/>
    <col min="10753" max="10753" width="9.42578125" style="437" customWidth="1"/>
    <col min="10754" max="10754" width="11.28515625" style="437" customWidth="1"/>
    <col min="10755" max="10755" width="11" style="437" customWidth="1"/>
    <col min="10756" max="10756" width="13.140625" style="437" customWidth="1"/>
    <col min="10757" max="10757" width="11.7109375" style="437" customWidth="1"/>
    <col min="10758" max="10758" width="11.140625" style="437" customWidth="1"/>
    <col min="10759" max="10759" width="11.7109375" style="437" customWidth="1"/>
    <col min="10760" max="11005" width="9.140625" style="437"/>
    <col min="11006" max="11006" width="5.28515625" style="437" customWidth="1"/>
    <col min="11007" max="11007" width="8" style="437" customWidth="1"/>
    <col min="11008" max="11008" width="5.85546875" style="437" customWidth="1"/>
    <col min="11009" max="11009" width="9.42578125" style="437" customWidth="1"/>
    <col min="11010" max="11010" width="11.28515625" style="437" customWidth="1"/>
    <col min="11011" max="11011" width="11" style="437" customWidth="1"/>
    <col min="11012" max="11012" width="13.140625" style="437" customWidth="1"/>
    <col min="11013" max="11013" width="11.7109375" style="437" customWidth="1"/>
    <col min="11014" max="11014" width="11.140625" style="437" customWidth="1"/>
    <col min="11015" max="11015" width="11.7109375" style="437" customWidth="1"/>
    <col min="11016" max="11261" width="9.140625" style="437"/>
    <col min="11262" max="11262" width="5.28515625" style="437" customWidth="1"/>
    <col min="11263" max="11263" width="8" style="437" customWidth="1"/>
    <col min="11264" max="11264" width="5.85546875" style="437" customWidth="1"/>
    <col min="11265" max="11265" width="9.42578125" style="437" customWidth="1"/>
    <col min="11266" max="11266" width="11.28515625" style="437" customWidth="1"/>
    <col min="11267" max="11267" width="11" style="437" customWidth="1"/>
    <col min="11268" max="11268" width="13.140625" style="437" customWidth="1"/>
    <col min="11269" max="11269" width="11.7109375" style="437" customWidth="1"/>
    <col min="11270" max="11270" width="11.140625" style="437" customWidth="1"/>
    <col min="11271" max="11271" width="11.7109375" style="437" customWidth="1"/>
    <col min="11272" max="11517" width="9.140625" style="437"/>
    <col min="11518" max="11518" width="5.28515625" style="437" customWidth="1"/>
    <col min="11519" max="11519" width="8" style="437" customWidth="1"/>
    <col min="11520" max="11520" width="5.85546875" style="437" customWidth="1"/>
    <col min="11521" max="11521" width="9.42578125" style="437" customWidth="1"/>
    <col min="11522" max="11522" width="11.28515625" style="437" customWidth="1"/>
    <col min="11523" max="11523" width="11" style="437" customWidth="1"/>
    <col min="11524" max="11524" width="13.140625" style="437" customWidth="1"/>
    <col min="11525" max="11525" width="11.7109375" style="437" customWidth="1"/>
    <col min="11526" max="11526" width="11.140625" style="437" customWidth="1"/>
    <col min="11527" max="11527" width="11.7109375" style="437" customWidth="1"/>
    <col min="11528" max="11773" width="9.140625" style="437"/>
    <col min="11774" max="11774" width="5.28515625" style="437" customWidth="1"/>
    <col min="11775" max="11775" width="8" style="437" customWidth="1"/>
    <col min="11776" max="11776" width="5.85546875" style="437" customWidth="1"/>
    <col min="11777" max="11777" width="9.42578125" style="437" customWidth="1"/>
    <col min="11778" max="11778" width="11.28515625" style="437" customWidth="1"/>
    <col min="11779" max="11779" width="11" style="437" customWidth="1"/>
    <col min="11780" max="11780" width="13.140625" style="437" customWidth="1"/>
    <col min="11781" max="11781" width="11.7109375" style="437" customWidth="1"/>
    <col min="11782" max="11782" width="11.140625" style="437" customWidth="1"/>
    <col min="11783" max="11783" width="11.7109375" style="437" customWidth="1"/>
    <col min="11784" max="12029" width="9.140625" style="437"/>
    <col min="12030" max="12030" width="5.28515625" style="437" customWidth="1"/>
    <col min="12031" max="12031" width="8" style="437" customWidth="1"/>
    <col min="12032" max="12032" width="5.85546875" style="437" customWidth="1"/>
    <col min="12033" max="12033" width="9.42578125" style="437" customWidth="1"/>
    <col min="12034" max="12034" width="11.28515625" style="437" customWidth="1"/>
    <col min="12035" max="12035" width="11" style="437" customWidth="1"/>
    <col min="12036" max="12036" width="13.140625" style="437" customWidth="1"/>
    <col min="12037" max="12037" width="11.7109375" style="437" customWidth="1"/>
    <col min="12038" max="12038" width="11.140625" style="437" customWidth="1"/>
    <col min="12039" max="12039" width="11.7109375" style="437" customWidth="1"/>
    <col min="12040" max="12285" width="9.140625" style="437"/>
    <col min="12286" max="12286" width="5.28515625" style="437" customWidth="1"/>
    <col min="12287" max="12287" width="8" style="437" customWidth="1"/>
    <col min="12288" max="12288" width="5.85546875" style="437" customWidth="1"/>
    <col min="12289" max="12289" width="9.42578125" style="437" customWidth="1"/>
    <col min="12290" max="12290" width="11.28515625" style="437" customWidth="1"/>
    <col min="12291" max="12291" width="11" style="437" customWidth="1"/>
    <col min="12292" max="12292" width="13.140625" style="437" customWidth="1"/>
    <col min="12293" max="12293" width="11.7109375" style="437" customWidth="1"/>
    <col min="12294" max="12294" width="11.140625" style="437" customWidth="1"/>
    <col min="12295" max="12295" width="11.7109375" style="437" customWidth="1"/>
    <col min="12296" max="12541" width="9.140625" style="437"/>
    <col min="12542" max="12542" width="5.28515625" style="437" customWidth="1"/>
    <col min="12543" max="12543" width="8" style="437" customWidth="1"/>
    <col min="12544" max="12544" width="5.85546875" style="437" customWidth="1"/>
    <col min="12545" max="12545" width="9.42578125" style="437" customWidth="1"/>
    <col min="12546" max="12546" width="11.28515625" style="437" customWidth="1"/>
    <col min="12547" max="12547" width="11" style="437" customWidth="1"/>
    <col min="12548" max="12548" width="13.140625" style="437" customWidth="1"/>
    <col min="12549" max="12549" width="11.7109375" style="437" customWidth="1"/>
    <col min="12550" max="12550" width="11.140625" style="437" customWidth="1"/>
    <col min="12551" max="12551" width="11.7109375" style="437" customWidth="1"/>
    <col min="12552" max="12797" width="9.140625" style="437"/>
    <col min="12798" max="12798" width="5.28515625" style="437" customWidth="1"/>
    <col min="12799" max="12799" width="8" style="437" customWidth="1"/>
    <col min="12800" max="12800" width="5.85546875" style="437" customWidth="1"/>
    <col min="12801" max="12801" width="9.42578125" style="437" customWidth="1"/>
    <col min="12802" max="12802" width="11.28515625" style="437" customWidth="1"/>
    <col min="12803" max="12803" width="11" style="437" customWidth="1"/>
    <col min="12804" max="12804" width="13.140625" style="437" customWidth="1"/>
    <col min="12805" max="12805" width="11.7109375" style="437" customWidth="1"/>
    <col min="12806" max="12806" width="11.140625" style="437" customWidth="1"/>
    <col min="12807" max="12807" width="11.7109375" style="437" customWidth="1"/>
    <col min="12808" max="13053" width="9.140625" style="437"/>
    <col min="13054" max="13054" width="5.28515625" style="437" customWidth="1"/>
    <col min="13055" max="13055" width="8" style="437" customWidth="1"/>
    <col min="13056" max="13056" width="5.85546875" style="437" customWidth="1"/>
    <col min="13057" max="13057" width="9.42578125" style="437" customWidth="1"/>
    <col min="13058" max="13058" width="11.28515625" style="437" customWidth="1"/>
    <col min="13059" max="13059" width="11" style="437" customWidth="1"/>
    <col min="13060" max="13060" width="13.140625" style="437" customWidth="1"/>
    <col min="13061" max="13061" width="11.7109375" style="437" customWidth="1"/>
    <col min="13062" max="13062" width="11.140625" style="437" customWidth="1"/>
    <col min="13063" max="13063" width="11.7109375" style="437" customWidth="1"/>
    <col min="13064" max="13309" width="9.140625" style="437"/>
    <col min="13310" max="13310" width="5.28515625" style="437" customWidth="1"/>
    <col min="13311" max="13311" width="8" style="437" customWidth="1"/>
    <col min="13312" max="13312" width="5.85546875" style="437" customWidth="1"/>
    <col min="13313" max="13313" width="9.42578125" style="437" customWidth="1"/>
    <col min="13314" max="13314" width="11.28515625" style="437" customWidth="1"/>
    <col min="13315" max="13315" width="11" style="437" customWidth="1"/>
    <col min="13316" max="13316" width="13.140625" style="437" customWidth="1"/>
    <col min="13317" max="13317" width="11.7109375" style="437" customWidth="1"/>
    <col min="13318" max="13318" width="11.140625" style="437" customWidth="1"/>
    <col min="13319" max="13319" width="11.7109375" style="437" customWidth="1"/>
    <col min="13320" max="13565" width="9.140625" style="437"/>
    <col min="13566" max="13566" width="5.28515625" style="437" customWidth="1"/>
    <col min="13567" max="13567" width="8" style="437" customWidth="1"/>
    <col min="13568" max="13568" width="5.85546875" style="437" customWidth="1"/>
    <col min="13569" max="13569" width="9.42578125" style="437" customWidth="1"/>
    <col min="13570" max="13570" width="11.28515625" style="437" customWidth="1"/>
    <col min="13571" max="13571" width="11" style="437" customWidth="1"/>
    <col min="13572" max="13572" width="13.140625" style="437" customWidth="1"/>
    <col min="13573" max="13573" width="11.7109375" style="437" customWidth="1"/>
    <col min="13574" max="13574" width="11.140625" style="437" customWidth="1"/>
    <col min="13575" max="13575" width="11.7109375" style="437" customWidth="1"/>
    <col min="13576" max="13821" width="9.140625" style="437"/>
    <col min="13822" max="13822" width="5.28515625" style="437" customWidth="1"/>
    <col min="13823" max="13823" width="8" style="437" customWidth="1"/>
    <col min="13824" max="13824" width="5.85546875" style="437" customWidth="1"/>
    <col min="13825" max="13825" width="9.42578125" style="437" customWidth="1"/>
    <col min="13826" max="13826" width="11.28515625" style="437" customWidth="1"/>
    <col min="13827" max="13827" width="11" style="437" customWidth="1"/>
    <col min="13828" max="13828" width="13.140625" style="437" customWidth="1"/>
    <col min="13829" max="13829" width="11.7109375" style="437" customWidth="1"/>
    <col min="13830" max="13830" width="11.140625" style="437" customWidth="1"/>
    <col min="13831" max="13831" width="11.7109375" style="437" customWidth="1"/>
    <col min="13832" max="14077" width="9.140625" style="437"/>
    <col min="14078" max="14078" width="5.28515625" style="437" customWidth="1"/>
    <col min="14079" max="14079" width="8" style="437" customWidth="1"/>
    <col min="14080" max="14080" width="5.85546875" style="437" customWidth="1"/>
    <col min="14081" max="14081" width="9.42578125" style="437" customWidth="1"/>
    <col min="14082" max="14082" width="11.28515625" style="437" customWidth="1"/>
    <col min="14083" max="14083" width="11" style="437" customWidth="1"/>
    <col min="14084" max="14084" width="13.140625" style="437" customWidth="1"/>
    <col min="14085" max="14085" width="11.7109375" style="437" customWidth="1"/>
    <col min="14086" max="14086" width="11.140625" style="437" customWidth="1"/>
    <col min="14087" max="14087" width="11.7109375" style="437" customWidth="1"/>
    <col min="14088" max="14333" width="9.140625" style="437"/>
    <col min="14334" max="14334" width="5.28515625" style="437" customWidth="1"/>
    <col min="14335" max="14335" width="8" style="437" customWidth="1"/>
    <col min="14336" max="14336" width="5.85546875" style="437" customWidth="1"/>
    <col min="14337" max="14337" width="9.42578125" style="437" customWidth="1"/>
    <col min="14338" max="14338" width="11.28515625" style="437" customWidth="1"/>
    <col min="14339" max="14339" width="11" style="437" customWidth="1"/>
    <col min="14340" max="14340" width="13.140625" style="437" customWidth="1"/>
    <col min="14341" max="14341" width="11.7109375" style="437" customWidth="1"/>
    <col min="14342" max="14342" width="11.140625" style="437" customWidth="1"/>
    <col min="14343" max="14343" width="11.7109375" style="437" customWidth="1"/>
    <col min="14344" max="14589" width="9.140625" style="437"/>
    <col min="14590" max="14590" width="5.28515625" style="437" customWidth="1"/>
    <col min="14591" max="14591" width="8" style="437" customWidth="1"/>
    <col min="14592" max="14592" width="5.85546875" style="437" customWidth="1"/>
    <col min="14593" max="14593" width="9.42578125" style="437" customWidth="1"/>
    <col min="14594" max="14594" width="11.28515625" style="437" customWidth="1"/>
    <col min="14595" max="14595" width="11" style="437" customWidth="1"/>
    <col min="14596" max="14596" width="13.140625" style="437" customWidth="1"/>
    <col min="14597" max="14597" width="11.7109375" style="437" customWidth="1"/>
    <col min="14598" max="14598" width="11.140625" style="437" customWidth="1"/>
    <col min="14599" max="14599" width="11.7109375" style="437" customWidth="1"/>
    <col min="14600" max="14845" width="9.140625" style="437"/>
    <col min="14846" max="14846" width="5.28515625" style="437" customWidth="1"/>
    <col min="14847" max="14847" width="8" style="437" customWidth="1"/>
    <col min="14848" max="14848" width="5.85546875" style="437" customWidth="1"/>
    <col min="14849" max="14849" width="9.42578125" style="437" customWidth="1"/>
    <col min="14850" max="14850" width="11.28515625" style="437" customWidth="1"/>
    <col min="14851" max="14851" width="11" style="437" customWidth="1"/>
    <col min="14852" max="14852" width="13.140625" style="437" customWidth="1"/>
    <col min="14853" max="14853" width="11.7109375" style="437" customWidth="1"/>
    <col min="14854" max="14854" width="11.140625" style="437" customWidth="1"/>
    <col min="14855" max="14855" width="11.7109375" style="437" customWidth="1"/>
    <col min="14856" max="15101" width="9.140625" style="437"/>
    <col min="15102" max="15102" width="5.28515625" style="437" customWidth="1"/>
    <col min="15103" max="15103" width="8" style="437" customWidth="1"/>
    <col min="15104" max="15104" width="5.85546875" style="437" customWidth="1"/>
    <col min="15105" max="15105" width="9.42578125" style="437" customWidth="1"/>
    <col min="15106" max="15106" width="11.28515625" style="437" customWidth="1"/>
    <col min="15107" max="15107" width="11" style="437" customWidth="1"/>
    <col min="15108" max="15108" width="13.140625" style="437" customWidth="1"/>
    <col min="15109" max="15109" width="11.7109375" style="437" customWidth="1"/>
    <col min="15110" max="15110" width="11.140625" style="437" customWidth="1"/>
    <col min="15111" max="15111" width="11.7109375" style="437" customWidth="1"/>
    <col min="15112" max="15357" width="9.140625" style="437"/>
    <col min="15358" max="15358" width="5.28515625" style="437" customWidth="1"/>
    <col min="15359" max="15359" width="8" style="437" customWidth="1"/>
    <col min="15360" max="15360" width="5.85546875" style="437" customWidth="1"/>
    <col min="15361" max="15361" width="9.42578125" style="437" customWidth="1"/>
    <col min="15362" max="15362" width="11.28515625" style="437" customWidth="1"/>
    <col min="15363" max="15363" width="11" style="437" customWidth="1"/>
    <col min="15364" max="15364" width="13.140625" style="437" customWidth="1"/>
    <col min="15365" max="15365" width="11.7109375" style="437" customWidth="1"/>
    <col min="15366" max="15366" width="11.140625" style="437" customWidth="1"/>
    <col min="15367" max="15367" width="11.7109375" style="437" customWidth="1"/>
    <col min="15368" max="15613" width="9.140625" style="437"/>
    <col min="15614" max="15614" width="5.28515625" style="437" customWidth="1"/>
    <col min="15615" max="15615" width="8" style="437" customWidth="1"/>
    <col min="15616" max="15616" width="5.85546875" style="437" customWidth="1"/>
    <col min="15617" max="15617" width="9.42578125" style="437" customWidth="1"/>
    <col min="15618" max="15618" width="11.28515625" style="437" customWidth="1"/>
    <col min="15619" max="15619" width="11" style="437" customWidth="1"/>
    <col min="15620" max="15620" width="13.140625" style="437" customWidth="1"/>
    <col min="15621" max="15621" width="11.7109375" style="437" customWidth="1"/>
    <col min="15622" max="15622" width="11.140625" style="437" customWidth="1"/>
    <col min="15623" max="15623" width="11.7109375" style="437" customWidth="1"/>
    <col min="15624" max="15869" width="9.140625" style="437"/>
    <col min="15870" max="15870" width="5.28515625" style="437" customWidth="1"/>
    <col min="15871" max="15871" width="8" style="437" customWidth="1"/>
    <col min="15872" max="15872" width="5.85546875" style="437" customWidth="1"/>
    <col min="15873" max="15873" width="9.42578125" style="437" customWidth="1"/>
    <col min="15874" max="15874" width="11.28515625" style="437" customWidth="1"/>
    <col min="15875" max="15875" width="11" style="437" customWidth="1"/>
    <col min="15876" max="15876" width="13.140625" style="437" customWidth="1"/>
    <col min="15877" max="15877" width="11.7109375" style="437" customWidth="1"/>
    <col min="15878" max="15878" width="11.140625" style="437" customWidth="1"/>
    <col min="15879" max="15879" width="11.7109375" style="437" customWidth="1"/>
    <col min="15880" max="16125" width="9.140625" style="437"/>
    <col min="16126" max="16126" width="5.28515625" style="437" customWidth="1"/>
    <col min="16127" max="16127" width="8" style="437" customWidth="1"/>
    <col min="16128" max="16128" width="5.85546875" style="437" customWidth="1"/>
    <col min="16129" max="16129" width="9.42578125" style="437" customWidth="1"/>
    <col min="16130" max="16130" width="11.28515625" style="437" customWidth="1"/>
    <col min="16131" max="16131" width="11" style="437" customWidth="1"/>
    <col min="16132" max="16132" width="13.140625" style="437" customWidth="1"/>
    <col min="16133" max="16133" width="11.7109375" style="437" customWidth="1"/>
    <col min="16134" max="16134" width="11.140625" style="437" customWidth="1"/>
    <col min="16135" max="16135" width="11.7109375" style="437" customWidth="1"/>
    <col min="16136" max="16384" width="9.140625" style="437"/>
  </cols>
  <sheetData>
    <row r="1" spans="1:72" ht="12.75" customHeight="1" x14ac:dyDescent="0.25">
      <c r="A1" s="351"/>
      <c r="F1" s="3" t="s">
        <v>468</v>
      </c>
    </row>
    <row r="2" spans="1:72" ht="12.75" customHeight="1" x14ac:dyDescent="0.25">
      <c r="F2" s="3" t="s">
        <v>258</v>
      </c>
    </row>
    <row r="3" spans="1:72" ht="12.75" customHeight="1" x14ac:dyDescent="0.25">
      <c r="F3" s="3" t="s">
        <v>1</v>
      </c>
    </row>
    <row r="4" spans="1:72" ht="12.75" customHeight="1" x14ac:dyDescent="0.25">
      <c r="F4" s="3" t="s">
        <v>259</v>
      </c>
    </row>
    <row r="5" spans="1:72" ht="12.75" customHeight="1" x14ac:dyDescent="0.25"/>
    <row r="6" spans="1:72" ht="13.5" customHeight="1" x14ac:dyDescent="0.25">
      <c r="A6" s="324" t="s">
        <v>469</v>
      </c>
      <c r="B6" s="324"/>
      <c r="C6" s="324"/>
      <c r="D6" s="324"/>
      <c r="E6" s="324"/>
      <c r="F6" s="324"/>
      <c r="G6" s="324"/>
      <c r="J6" s="1"/>
    </row>
    <row r="7" spans="1:72" ht="12.75" customHeight="1" x14ac:dyDescent="0.25">
      <c r="A7" s="324" t="s">
        <v>470</v>
      </c>
      <c r="B7" s="352"/>
      <c r="C7" s="352"/>
      <c r="D7" s="352"/>
      <c r="E7" s="352"/>
      <c r="F7" s="352"/>
      <c r="G7" s="352"/>
      <c r="J7" s="1"/>
    </row>
    <row r="8" spans="1:72" ht="9" customHeight="1" x14ac:dyDescent="0.25">
      <c r="A8" s="353"/>
      <c r="B8" s="354"/>
      <c r="C8" s="354"/>
      <c r="D8" s="354"/>
      <c r="E8" s="354"/>
      <c r="F8" s="354"/>
      <c r="G8" s="354"/>
      <c r="J8" s="1"/>
    </row>
    <row r="9" spans="1:72" ht="11.25" customHeight="1" x14ac:dyDescent="0.25">
      <c r="G9" s="355" t="s">
        <v>3</v>
      </c>
    </row>
    <row r="10" spans="1:72" s="359" customFormat="1" ht="36.75" customHeight="1" x14ac:dyDescent="0.2">
      <c r="A10" s="356" t="s">
        <v>270</v>
      </c>
      <c r="B10" s="356" t="s">
        <v>314</v>
      </c>
      <c r="C10" s="356" t="s">
        <v>471</v>
      </c>
      <c r="D10" s="356" t="s">
        <v>303</v>
      </c>
      <c r="E10" s="357" t="s">
        <v>7</v>
      </c>
      <c r="F10" s="357" t="s">
        <v>472</v>
      </c>
      <c r="G10" s="357" t="s">
        <v>473</v>
      </c>
      <c r="H10" s="358"/>
      <c r="I10" s="358"/>
      <c r="J10" s="358"/>
      <c r="K10" s="358"/>
      <c r="L10" s="358"/>
      <c r="M10" s="358"/>
      <c r="N10" s="358"/>
      <c r="O10" s="358"/>
      <c r="P10" s="358"/>
      <c r="Q10" s="358"/>
      <c r="R10" s="358"/>
      <c r="S10" s="358"/>
      <c r="T10" s="358"/>
      <c r="U10" s="358"/>
      <c r="V10" s="358"/>
      <c r="W10" s="358"/>
      <c r="X10" s="358"/>
      <c r="Y10" s="358"/>
      <c r="Z10" s="358"/>
      <c r="AA10" s="358"/>
      <c r="AB10" s="358"/>
      <c r="AC10" s="358"/>
      <c r="AD10" s="358"/>
      <c r="AE10" s="358"/>
      <c r="AF10" s="358"/>
      <c r="AG10" s="358"/>
      <c r="AH10" s="358"/>
      <c r="AI10" s="358"/>
      <c r="AJ10" s="358"/>
      <c r="AK10" s="358"/>
      <c r="AL10" s="358"/>
      <c r="AM10" s="358"/>
      <c r="AN10" s="358"/>
      <c r="AO10" s="358"/>
      <c r="AP10" s="358"/>
      <c r="AQ10" s="358"/>
      <c r="AR10" s="358"/>
      <c r="AS10" s="358"/>
      <c r="AT10" s="358"/>
      <c r="AU10" s="358"/>
      <c r="AV10" s="358"/>
      <c r="AW10" s="358"/>
      <c r="AX10" s="358"/>
      <c r="AY10" s="358"/>
      <c r="AZ10" s="358"/>
      <c r="BA10" s="358"/>
      <c r="BB10" s="358"/>
      <c r="BC10" s="358"/>
      <c r="BD10" s="358"/>
      <c r="BE10" s="358"/>
      <c r="BF10" s="358"/>
      <c r="BG10" s="358"/>
      <c r="BH10" s="358"/>
      <c r="BI10" s="358"/>
      <c r="BJ10" s="358"/>
      <c r="BK10" s="358"/>
      <c r="BL10" s="358"/>
      <c r="BM10" s="358"/>
      <c r="BN10" s="358"/>
      <c r="BO10" s="358"/>
      <c r="BP10" s="358"/>
      <c r="BQ10" s="358"/>
      <c r="BR10" s="358"/>
      <c r="BS10" s="358"/>
      <c r="BT10" s="358"/>
    </row>
    <row r="11" spans="1:72" s="362" customFormat="1" ht="10.5" customHeight="1" x14ac:dyDescent="0.2">
      <c r="A11" s="360">
        <v>1</v>
      </c>
      <c r="B11" s="360">
        <v>2</v>
      </c>
      <c r="C11" s="360">
        <v>3</v>
      </c>
      <c r="D11" s="360">
        <v>4</v>
      </c>
      <c r="E11" s="360">
        <v>5</v>
      </c>
      <c r="F11" s="360">
        <v>6</v>
      </c>
      <c r="G11" s="360">
        <v>7</v>
      </c>
      <c r="H11" s="361"/>
      <c r="I11" s="361"/>
      <c r="J11" s="361"/>
      <c r="K11" s="361"/>
      <c r="L11" s="361"/>
      <c r="M11" s="361"/>
      <c r="N11" s="361"/>
      <c r="O11" s="361"/>
      <c r="P11" s="361"/>
      <c r="Q11" s="361"/>
      <c r="R11" s="361"/>
      <c r="S11" s="361"/>
      <c r="T11" s="361"/>
      <c r="U11" s="361"/>
      <c r="V11" s="361"/>
      <c r="W11" s="361"/>
      <c r="X11" s="361"/>
      <c r="Y11" s="361"/>
      <c r="Z11" s="361"/>
      <c r="AA11" s="361"/>
      <c r="AB11" s="361"/>
      <c r="AC11" s="361"/>
      <c r="AD11" s="361"/>
      <c r="AE11" s="361"/>
      <c r="AF11" s="361"/>
      <c r="AG11" s="361"/>
      <c r="AH11" s="361"/>
      <c r="AI11" s="361"/>
      <c r="AJ11" s="361"/>
      <c r="AK11" s="361"/>
      <c r="AL11" s="361"/>
      <c r="AM11" s="361"/>
      <c r="AN11" s="361"/>
      <c r="AO11" s="361"/>
      <c r="AP11" s="361"/>
      <c r="AQ11" s="361"/>
      <c r="AR11" s="361"/>
      <c r="AS11" s="361"/>
      <c r="AT11" s="361"/>
      <c r="AU11" s="361"/>
      <c r="AV11" s="361"/>
      <c r="AW11" s="361"/>
      <c r="AX11" s="361"/>
      <c r="AY11" s="361"/>
      <c r="AZ11" s="361"/>
      <c r="BA11" s="361"/>
      <c r="BB11" s="361"/>
      <c r="BC11" s="361"/>
      <c r="BD11" s="361"/>
      <c r="BE11" s="361"/>
      <c r="BF11" s="361"/>
      <c r="BG11" s="361"/>
      <c r="BH11" s="361"/>
      <c r="BI11" s="361"/>
      <c r="BJ11" s="361"/>
      <c r="BK11" s="361"/>
      <c r="BL11" s="361"/>
      <c r="BM11" s="361"/>
      <c r="BN11" s="361"/>
      <c r="BO11" s="361"/>
      <c r="BP11" s="361"/>
      <c r="BQ11" s="361"/>
      <c r="BR11" s="361"/>
      <c r="BS11" s="361"/>
      <c r="BT11" s="361"/>
    </row>
    <row r="12" spans="1:72" s="458" customFormat="1" ht="15.75" customHeight="1" x14ac:dyDescent="0.2">
      <c r="A12" s="363"/>
      <c r="B12" s="364"/>
      <c r="C12" s="365"/>
      <c r="D12" s="365"/>
      <c r="E12" s="366" t="s">
        <v>25</v>
      </c>
      <c r="F12" s="367">
        <f>5350+9150+36625</f>
        <v>51125</v>
      </c>
      <c r="G12" s="368" t="s">
        <v>474</v>
      </c>
      <c r="H12" s="350"/>
      <c r="I12" s="350"/>
      <c r="J12" s="350"/>
      <c r="K12" s="350"/>
      <c r="L12" s="350"/>
      <c r="M12" s="350"/>
      <c r="N12" s="350"/>
      <c r="O12" s="350"/>
      <c r="P12" s="350"/>
      <c r="Q12" s="350"/>
      <c r="R12" s="350"/>
      <c r="S12" s="350"/>
      <c r="T12" s="350"/>
      <c r="U12" s="350"/>
      <c r="V12" s="350"/>
      <c r="W12" s="350"/>
      <c r="X12" s="350"/>
      <c r="Y12" s="350"/>
      <c r="Z12" s="350"/>
      <c r="AA12" s="350"/>
      <c r="AB12" s="350"/>
      <c r="AC12" s="350"/>
      <c r="AD12" s="350"/>
      <c r="AE12" s="350"/>
      <c r="AF12" s="350"/>
      <c r="AG12" s="350"/>
      <c r="AH12" s="350"/>
      <c r="AI12" s="350"/>
      <c r="AJ12" s="350"/>
      <c r="AK12" s="350"/>
      <c r="AL12" s="350"/>
      <c r="AM12" s="350"/>
      <c r="AN12" s="350"/>
      <c r="AO12" s="350"/>
      <c r="AP12" s="350"/>
      <c r="AQ12" s="350"/>
      <c r="AR12" s="350"/>
      <c r="AS12" s="350"/>
      <c r="AT12" s="350"/>
      <c r="AU12" s="350"/>
      <c r="AV12" s="350"/>
      <c r="AW12" s="350"/>
      <c r="AX12" s="350"/>
      <c r="AY12" s="350"/>
      <c r="AZ12" s="350"/>
      <c r="BA12" s="350"/>
      <c r="BB12" s="350"/>
      <c r="BC12" s="350"/>
      <c r="BD12" s="350"/>
      <c r="BE12" s="350"/>
      <c r="BF12" s="350"/>
      <c r="BG12" s="350"/>
      <c r="BH12" s="350"/>
      <c r="BI12" s="350"/>
      <c r="BJ12" s="350"/>
      <c r="BK12" s="350"/>
      <c r="BL12" s="350"/>
      <c r="BM12" s="350"/>
      <c r="BN12" s="350"/>
      <c r="BO12" s="350"/>
      <c r="BP12" s="350"/>
      <c r="BQ12" s="350"/>
      <c r="BR12" s="350"/>
      <c r="BS12" s="350"/>
      <c r="BT12" s="350"/>
    </row>
    <row r="13" spans="1:72" s="458" customFormat="1" ht="24" x14ac:dyDescent="0.2">
      <c r="A13" s="369" t="s">
        <v>451</v>
      </c>
      <c r="B13" s="370" t="s">
        <v>475</v>
      </c>
      <c r="C13" s="365" t="s">
        <v>180</v>
      </c>
      <c r="D13" s="365" t="s">
        <v>476</v>
      </c>
      <c r="E13" s="371" t="s">
        <v>474</v>
      </c>
      <c r="F13" s="372" t="s">
        <v>474</v>
      </c>
      <c r="G13" s="373">
        <f>SUM(G15)</f>
        <v>51125</v>
      </c>
      <c r="H13" s="350"/>
      <c r="I13" s="350"/>
      <c r="J13" s="350"/>
      <c r="K13" s="350"/>
      <c r="L13" s="350"/>
      <c r="M13" s="350"/>
      <c r="N13" s="350"/>
      <c r="O13" s="350"/>
      <c r="P13" s="350"/>
      <c r="Q13" s="350"/>
      <c r="R13" s="350"/>
      <c r="S13" s="350"/>
      <c r="T13" s="350"/>
      <c r="U13" s="350"/>
      <c r="V13" s="350"/>
      <c r="W13" s="350"/>
      <c r="X13" s="350"/>
      <c r="Y13" s="350"/>
      <c r="Z13" s="350"/>
      <c r="AA13" s="350"/>
      <c r="AB13" s="350"/>
      <c r="AC13" s="350"/>
      <c r="AD13" s="350"/>
      <c r="AE13" s="350"/>
      <c r="AF13" s="350"/>
      <c r="AG13" s="350"/>
      <c r="AH13" s="350"/>
      <c r="AI13" s="350"/>
      <c r="AJ13" s="350"/>
      <c r="AK13" s="350"/>
      <c r="AL13" s="350"/>
      <c r="AM13" s="350"/>
      <c r="AN13" s="350"/>
      <c r="AO13" s="350"/>
      <c r="AP13" s="350"/>
      <c r="AQ13" s="350"/>
      <c r="AR13" s="350"/>
      <c r="AS13" s="350"/>
      <c r="AT13" s="350"/>
      <c r="AU13" s="350"/>
      <c r="AV13" s="350"/>
      <c r="AW13" s="350"/>
      <c r="AX13" s="350"/>
      <c r="AY13" s="350"/>
      <c r="AZ13" s="350"/>
      <c r="BA13" s="350"/>
      <c r="BB13" s="350"/>
      <c r="BC13" s="350"/>
      <c r="BD13" s="350"/>
      <c r="BE13" s="350"/>
      <c r="BF13" s="350"/>
      <c r="BG13" s="350"/>
      <c r="BH13" s="350"/>
      <c r="BI13" s="350"/>
      <c r="BJ13" s="350"/>
      <c r="BK13" s="350"/>
      <c r="BL13" s="350"/>
      <c r="BM13" s="350"/>
      <c r="BN13" s="350"/>
      <c r="BO13" s="350"/>
      <c r="BP13" s="350"/>
      <c r="BQ13" s="350"/>
      <c r="BR13" s="350"/>
      <c r="BS13" s="350"/>
      <c r="BT13" s="350"/>
    </row>
    <row r="14" spans="1:72" s="458" customFormat="1" ht="9" customHeight="1" x14ac:dyDescent="0.2">
      <c r="A14" s="363"/>
      <c r="B14" s="374"/>
      <c r="C14" s="365"/>
      <c r="D14" s="365"/>
      <c r="E14" s="365"/>
      <c r="F14" s="375"/>
      <c r="G14" s="459"/>
      <c r="H14" s="350"/>
      <c r="I14" s="350"/>
      <c r="J14" s="350"/>
      <c r="K14" s="350"/>
      <c r="L14" s="350"/>
      <c r="M14" s="350"/>
      <c r="N14" s="350"/>
      <c r="O14" s="350"/>
      <c r="P14" s="350"/>
      <c r="Q14" s="350"/>
      <c r="R14" s="350"/>
      <c r="S14" s="350"/>
      <c r="T14" s="350"/>
      <c r="U14" s="350"/>
      <c r="V14" s="350"/>
      <c r="W14" s="350"/>
      <c r="X14" s="350"/>
      <c r="Y14" s="350"/>
      <c r="Z14" s="350"/>
      <c r="AA14" s="350"/>
      <c r="AB14" s="350"/>
      <c r="AC14" s="350"/>
      <c r="AD14" s="350"/>
      <c r="AE14" s="350"/>
      <c r="AF14" s="350"/>
      <c r="AG14" s="350"/>
      <c r="AH14" s="350"/>
      <c r="AI14" s="350"/>
      <c r="AJ14" s="350"/>
      <c r="AK14" s="350"/>
      <c r="AL14" s="350"/>
      <c r="AM14" s="350"/>
      <c r="AN14" s="350"/>
      <c r="AO14" s="350"/>
      <c r="AP14" s="350"/>
      <c r="AQ14" s="350"/>
      <c r="AR14" s="350"/>
      <c r="AS14" s="350"/>
      <c r="AT14" s="350"/>
      <c r="AU14" s="350"/>
      <c r="AV14" s="350"/>
      <c r="AW14" s="350"/>
      <c r="AX14" s="350"/>
      <c r="AY14" s="350"/>
      <c r="AZ14" s="350"/>
      <c r="BA14" s="350"/>
      <c r="BB14" s="350"/>
      <c r="BC14" s="350"/>
      <c r="BD14" s="350"/>
      <c r="BE14" s="350"/>
      <c r="BF14" s="350"/>
      <c r="BG14" s="350"/>
      <c r="BH14" s="350"/>
      <c r="BI14" s="350"/>
      <c r="BJ14" s="350"/>
      <c r="BK14" s="350"/>
      <c r="BL14" s="350"/>
      <c r="BM14" s="350"/>
      <c r="BN14" s="350"/>
      <c r="BO14" s="350"/>
      <c r="BP14" s="350"/>
      <c r="BQ14" s="350"/>
      <c r="BR14" s="350"/>
      <c r="BS14" s="350"/>
      <c r="BT14" s="350"/>
    </row>
    <row r="15" spans="1:72" s="458" customFormat="1" ht="15.75" customHeight="1" x14ac:dyDescent="0.2">
      <c r="A15" s="363"/>
      <c r="B15" s="460" t="s">
        <v>177</v>
      </c>
      <c r="C15" s="365"/>
      <c r="D15" s="365"/>
      <c r="E15" s="365"/>
      <c r="F15" s="375"/>
      <c r="G15" s="459">
        <f>SUM(G16:G17)</f>
        <v>51125</v>
      </c>
      <c r="H15" s="350"/>
      <c r="I15" s="350"/>
      <c r="J15" s="350"/>
      <c r="K15" s="350"/>
      <c r="L15" s="350"/>
      <c r="M15" s="350"/>
      <c r="N15" s="350"/>
      <c r="O15" s="350"/>
      <c r="P15" s="350"/>
      <c r="Q15" s="350"/>
      <c r="R15" s="350"/>
      <c r="S15" s="350"/>
      <c r="T15" s="350"/>
      <c r="U15" s="350"/>
      <c r="V15" s="350"/>
      <c r="W15" s="350"/>
      <c r="X15" s="350"/>
      <c r="Y15" s="350"/>
      <c r="Z15" s="350"/>
      <c r="AA15" s="350"/>
      <c r="AB15" s="350"/>
      <c r="AC15" s="350"/>
      <c r="AD15" s="350"/>
      <c r="AE15" s="350"/>
      <c r="AF15" s="350"/>
      <c r="AG15" s="350"/>
      <c r="AH15" s="350"/>
      <c r="AI15" s="350"/>
      <c r="AJ15" s="350"/>
      <c r="AK15" s="350"/>
      <c r="AL15" s="350"/>
      <c r="AM15" s="350"/>
      <c r="AN15" s="350"/>
      <c r="AO15" s="350"/>
      <c r="AP15" s="350"/>
      <c r="AQ15" s="350"/>
      <c r="AR15" s="350"/>
      <c r="AS15" s="350"/>
      <c r="AT15" s="350"/>
      <c r="AU15" s="350"/>
      <c r="AV15" s="350"/>
      <c r="AW15" s="350"/>
      <c r="AX15" s="350"/>
      <c r="AY15" s="350"/>
      <c r="AZ15" s="350"/>
      <c r="BA15" s="350"/>
      <c r="BB15" s="350"/>
      <c r="BC15" s="350"/>
      <c r="BD15" s="350"/>
      <c r="BE15" s="350"/>
      <c r="BF15" s="350"/>
      <c r="BG15" s="350"/>
      <c r="BH15" s="350"/>
      <c r="BI15" s="350"/>
      <c r="BJ15" s="350"/>
      <c r="BK15" s="350"/>
      <c r="BL15" s="350"/>
      <c r="BM15" s="350"/>
      <c r="BN15" s="350"/>
      <c r="BO15" s="350"/>
      <c r="BP15" s="350"/>
      <c r="BQ15" s="350"/>
      <c r="BR15" s="350"/>
      <c r="BS15" s="350"/>
      <c r="BT15" s="350"/>
    </row>
    <row r="16" spans="1:72" s="458" customFormat="1" ht="15.75" customHeight="1" x14ac:dyDescent="0.2">
      <c r="A16" s="363"/>
      <c r="B16" s="460"/>
      <c r="C16" s="365"/>
      <c r="D16" s="365"/>
      <c r="E16" s="365" t="s">
        <v>477</v>
      </c>
      <c r="F16" s="375" t="s">
        <v>474</v>
      </c>
      <c r="G16" s="376">
        <v>8500</v>
      </c>
      <c r="H16" s="350"/>
      <c r="I16" s="350"/>
      <c r="J16" s="350"/>
      <c r="K16" s="350"/>
      <c r="L16" s="350"/>
      <c r="M16" s="350"/>
      <c r="N16" s="350"/>
      <c r="O16" s="350"/>
      <c r="P16" s="350"/>
      <c r="Q16" s="350"/>
      <c r="R16" s="350"/>
      <c r="S16" s="350"/>
      <c r="T16" s="350"/>
      <c r="U16" s="350"/>
      <c r="V16" s="350"/>
      <c r="W16" s="350"/>
      <c r="X16" s="350"/>
      <c r="Y16" s="350"/>
      <c r="Z16" s="350"/>
      <c r="AA16" s="350"/>
      <c r="AB16" s="350"/>
      <c r="AC16" s="350"/>
      <c r="AD16" s="350"/>
      <c r="AE16" s="350"/>
      <c r="AF16" s="350"/>
      <c r="AG16" s="350"/>
      <c r="AH16" s="350"/>
      <c r="AI16" s="350"/>
      <c r="AJ16" s="350"/>
      <c r="AK16" s="350"/>
      <c r="AL16" s="350"/>
      <c r="AM16" s="350"/>
      <c r="AN16" s="350"/>
      <c r="AO16" s="350"/>
      <c r="AP16" s="350"/>
      <c r="AQ16" s="350"/>
      <c r="AR16" s="350"/>
      <c r="AS16" s="350"/>
      <c r="AT16" s="350"/>
      <c r="AU16" s="350"/>
      <c r="AV16" s="350"/>
      <c r="AW16" s="350"/>
      <c r="AX16" s="350"/>
      <c r="AY16" s="350"/>
      <c r="AZ16" s="350"/>
      <c r="BA16" s="350"/>
      <c r="BB16" s="350"/>
      <c r="BC16" s="350"/>
      <c r="BD16" s="350"/>
      <c r="BE16" s="350"/>
      <c r="BF16" s="350"/>
      <c r="BG16" s="350"/>
      <c r="BH16" s="350"/>
      <c r="BI16" s="350"/>
      <c r="BJ16" s="350"/>
      <c r="BK16" s="350"/>
      <c r="BL16" s="350"/>
      <c r="BM16" s="350"/>
      <c r="BN16" s="350"/>
      <c r="BO16" s="350"/>
      <c r="BP16" s="350"/>
      <c r="BQ16" s="350"/>
      <c r="BR16" s="350"/>
      <c r="BS16" s="350"/>
      <c r="BT16" s="350"/>
    </row>
    <row r="17" spans="1:72" s="458" customFormat="1" ht="15.75" customHeight="1" x14ac:dyDescent="0.2">
      <c r="A17" s="363"/>
      <c r="B17" s="460"/>
      <c r="C17" s="365"/>
      <c r="D17" s="365"/>
      <c r="E17" s="365" t="s">
        <v>478</v>
      </c>
      <c r="F17" s="375" t="s">
        <v>474</v>
      </c>
      <c r="G17" s="376">
        <f>5350+9150+36625-8500</f>
        <v>42625</v>
      </c>
      <c r="H17" s="350"/>
      <c r="I17" s="350"/>
      <c r="J17" s="350"/>
      <c r="K17" s="350"/>
      <c r="L17" s="350"/>
      <c r="M17" s="350"/>
      <c r="N17" s="350"/>
      <c r="O17" s="350"/>
      <c r="P17" s="350"/>
      <c r="Q17" s="350"/>
      <c r="R17" s="350"/>
      <c r="S17" s="350"/>
      <c r="T17" s="350"/>
      <c r="U17" s="350"/>
      <c r="V17" s="350"/>
      <c r="W17" s="350"/>
      <c r="X17" s="350"/>
      <c r="Y17" s="350"/>
      <c r="Z17" s="350"/>
      <c r="AA17" s="350"/>
      <c r="AB17" s="350"/>
      <c r="AC17" s="350"/>
      <c r="AD17" s="350"/>
      <c r="AE17" s="350"/>
      <c r="AF17" s="350"/>
      <c r="AG17" s="350"/>
      <c r="AH17" s="350"/>
      <c r="AI17" s="350"/>
      <c r="AJ17" s="350"/>
      <c r="AK17" s="350"/>
      <c r="AL17" s="350"/>
      <c r="AM17" s="350"/>
      <c r="AN17" s="350"/>
      <c r="AO17" s="350"/>
      <c r="AP17" s="350"/>
      <c r="AQ17" s="350"/>
      <c r="AR17" s="350"/>
      <c r="AS17" s="350"/>
      <c r="AT17" s="350"/>
      <c r="AU17" s="350"/>
      <c r="AV17" s="350"/>
      <c r="AW17" s="350"/>
      <c r="AX17" s="350"/>
      <c r="AY17" s="350"/>
      <c r="AZ17" s="350"/>
      <c r="BA17" s="350"/>
      <c r="BB17" s="350"/>
      <c r="BC17" s="350"/>
      <c r="BD17" s="350"/>
      <c r="BE17" s="350"/>
      <c r="BF17" s="350"/>
      <c r="BG17" s="350"/>
      <c r="BH17" s="350"/>
      <c r="BI17" s="350"/>
      <c r="BJ17" s="350"/>
      <c r="BK17" s="350"/>
      <c r="BL17" s="350"/>
      <c r="BM17" s="350"/>
      <c r="BN17" s="350"/>
      <c r="BO17" s="350"/>
      <c r="BP17" s="350"/>
      <c r="BQ17" s="350"/>
      <c r="BR17" s="350"/>
      <c r="BS17" s="350"/>
      <c r="BT17" s="350"/>
    </row>
    <row r="18" spans="1:72" s="458" customFormat="1" ht="15.75" customHeight="1" x14ac:dyDescent="0.2">
      <c r="A18" s="377"/>
      <c r="B18" s="378"/>
      <c r="C18" s="379"/>
      <c r="D18" s="366"/>
      <c r="E18" s="366"/>
      <c r="F18" s="368"/>
      <c r="G18" s="380"/>
      <c r="H18" s="350"/>
      <c r="I18" s="350"/>
      <c r="J18" s="350"/>
      <c r="K18" s="350"/>
      <c r="L18" s="350"/>
      <c r="M18" s="350"/>
      <c r="N18" s="350"/>
      <c r="O18" s="350"/>
      <c r="P18" s="350"/>
      <c r="Q18" s="350"/>
      <c r="R18" s="350"/>
      <c r="S18" s="350"/>
      <c r="T18" s="350"/>
      <c r="U18" s="350"/>
      <c r="V18" s="350"/>
      <c r="W18" s="350"/>
      <c r="X18" s="350"/>
      <c r="Y18" s="350"/>
      <c r="Z18" s="350"/>
      <c r="AA18" s="350"/>
      <c r="AB18" s="350"/>
      <c r="AC18" s="350"/>
      <c r="AD18" s="350"/>
      <c r="AE18" s="350"/>
      <c r="AF18" s="350"/>
      <c r="AG18" s="350"/>
      <c r="AH18" s="350"/>
      <c r="AI18" s="350"/>
      <c r="AJ18" s="350"/>
      <c r="AK18" s="350"/>
      <c r="AL18" s="350"/>
      <c r="AM18" s="350"/>
      <c r="AN18" s="350"/>
      <c r="AO18" s="350"/>
      <c r="AP18" s="350"/>
      <c r="AQ18" s="350"/>
      <c r="AR18" s="350"/>
      <c r="AS18" s="350"/>
      <c r="AT18" s="350"/>
      <c r="AU18" s="350"/>
      <c r="AV18" s="350"/>
      <c r="AW18" s="350"/>
      <c r="AX18" s="350"/>
      <c r="AY18" s="350"/>
      <c r="AZ18" s="350"/>
      <c r="BA18" s="350"/>
      <c r="BB18" s="350"/>
      <c r="BC18" s="350"/>
      <c r="BD18" s="350"/>
      <c r="BE18" s="350"/>
      <c r="BF18" s="350"/>
      <c r="BG18" s="350"/>
      <c r="BH18" s="350"/>
      <c r="BI18" s="350"/>
      <c r="BJ18" s="350"/>
      <c r="BK18" s="350"/>
      <c r="BL18" s="350"/>
      <c r="BM18" s="350"/>
      <c r="BN18" s="350"/>
      <c r="BO18" s="350"/>
      <c r="BP18" s="350"/>
      <c r="BQ18" s="350"/>
      <c r="BR18" s="350"/>
      <c r="BS18" s="350"/>
      <c r="BT18" s="350"/>
    </row>
    <row r="19" spans="1:72" s="458" customFormat="1" ht="15.75" customHeight="1" x14ac:dyDescent="0.2">
      <c r="A19" s="363"/>
      <c r="B19" s="364"/>
      <c r="C19" s="365"/>
      <c r="D19" s="365"/>
      <c r="E19" s="366" t="s">
        <v>25</v>
      </c>
      <c r="F19" s="367">
        <f>9095+9126+6997+1281+4296</f>
        <v>30795</v>
      </c>
      <c r="G19" s="368" t="s">
        <v>474</v>
      </c>
      <c r="H19" s="350"/>
      <c r="I19" s="350"/>
      <c r="J19" s="350"/>
      <c r="K19" s="350"/>
      <c r="L19" s="350"/>
      <c r="M19" s="350"/>
      <c r="N19" s="350"/>
      <c r="O19" s="350"/>
      <c r="P19" s="350"/>
      <c r="Q19" s="350"/>
      <c r="R19" s="350"/>
      <c r="S19" s="350"/>
      <c r="T19" s="350"/>
      <c r="U19" s="350"/>
      <c r="V19" s="350"/>
      <c r="W19" s="350"/>
      <c r="X19" s="350"/>
      <c r="Y19" s="350"/>
      <c r="Z19" s="350"/>
      <c r="AA19" s="350"/>
      <c r="AB19" s="350"/>
      <c r="AC19" s="350"/>
      <c r="AD19" s="350"/>
      <c r="AE19" s="350"/>
      <c r="AF19" s="350"/>
      <c r="AG19" s="350"/>
      <c r="AH19" s="350"/>
      <c r="AI19" s="350"/>
      <c r="AJ19" s="350"/>
      <c r="AK19" s="350"/>
      <c r="AL19" s="350"/>
      <c r="AM19" s="350"/>
      <c r="AN19" s="350"/>
      <c r="AO19" s="350"/>
      <c r="AP19" s="350"/>
      <c r="AQ19" s="350"/>
      <c r="AR19" s="350"/>
      <c r="AS19" s="350"/>
      <c r="AT19" s="350"/>
      <c r="AU19" s="350"/>
      <c r="AV19" s="350"/>
      <c r="AW19" s="350"/>
      <c r="AX19" s="350"/>
      <c r="AY19" s="350"/>
      <c r="AZ19" s="350"/>
      <c r="BA19" s="350"/>
      <c r="BB19" s="350"/>
      <c r="BC19" s="350"/>
      <c r="BD19" s="350"/>
      <c r="BE19" s="350"/>
      <c r="BF19" s="350"/>
      <c r="BG19" s="350"/>
      <c r="BH19" s="350"/>
      <c r="BI19" s="350"/>
      <c r="BJ19" s="350"/>
      <c r="BK19" s="350"/>
      <c r="BL19" s="350"/>
      <c r="BM19" s="350"/>
      <c r="BN19" s="350"/>
      <c r="BO19" s="350"/>
      <c r="BP19" s="350"/>
      <c r="BQ19" s="350"/>
      <c r="BR19" s="350"/>
      <c r="BS19" s="350"/>
      <c r="BT19" s="350"/>
    </row>
    <row r="20" spans="1:72" s="458" customFormat="1" ht="20.25" customHeight="1" x14ac:dyDescent="0.2">
      <c r="A20" s="369" t="s">
        <v>452</v>
      </c>
      <c r="B20" s="381" t="s">
        <v>479</v>
      </c>
      <c r="C20" s="365" t="s">
        <v>480</v>
      </c>
      <c r="D20" s="365" t="s">
        <v>481</v>
      </c>
      <c r="E20" s="371" t="s">
        <v>474</v>
      </c>
      <c r="F20" s="372" t="s">
        <v>474</v>
      </c>
      <c r="G20" s="373">
        <f>SUM(G22)</f>
        <v>30795</v>
      </c>
      <c r="H20" s="350"/>
      <c r="I20" s="350"/>
      <c r="J20" s="350"/>
      <c r="K20" s="350"/>
      <c r="L20" s="350"/>
      <c r="M20" s="350"/>
      <c r="N20" s="350"/>
      <c r="O20" s="350"/>
      <c r="P20" s="350"/>
      <c r="Q20" s="350"/>
      <c r="R20" s="350"/>
      <c r="S20" s="350"/>
      <c r="T20" s="350"/>
      <c r="U20" s="350"/>
      <c r="V20" s="350"/>
      <c r="W20" s="350"/>
      <c r="X20" s="350"/>
      <c r="Y20" s="350"/>
      <c r="Z20" s="350"/>
      <c r="AA20" s="350"/>
      <c r="AB20" s="350"/>
      <c r="AC20" s="350"/>
      <c r="AD20" s="350"/>
      <c r="AE20" s="350"/>
      <c r="AF20" s="350"/>
      <c r="AG20" s="350"/>
      <c r="AH20" s="350"/>
      <c r="AI20" s="350"/>
      <c r="AJ20" s="350"/>
      <c r="AK20" s="350"/>
      <c r="AL20" s="350"/>
      <c r="AM20" s="350"/>
      <c r="AN20" s="350"/>
      <c r="AO20" s="350"/>
      <c r="AP20" s="350"/>
      <c r="AQ20" s="350"/>
      <c r="AR20" s="350"/>
      <c r="AS20" s="350"/>
      <c r="AT20" s="350"/>
      <c r="AU20" s="350"/>
      <c r="AV20" s="350"/>
      <c r="AW20" s="350"/>
      <c r="AX20" s="350"/>
      <c r="AY20" s="350"/>
      <c r="AZ20" s="350"/>
      <c r="BA20" s="350"/>
      <c r="BB20" s="350"/>
      <c r="BC20" s="350"/>
      <c r="BD20" s="350"/>
      <c r="BE20" s="350"/>
      <c r="BF20" s="350"/>
      <c r="BG20" s="350"/>
      <c r="BH20" s="350"/>
      <c r="BI20" s="350"/>
      <c r="BJ20" s="350"/>
      <c r="BK20" s="350"/>
      <c r="BL20" s="350"/>
      <c r="BM20" s="350"/>
      <c r="BN20" s="350"/>
      <c r="BO20" s="350"/>
      <c r="BP20" s="350"/>
      <c r="BQ20" s="350"/>
      <c r="BR20" s="350"/>
      <c r="BS20" s="350"/>
      <c r="BT20" s="350"/>
    </row>
    <row r="21" spans="1:72" s="458" customFormat="1" ht="10.5" customHeight="1" x14ac:dyDescent="0.2">
      <c r="A21" s="363"/>
      <c r="B21" s="374"/>
      <c r="C21" s="365"/>
      <c r="D21" s="365"/>
      <c r="E21" s="365"/>
      <c r="F21" s="375"/>
      <c r="G21" s="459"/>
      <c r="H21" s="350"/>
      <c r="I21" s="350"/>
      <c r="J21" s="350"/>
      <c r="K21" s="350"/>
      <c r="L21" s="350"/>
      <c r="M21" s="350"/>
      <c r="N21" s="350"/>
      <c r="O21" s="350"/>
      <c r="P21" s="350"/>
      <c r="Q21" s="350"/>
      <c r="R21" s="350"/>
      <c r="S21" s="350"/>
      <c r="T21" s="350"/>
      <c r="U21" s="350"/>
      <c r="V21" s="350"/>
      <c r="W21" s="350"/>
      <c r="X21" s="350"/>
      <c r="Y21" s="350"/>
      <c r="Z21" s="350"/>
      <c r="AA21" s="350"/>
      <c r="AB21" s="350"/>
      <c r="AC21" s="350"/>
      <c r="AD21" s="350"/>
      <c r="AE21" s="350"/>
      <c r="AF21" s="350"/>
      <c r="AG21" s="350"/>
      <c r="AH21" s="350"/>
      <c r="AI21" s="350"/>
      <c r="AJ21" s="350"/>
      <c r="AK21" s="350"/>
      <c r="AL21" s="350"/>
      <c r="AM21" s="350"/>
      <c r="AN21" s="350"/>
      <c r="AO21" s="350"/>
      <c r="AP21" s="350"/>
      <c r="AQ21" s="350"/>
      <c r="AR21" s="350"/>
      <c r="AS21" s="350"/>
      <c r="AT21" s="350"/>
      <c r="AU21" s="350"/>
      <c r="AV21" s="350"/>
      <c r="AW21" s="350"/>
      <c r="AX21" s="350"/>
      <c r="AY21" s="350"/>
      <c r="AZ21" s="350"/>
      <c r="BA21" s="350"/>
      <c r="BB21" s="350"/>
      <c r="BC21" s="350"/>
      <c r="BD21" s="350"/>
      <c r="BE21" s="350"/>
      <c r="BF21" s="350"/>
      <c r="BG21" s="350"/>
      <c r="BH21" s="350"/>
      <c r="BI21" s="350"/>
      <c r="BJ21" s="350"/>
      <c r="BK21" s="350"/>
      <c r="BL21" s="350"/>
      <c r="BM21" s="350"/>
      <c r="BN21" s="350"/>
      <c r="BO21" s="350"/>
      <c r="BP21" s="350"/>
      <c r="BQ21" s="350"/>
      <c r="BR21" s="350"/>
      <c r="BS21" s="350"/>
      <c r="BT21" s="350"/>
    </row>
    <row r="22" spans="1:72" s="458" customFormat="1" ht="15.75" customHeight="1" x14ac:dyDescent="0.2">
      <c r="A22" s="363"/>
      <c r="B22" s="460" t="s">
        <v>177</v>
      </c>
      <c r="C22" s="365"/>
      <c r="D22" s="365"/>
      <c r="E22" s="365"/>
      <c r="F22" s="375"/>
      <c r="G22" s="459">
        <f>SUM(G23:G26)</f>
        <v>30795</v>
      </c>
      <c r="H22" s="350"/>
      <c r="I22" s="350"/>
      <c r="J22" s="350"/>
      <c r="K22" s="350"/>
      <c r="L22" s="350"/>
      <c r="M22" s="350"/>
      <c r="N22" s="350"/>
      <c r="O22" s="350"/>
      <c r="P22" s="350"/>
      <c r="Q22" s="350"/>
      <c r="R22" s="350"/>
      <c r="S22" s="350"/>
      <c r="T22" s="350"/>
      <c r="U22" s="350"/>
      <c r="V22" s="350"/>
      <c r="W22" s="350"/>
      <c r="X22" s="350"/>
      <c r="Y22" s="350"/>
      <c r="Z22" s="350"/>
      <c r="AA22" s="350"/>
      <c r="AB22" s="350"/>
      <c r="AC22" s="350"/>
      <c r="AD22" s="350"/>
      <c r="AE22" s="350"/>
      <c r="AF22" s="350"/>
      <c r="AG22" s="350"/>
      <c r="AH22" s="350"/>
      <c r="AI22" s="350"/>
      <c r="AJ22" s="350"/>
      <c r="AK22" s="350"/>
      <c r="AL22" s="350"/>
      <c r="AM22" s="350"/>
      <c r="AN22" s="350"/>
      <c r="AO22" s="350"/>
      <c r="AP22" s="350"/>
      <c r="AQ22" s="350"/>
      <c r="AR22" s="350"/>
      <c r="AS22" s="350"/>
      <c r="AT22" s="350"/>
      <c r="AU22" s="350"/>
      <c r="AV22" s="350"/>
      <c r="AW22" s="350"/>
      <c r="AX22" s="350"/>
      <c r="AY22" s="350"/>
      <c r="AZ22" s="350"/>
      <c r="BA22" s="350"/>
      <c r="BB22" s="350"/>
      <c r="BC22" s="350"/>
      <c r="BD22" s="350"/>
      <c r="BE22" s="350"/>
      <c r="BF22" s="350"/>
      <c r="BG22" s="350"/>
      <c r="BH22" s="350"/>
      <c r="BI22" s="350"/>
      <c r="BJ22" s="350"/>
      <c r="BK22" s="350"/>
      <c r="BL22" s="350"/>
      <c r="BM22" s="350"/>
      <c r="BN22" s="350"/>
      <c r="BO22" s="350"/>
      <c r="BP22" s="350"/>
      <c r="BQ22" s="350"/>
      <c r="BR22" s="350"/>
      <c r="BS22" s="350"/>
      <c r="BT22" s="350"/>
    </row>
    <row r="23" spans="1:72" s="458" customFormat="1" ht="15.75" customHeight="1" x14ac:dyDescent="0.2">
      <c r="A23" s="363"/>
      <c r="B23" s="364"/>
      <c r="C23" s="382"/>
      <c r="D23" s="365"/>
      <c r="E23" s="365" t="s">
        <v>477</v>
      </c>
      <c r="F23" s="375" t="s">
        <v>474</v>
      </c>
      <c r="G23" s="376">
        <f>6793+17721+1255+4296</f>
        <v>30065</v>
      </c>
      <c r="H23" s="350"/>
      <c r="I23" s="350"/>
      <c r="J23" s="350"/>
      <c r="K23" s="350"/>
      <c r="L23" s="350"/>
      <c r="M23" s="350"/>
      <c r="N23" s="350"/>
      <c r="O23" s="350"/>
      <c r="P23" s="350"/>
      <c r="Q23" s="350"/>
      <c r="R23" s="350"/>
      <c r="S23" s="350"/>
      <c r="T23" s="350"/>
      <c r="U23" s="350"/>
      <c r="V23" s="350"/>
      <c r="W23" s="350"/>
      <c r="X23" s="350"/>
      <c r="Y23" s="350"/>
      <c r="Z23" s="350"/>
      <c r="AA23" s="350"/>
      <c r="AB23" s="350"/>
      <c r="AC23" s="350"/>
      <c r="AD23" s="350"/>
      <c r="AE23" s="350"/>
      <c r="AF23" s="350"/>
      <c r="AG23" s="350"/>
      <c r="AH23" s="350"/>
      <c r="AI23" s="350"/>
      <c r="AJ23" s="350"/>
      <c r="AK23" s="350"/>
      <c r="AL23" s="350"/>
      <c r="AM23" s="350"/>
      <c r="AN23" s="350"/>
      <c r="AO23" s="350"/>
      <c r="AP23" s="350"/>
      <c r="AQ23" s="350"/>
      <c r="AR23" s="350"/>
      <c r="AS23" s="350"/>
      <c r="AT23" s="350"/>
      <c r="AU23" s="350"/>
      <c r="AV23" s="350"/>
      <c r="AW23" s="350"/>
      <c r="AX23" s="350"/>
      <c r="AY23" s="350"/>
      <c r="AZ23" s="350"/>
      <c r="BA23" s="350"/>
      <c r="BB23" s="350"/>
      <c r="BC23" s="350"/>
      <c r="BD23" s="350"/>
      <c r="BE23" s="350"/>
      <c r="BF23" s="350"/>
      <c r="BG23" s="350"/>
      <c r="BH23" s="350"/>
      <c r="BI23" s="350"/>
      <c r="BJ23" s="350"/>
      <c r="BK23" s="350"/>
      <c r="BL23" s="350"/>
      <c r="BM23" s="350"/>
      <c r="BN23" s="350"/>
      <c r="BO23" s="350"/>
      <c r="BP23" s="350"/>
      <c r="BQ23" s="350"/>
      <c r="BR23" s="350"/>
      <c r="BS23" s="350"/>
      <c r="BT23" s="350"/>
    </row>
    <row r="24" spans="1:72" s="458" customFormat="1" ht="15.75" customHeight="1" x14ac:dyDescent="0.2">
      <c r="A24" s="363"/>
      <c r="B24" s="364"/>
      <c r="C24" s="382"/>
      <c r="D24" s="365"/>
      <c r="E24" s="365" t="s">
        <v>478</v>
      </c>
      <c r="F24" s="375" t="s">
        <v>474</v>
      </c>
      <c r="G24" s="376">
        <v>30</v>
      </c>
      <c r="H24" s="350"/>
      <c r="I24" s="350"/>
      <c r="J24" s="350"/>
      <c r="K24" s="350"/>
      <c r="L24" s="350"/>
      <c r="M24" s="350"/>
      <c r="N24" s="350"/>
      <c r="O24" s="350"/>
      <c r="P24" s="350"/>
      <c r="Q24" s="350"/>
      <c r="R24" s="350"/>
      <c r="S24" s="350"/>
      <c r="T24" s="350"/>
      <c r="U24" s="350"/>
      <c r="V24" s="350"/>
      <c r="W24" s="350"/>
      <c r="X24" s="350"/>
      <c r="Y24" s="350"/>
      <c r="Z24" s="350"/>
      <c r="AA24" s="350"/>
      <c r="AB24" s="350"/>
      <c r="AC24" s="350"/>
      <c r="AD24" s="350"/>
      <c r="AE24" s="350"/>
      <c r="AF24" s="350"/>
      <c r="AG24" s="350"/>
      <c r="AH24" s="350"/>
      <c r="AI24" s="350"/>
      <c r="AJ24" s="350"/>
      <c r="AK24" s="350"/>
      <c r="AL24" s="350"/>
      <c r="AM24" s="350"/>
      <c r="AN24" s="350"/>
      <c r="AO24" s="350"/>
      <c r="AP24" s="350"/>
      <c r="AQ24" s="350"/>
      <c r="AR24" s="350"/>
      <c r="AS24" s="350"/>
      <c r="AT24" s="350"/>
      <c r="AU24" s="350"/>
      <c r="AV24" s="350"/>
      <c r="AW24" s="350"/>
      <c r="AX24" s="350"/>
      <c r="AY24" s="350"/>
      <c r="AZ24" s="350"/>
      <c r="BA24" s="350"/>
      <c r="BB24" s="350"/>
      <c r="BC24" s="350"/>
      <c r="BD24" s="350"/>
      <c r="BE24" s="350"/>
      <c r="BF24" s="350"/>
      <c r="BG24" s="350"/>
      <c r="BH24" s="350"/>
      <c r="BI24" s="350"/>
      <c r="BJ24" s="350"/>
      <c r="BK24" s="350"/>
      <c r="BL24" s="350"/>
      <c r="BM24" s="350"/>
      <c r="BN24" s="350"/>
      <c r="BO24" s="350"/>
      <c r="BP24" s="350"/>
      <c r="BQ24" s="350"/>
      <c r="BR24" s="350"/>
      <c r="BS24" s="350"/>
      <c r="BT24" s="350"/>
    </row>
    <row r="25" spans="1:72" s="458" customFormat="1" ht="15.75" customHeight="1" x14ac:dyDescent="0.2">
      <c r="A25" s="363"/>
      <c r="B25" s="364"/>
      <c r="C25" s="382"/>
      <c r="D25" s="365"/>
      <c r="E25" s="365" t="s">
        <v>482</v>
      </c>
      <c r="F25" s="375" t="s">
        <v>474</v>
      </c>
      <c r="G25" s="376">
        <f>92+470+21</f>
        <v>583</v>
      </c>
      <c r="H25" s="350"/>
      <c r="I25" s="350"/>
      <c r="J25" s="350"/>
      <c r="K25" s="350"/>
      <c r="L25" s="350"/>
      <c r="M25" s="350"/>
      <c r="N25" s="350"/>
      <c r="O25" s="350"/>
      <c r="P25" s="350"/>
      <c r="Q25" s="350"/>
      <c r="R25" s="350"/>
      <c r="S25" s="350"/>
      <c r="T25" s="350"/>
      <c r="U25" s="350"/>
      <c r="V25" s="350"/>
      <c r="W25" s="350"/>
      <c r="X25" s="350"/>
      <c r="Y25" s="350"/>
      <c r="Z25" s="350"/>
      <c r="AA25" s="350"/>
      <c r="AB25" s="350"/>
      <c r="AC25" s="350"/>
      <c r="AD25" s="350"/>
      <c r="AE25" s="350"/>
      <c r="AF25" s="350"/>
      <c r="AG25" s="350"/>
      <c r="AH25" s="350"/>
      <c r="AI25" s="350"/>
      <c r="AJ25" s="350"/>
      <c r="AK25" s="350"/>
      <c r="AL25" s="350"/>
      <c r="AM25" s="350"/>
      <c r="AN25" s="350"/>
      <c r="AO25" s="350"/>
      <c r="AP25" s="350"/>
      <c r="AQ25" s="350"/>
      <c r="AR25" s="350"/>
      <c r="AS25" s="350"/>
      <c r="AT25" s="350"/>
      <c r="AU25" s="350"/>
      <c r="AV25" s="350"/>
      <c r="AW25" s="350"/>
      <c r="AX25" s="350"/>
      <c r="AY25" s="350"/>
      <c r="AZ25" s="350"/>
      <c r="BA25" s="350"/>
      <c r="BB25" s="350"/>
      <c r="BC25" s="350"/>
      <c r="BD25" s="350"/>
      <c r="BE25" s="350"/>
      <c r="BF25" s="350"/>
      <c r="BG25" s="350"/>
      <c r="BH25" s="350"/>
      <c r="BI25" s="350"/>
      <c r="BJ25" s="350"/>
      <c r="BK25" s="350"/>
      <c r="BL25" s="350"/>
      <c r="BM25" s="350"/>
      <c r="BN25" s="350"/>
      <c r="BO25" s="350"/>
      <c r="BP25" s="350"/>
      <c r="BQ25" s="350"/>
      <c r="BR25" s="350"/>
      <c r="BS25" s="350"/>
      <c r="BT25" s="350"/>
    </row>
    <row r="26" spans="1:72" s="458" customFormat="1" ht="15.75" customHeight="1" x14ac:dyDescent="0.2">
      <c r="A26" s="363"/>
      <c r="B26" s="364"/>
      <c r="C26" s="382"/>
      <c r="D26" s="365"/>
      <c r="E26" s="365" t="s">
        <v>483</v>
      </c>
      <c r="F26" s="375" t="s">
        <v>474</v>
      </c>
      <c r="G26" s="376">
        <f>112+5</f>
        <v>117</v>
      </c>
      <c r="H26" s="350"/>
      <c r="I26" s="350"/>
      <c r="J26" s="350"/>
      <c r="K26" s="350"/>
      <c r="L26" s="350"/>
      <c r="M26" s="350"/>
      <c r="N26" s="350"/>
      <c r="O26" s="350"/>
      <c r="P26" s="350"/>
      <c r="Q26" s="350"/>
      <c r="R26" s="350"/>
      <c r="S26" s="350"/>
      <c r="T26" s="350"/>
      <c r="U26" s="350"/>
      <c r="V26" s="350"/>
      <c r="W26" s="350"/>
      <c r="X26" s="350"/>
      <c r="Y26" s="350"/>
      <c r="Z26" s="350"/>
      <c r="AA26" s="350"/>
      <c r="AB26" s="350"/>
      <c r="AC26" s="350"/>
      <c r="AD26" s="350"/>
      <c r="AE26" s="350"/>
      <c r="AF26" s="350"/>
      <c r="AG26" s="350"/>
      <c r="AH26" s="350"/>
      <c r="AI26" s="350"/>
      <c r="AJ26" s="350"/>
      <c r="AK26" s="350"/>
      <c r="AL26" s="350"/>
      <c r="AM26" s="350"/>
      <c r="AN26" s="350"/>
      <c r="AO26" s="350"/>
      <c r="AP26" s="350"/>
      <c r="AQ26" s="350"/>
      <c r="AR26" s="350"/>
      <c r="AS26" s="350"/>
      <c r="AT26" s="350"/>
      <c r="AU26" s="350"/>
      <c r="AV26" s="350"/>
      <c r="AW26" s="350"/>
      <c r="AX26" s="350"/>
      <c r="AY26" s="350"/>
      <c r="AZ26" s="350"/>
      <c r="BA26" s="350"/>
      <c r="BB26" s="350"/>
      <c r="BC26" s="350"/>
      <c r="BD26" s="350"/>
      <c r="BE26" s="350"/>
      <c r="BF26" s="350"/>
      <c r="BG26" s="350"/>
      <c r="BH26" s="350"/>
      <c r="BI26" s="350"/>
      <c r="BJ26" s="350"/>
      <c r="BK26" s="350"/>
      <c r="BL26" s="350"/>
      <c r="BM26" s="350"/>
      <c r="BN26" s="350"/>
      <c r="BO26" s="350"/>
      <c r="BP26" s="350"/>
      <c r="BQ26" s="350"/>
      <c r="BR26" s="350"/>
      <c r="BS26" s="350"/>
      <c r="BT26" s="350"/>
    </row>
    <row r="27" spans="1:72" s="458" customFormat="1" ht="15.75" customHeight="1" x14ac:dyDescent="0.2">
      <c r="A27" s="377"/>
      <c r="B27" s="378"/>
      <c r="C27" s="379"/>
      <c r="D27" s="366"/>
      <c r="E27" s="366"/>
      <c r="F27" s="368"/>
      <c r="G27" s="380"/>
      <c r="H27" s="350"/>
      <c r="I27" s="350"/>
      <c r="J27" s="350"/>
      <c r="K27" s="350"/>
      <c r="L27" s="350"/>
      <c r="M27" s="350"/>
      <c r="N27" s="350"/>
      <c r="O27" s="350"/>
      <c r="P27" s="350"/>
      <c r="Q27" s="350"/>
      <c r="R27" s="350"/>
      <c r="S27" s="350"/>
      <c r="T27" s="350"/>
      <c r="U27" s="350"/>
      <c r="V27" s="350"/>
      <c r="W27" s="350"/>
      <c r="X27" s="350"/>
      <c r="Y27" s="350"/>
      <c r="Z27" s="350"/>
      <c r="AA27" s="350"/>
      <c r="AB27" s="350"/>
      <c r="AC27" s="350"/>
      <c r="AD27" s="350"/>
      <c r="AE27" s="350"/>
      <c r="AF27" s="350"/>
      <c r="AG27" s="350"/>
      <c r="AH27" s="350"/>
      <c r="AI27" s="350"/>
      <c r="AJ27" s="350"/>
      <c r="AK27" s="350"/>
      <c r="AL27" s="350"/>
      <c r="AM27" s="350"/>
      <c r="AN27" s="350"/>
      <c r="AO27" s="350"/>
      <c r="AP27" s="350"/>
      <c r="AQ27" s="350"/>
      <c r="AR27" s="350"/>
      <c r="AS27" s="350"/>
      <c r="AT27" s="350"/>
      <c r="AU27" s="350"/>
      <c r="AV27" s="350"/>
      <c r="AW27" s="350"/>
      <c r="AX27" s="350"/>
      <c r="AY27" s="350"/>
      <c r="AZ27" s="350"/>
      <c r="BA27" s="350"/>
      <c r="BB27" s="350"/>
      <c r="BC27" s="350"/>
      <c r="BD27" s="350"/>
      <c r="BE27" s="350"/>
      <c r="BF27" s="350"/>
      <c r="BG27" s="350"/>
      <c r="BH27" s="350"/>
      <c r="BI27" s="350"/>
      <c r="BJ27" s="350"/>
      <c r="BK27" s="350"/>
      <c r="BL27" s="350"/>
      <c r="BM27" s="350"/>
      <c r="BN27" s="350"/>
      <c r="BO27" s="350"/>
      <c r="BP27" s="350"/>
      <c r="BQ27" s="350"/>
      <c r="BR27" s="350"/>
      <c r="BS27" s="350"/>
      <c r="BT27" s="350"/>
    </row>
    <row r="28" spans="1:72" s="458" customFormat="1" ht="15.75" customHeight="1" x14ac:dyDescent="0.2">
      <c r="A28" s="363"/>
      <c r="B28" s="364"/>
      <c r="C28" s="365"/>
      <c r="D28" s="365"/>
      <c r="E28" s="366" t="s">
        <v>25</v>
      </c>
      <c r="F28" s="367">
        <f>119646+106488+19584+20502+11322+7038+12852+12546+5508</f>
        <v>315486</v>
      </c>
      <c r="G28" s="368" t="s">
        <v>474</v>
      </c>
      <c r="H28" s="350"/>
      <c r="I28" s="350"/>
      <c r="J28" s="350"/>
      <c r="K28" s="350"/>
      <c r="L28" s="350"/>
      <c r="M28" s="350"/>
      <c r="N28" s="350"/>
      <c r="O28" s="350"/>
      <c r="P28" s="350"/>
      <c r="Q28" s="350"/>
      <c r="R28" s="350"/>
      <c r="S28" s="350"/>
      <c r="T28" s="350"/>
      <c r="U28" s="350"/>
      <c r="V28" s="350"/>
      <c r="W28" s="350"/>
      <c r="X28" s="350"/>
      <c r="Y28" s="350"/>
      <c r="Z28" s="350"/>
      <c r="AA28" s="350"/>
      <c r="AB28" s="350"/>
      <c r="AC28" s="350"/>
      <c r="AD28" s="350"/>
      <c r="AE28" s="350"/>
      <c r="AF28" s="350"/>
      <c r="AG28" s="350"/>
      <c r="AH28" s="350"/>
      <c r="AI28" s="350"/>
      <c r="AJ28" s="350"/>
      <c r="AK28" s="350"/>
      <c r="AL28" s="350"/>
      <c r="AM28" s="350"/>
      <c r="AN28" s="350"/>
      <c r="AO28" s="350"/>
      <c r="AP28" s="350"/>
      <c r="AQ28" s="350"/>
      <c r="AR28" s="350"/>
      <c r="AS28" s="350"/>
      <c r="AT28" s="350"/>
      <c r="AU28" s="350"/>
      <c r="AV28" s="350"/>
      <c r="AW28" s="350"/>
      <c r="AX28" s="350"/>
      <c r="AY28" s="350"/>
      <c r="AZ28" s="350"/>
      <c r="BA28" s="350"/>
      <c r="BB28" s="350"/>
      <c r="BC28" s="350"/>
      <c r="BD28" s="350"/>
      <c r="BE28" s="350"/>
      <c r="BF28" s="350"/>
      <c r="BG28" s="350"/>
      <c r="BH28" s="350"/>
      <c r="BI28" s="350"/>
      <c r="BJ28" s="350"/>
      <c r="BK28" s="350"/>
      <c r="BL28" s="350"/>
      <c r="BM28" s="350"/>
      <c r="BN28" s="350"/>
      <c r="BO28" s="350"/>
      <c r="BP28" s="350"/>
      <c r="BQ28" s="350"/>
      <c r="BR28" s="350"/>
      <c r="BS28" s="350"/>
      <c r="BT28" s="350"/>
    </row>
    <row r="29" spans="1:72" s="458" customFormat="1" ht="24" x14ac:dyDescent="0.2">
      <c r="A29" s="369" t="s">
        <v>453</v>
      </c>
      <c r="B29" s="370" t="s">
        <v>484</v>
      </c>
      <c r="C29" s="365" t="s">
        <v>485</v>
      </c>
      <c r="D29" s="365" t="s">
        <v>486</v>
      </c>
      <c r="E29" s="371" t="s">
        <v>474</v>
      </c>
      <c r="F29" s="372" t="s">
        <v>474</v>
      </c>
      <c r="G29" s="373">
        <f>SUM(G31)</f>
        <v>315486</v>
      </c>
      <c r="H29" s="350"/>
      <c r="I29" s="350"/>
      <c r="J29" s="350"/>
      <c r="K29" s="350"/>
      <c r="L29" s="350"/>
      <c r="M29" s="350"/>
      <c r="N29" s="350"/>
      <c r="O29" s="350"/>
      <c r="P29" s="350"/>
      <c r="Q29" s="350"/>
      <c r="R29" s="350"/>
      <c r="S29" s="350"/>
      <c r="T29" s="350"/>
      <c r="U29" s="350"/>
      <c r="V29" s="350"/>
      <c r="W29" s="350"/>
      <c r="X29" s="350"/>
      <c r="Y29" s="350"/>
      <c r="Z29" s="350"/>
      <c r="AA29" s="350"/>
      <c r="AB29" s="350"/>
      <c r="AC29" s="350"/>
      <c r="AD29" s="350"/>
      <c r="AE29" s="350"/>
      <c r="AF29" s="350"/>
      <c r="AG29" s="350"/>
      <c r="AH29" s="350"/>
      <c r="AI29" s="350"/>
      <c r="AJ29" s="350"/>
      <c r="AK29" s="350"/>
      <c r="AL29" s="350"/>
      <c r="AM29" s="350"/>
      <c r="AN29" s="350"/>
      <c r="AO29" s="350"/>
      <c r="AP29" s="350"/>
      <c r="AQ29" s="350"/>
      <c r="AR29" s="350"/>
      <c r="AS29" s="350"/>
      <c r="AT29" s="350"/>
      <c r="AU29" s="350"/>
      <c r="AV29" s="350"/>
      <c r="AW29" s="350"/>
      <c r="AX29" s="350"/>
      <c r="AY29" s="350"/>
      <c r="AZ29" s="350"/>
      <c r="BA29" s="350"/>
      <c r="BB29" s="350"/>
      <c r="BC29" s="350"/>
      <c r="BD29" s="350"/>
      <c r="BE29" s="350"/>
      <c r="BF29" s="350"/>
      <c r="BG29" s="350"/>
      <c r="BH29" s="350"/>
      <c r="BI29" s="350"/>
      <c r="BJ29" s="350"/>
      <c r="BK29" s="350"/>
      <c r="BL29" s="350"/>
      <c r="BM29" s="350"/>
      <c r="BN29" s="350"/>
      <c r="BO29" s="350"/>
      <c r="BP29" s="350"/>
      <c r="BQ29" s="350"/>
      <c r="BR29" s="350"/>
      <c r="BS29" s="350"/>
      <c r="BT29" s="350"/>
    </row>
    <row r="30" spans="1:72" s="458" customFormat="1" ht="10.5" customHeight="1" x14ac:dyDescent="0.2">
      <c r="A30" s="363"/>
      <c r="B30" s="374"/>
      <c r="C30" s="365"/>
      <c r="D30" s="365"/>
      <c r="E30" s="365"/>
      <c r="F30" s="375"/>
      <c r="G30" s="459"/>
      <c r="H30" s="350"/>
      <c r="I30" s="350"/>
      <c r="J30" s="350"/>
      <c r="K30" s="350"/>
      <c r="L30" s="350"/>
      <c r="M30" s="350"/>
      <c r="N30" s="350"/>
      <c r="O30" s="350"/>
      <c r="P30" s="350"/>
      <c r="Q30" s="350"/>
      <c r="R30" s="350"/>
      <c r="S30" s="350"/>
      <c r="T30" s="350"/>
      <c r="U30" s="350"/>
      <c r="V30" s="350"/>
      <c r="W30" s="350"/>
      <c r="X30" s="350"/>
      <c r="Y30" s="350"/>
      <c r="Z30" s="350"/>
      <c r="AA30" s="350"/>
      <c r="AB30" s="350"/>
      <c r="AC30" s="350"/>
      <c r="AD30" s="350"/>
      <c r="AE30" s="350"/>
      <c r="AF30" s="350"/>
      <c r="AG30" s="350"/>
      <c r="AH30" s="350"/>
      <c r="AI30" s="350"/>
      <c r="AJ30" s="350"/>
      <c r="AK30" s="350"/>
      <c r="AL30" s="350"/>
      <c r="AM30" s="350"/>
      <c r="AN30" s="350"/>
      <c r="AO30" s="350"/>
      <c r="AP30" s="350"/>
      <c r="AQ30" s="350"/>
      <c r="AR30" s="350"/>
      <c r="AS30" s="350"/>
      <c r="AT30" s="350"/>
      <c r="AU30" s="350"/>
      <c r="AV30" s="350"/>
      <c r="AW30" s="350"/>
      <c r="AX30" s="350"/>
      <c r="AY30" s="350"/>
      <c r="AZ30" s="350"/>
      <c r="BA30" s="350"/>
      <c r="BB30" s="350"/>
      <c r="BC30" s="350"/>
      <c r="BD30" s="350"/>
      <c r="BE30" s="350"/>
      <c r="BF30" s="350"/>
      <c r="BG30" s="350"/>
      <c r="BH30" s="350"/>
      <c r="BI30" s="350"/>
      <c r="BJ30" s="350"/>
      <c r="BK30" s="350"/>
      <c r="BL30" s="350"/>
      <c r="BM30" s="350"/>
      <c r="BN30" s="350"/>
      <c r="BO30" s="350"/>
      <c r="BP30" s="350"/>
      <c r="BQ30" s="350"/>
      <c r="BR30" s="350"/>
      <c r="BS30" s="350"/>
      <c r="BT30" s="350"/>
    </row>
    <row r="31" spans="1:72" s="458" customFormat="1" ht="15.75" customHeight="1" x14ac:dyDescent="0.2">
      <c r="A31" s="363"/>
      <c r="B31" s="460" t="s">
        <v>177</v>
      </c>
      <c r="C31" s="365"/>
      <c r="D31" s="365"/>
      <c r="E31" s="365"/>
      <c r="F31" s="375"/>
      <c r="G31" s="459">
        <f>SUM(G32:G34)</f>
        <v>315486</v>
      </c>
      <c r="H31" s="350"/>
      <c r="I31" s="350"/>
      <c r="J31" s="350"/>
      <c r="K31" s="350"/>
      <c r="L31" s="350"/>
      <c r="M31" s="350"/>
      <c r="N31" s="350"/>
      <c r="O31" s="350"/>
      <c r="P31" s="350"/>
      <c r="Q31" s="350"/>
      <c r="R31" s="350"/>
      <c r="S31" s="350"/>
      <c r="T31" s="350"/>
      <c r="U31" s="350"/>
      <c r="V31" s="350"/>
      <c r="W31" s="350"/>
      <c r="X31" s="350"/>
      <c r="Y31" s="350"/>
      <c r="Z31" s="350"/>
      <c r="AA31" s="350"/>
      <c r="AB31" s="350"/>
      <c r="AC31" s="350"/>
      <c r="AD31" s="350"/>
      <c r="AE31" s="350"/>
      <c r="AF31" s="350"/>
      <c r="AG31" s="350"/>
      <c r="AH31" s="350"/>
      <c r="AI31" s="350"/>
      <c r="AJ31" s="350"/>
      <c r="AK31" s="350"/>
      <c r="AL31" s="350"/>
      <c r="AM31" s="350"/>
      <c r="AN31" s="350"/>
      <c r="AO31" s="350"/>
      <c r="AP31" s="350"/>
      <c r="AQ31" s="350"/>
      <c r="AR31" s="350"/>
      <c r="AS31" s="350"/>
      <c r="AT31" s="350"/>
      <c r="AU31" s="350"/>
      <c r="AV31" s="350"/>
      <c r="AW31" s="350"/>
      <c r="AX31" s="350"/>
      <c r="AY31" s="350"/>
      <c r="AZ31" s="350"/>
      <c r="BA31" s="350"/>
      <c r="BB31" s="350"/>
      <c r="BC31" s="350"/>
      <c r="BD31" s="350"/>
      <c r="BE31" s="350"/>
      <c r="BF31" s="350"/>
      <c r="BG31" s="350"/>
      <c r="BH31" s="350"/>
      <c r="BI31" s="350"/>
      <c r="BJ31" s="350"/>
      <c r="BK31" s="350"/>
      <c r="BL31" s="350"/>
      <c r="BM31" s="350"/>
      <c r="BN31" s="350"/>
      <c r="BO31" s="350"/>
      <c r="BP31" s="350"/>
      <c r="BQ31" s="350"/>
      <c r="BR31" s="350"/>
      <c r="BS31" s="350"/>
      <c r="BT31" s="350"/>
    </row>
    <row r="32" spans="1:72" s="458" customFormat="1" ht="15.75" customHeight="1" x14ac:dyDescent="0.2">
      <c r="A32" s="363"/>
      <c r="B32" s="364"/>
      <c r="C32" s="365"/>
      <c r="D32" s="365"/>
      <c r="E32" s="365" t="s">
        <v>477</v>
      </c>
      <c r="F32" s="375" t="s">
        <v>474</v>
      </c>
      <c r="G32" s="376">
        <f>12600+279000+5400+12300</f>
        <v>309300</v>
      </c>
      <c r="H32" s="350"/>
      <c r="I32" s="350"/>
      <c r="J32" s="350"/>
      <c r="K32" s="350"/>
      <c r="L32" s="350"/>
      <c r="M32" s="350"/>
      <c r="N32" s="350"/>
      <c r="O32" s="350"/>
      <c r="P32" s="350"/>
      <c r="Q32" s="350"/>
      <c r="R32" s="350"/>
      <c r="S32" s="350"/>
      <c r="T32" s="350"/>
      <c r="U32" s="350"/>
      <c r="V32" s="350"/>
      <c r="W32" s="350"/>
      <c r="X32" s="350"/>
      <c r="Y32" s="350"/>
      <c r="Z32" s="350"/>
      <c r="AA32" s="350"/>
      <c r="AB32" s="350"/>
      <c r="AC32" s="350"/>
      <c r="AD32" s="350"/>
      <c r="AE32" s="350"/>
      <c r="AF32" s="350"/>
      <c r="AG32" s="350"/>
      <c r="AH32" s="350"/>
      <c r="AI32" s="350"/>
      <c r="AJ32" s="350"/>
      <c r="AK32" s="350"/>
      <c r="AL32" s="350"/>
      <c r="AM32" s="350"/>
      <c r="AN32" s="350"/>
      <c r="AO32" s="350"/>
      <c r="AP32" s="350"/>
      <c r="AQ32" s="350"/>
      <c r="AR32" s="350"/>
      <c r="AS32" s="350"/>
      <c r="AT32" s="350"/>
      <c r="AU32" s="350"/>
      <c r="AV32" s="350"/>
      <c r="AW32" s="350"/>
      <c r="AX32" s="350"/>
      <c r="AY32" s="350"/>
      <c r="AZ32" s="350"/>
      <c r="BA32" s="350"/>
      <c r="BB32" s="350"/>
      <c r="BC32" s="350"/>
      <c r="BD32" s="350"/>
      <c r="BE32" s="350"/>
      <c r="BF32" s="350"/>
      <c r="BG32" s="350"/>
      <c r="BH32" s="350"/>
      <c r="BI32" s="350"/>
      <c r="BJ32" s="350"/>
      <c r="BK32" s="350"/>
      <c r="BL32" s="350"/>
      <c r="BM32" s="350"/>
      <c r="BN32" s="350"/>
      <c r="BO32" s="350"/>
      <c r="BP32" s="350"/>
      <c r="BQ32" s="350"/>
      <c r="BR32" s="350"/>
      <c r="BS32" s="350"/>
      <c r="BT32" s="350"/>
    </row>
    <row r="33" spans="1:72" s="458" customFormat="1" ht="15.75" customHeight="1" x14ac:dyDescent="0.2">
      <c r="A33" s="363"/>
      <c r="B33" s="364"/>
      <c r="C33" s="382"/>
      <c r="D33" s="365"/>
      <c r="E33" s="365" t="s">
        <v>482</v>
      </c>
      <c r="F33" s="375" t="s">
        <v>474</v>
      </c>
      <c r="G33" s="376">
        <f>210+4638+90+205</f>
        <v>5143</v>
      </c>
      <c r="H33" s="350"/>
      <c r="I33" s="350"/>
      <c r="J33" s="350"/>
      <c r="K33" s="350"/>
      <c r="L33" s="350"/>
      <c r="M33" s="350"/>
      <c r="N33" s="350"/>
      <c r="O33" s="350"/>
      <c r="P33" s="350"/>
      <c r="Q33" s="350"/>
      <c r="R33" s="350"/>
      <c r="S33" s="350"/>
      <c r="T33" s="350"/>
      <c r="U33" s="350"/>
      <c r="V33" s="350"/>
      <c r="W33" s="350"/>
      <c r="X33" s="350"/>
      <c r="Y33" s="350"/>
      <c r="Z33" s="350"/>
      <c r="AA33" s="350"/>
      <c r="AB33" s="350"/>
      <c r="AC33" s="350"/>
      <c r="AD33" s="350"/>
      <c r="AE33" s="350"/>
      <c r="AF33" s="350"/>
      <c r="AG33" s="350"/>
      <c r="AH33" s="350"/>
      <c r="AI33" s="350"/>
      <c r="AJ33" s="350"/>
      <c r="AK33" s="350"/>
      <c r="AL33" s="350"/>
      <c r="AM33" s="350"/>
      <c r="AN33" s="350"/>
      <c r="AO33" s="350"/>
      <c r="AP33" s="350"/>
      <c r="AQ33" s="350"/>
      <c r="AR33" s="350"/>
      <c r="AS33" s="350"/>
      <c r="AT33" s="350"/>
      <c r="AU33" s="350"/>
      <c r="AV33" s="350"/>
      <c r="AW33" s="350"/>
      <c r="AX33" s="350"/>
      <c r="AY33" s="350"/>
      <c r="AZ33" s="350"/>
      <c r="BA33" s="350"/>
      <c r="BB33" s="350"/>
      <c r="BC33" s="350"/>
      <c r="BD33" s="350"/>
      <c r="BE33" s="350"/>
      <c r="BF33" s="350"/>
      <c r="BG33" s="350"/>
      <c r="BH33" s="350"/>
      <c r="BI33" s="350"/>
      <c r="BJ33" s="350"/>
      <c r="BK33" s="350"/>
      <c r="BL33" s="350"/>
      <c r="BM33" s="350"/>
      <c r="BN33" s="350"/>
      <c r="BO33" s="350"/>
      <c r="BP33" s="350"/>
      <c r="BQ33" s="350"/>
      <c r="BR33" s="350"/>
      <c r="BS33" s="350"/>
      <c r="BT33" s="350"/>
    </row>
    <row r="34" spans="1:72" s="458" customFormat="1" ht="15.75" customHeight="1" x14ac:dyDescent="0.2">
      <c r="A34" s="363"/>
      <c r="B34" s="364"/>
      <c r="C34" s="382"/>
      <c r="D34" s="365"/>
      <c r="E34" s="365" t="s">
        <v>483</v>
      </c>
      <c r="F34" s="375" t="s">
        <v>474</v>
      </c>
      <c r="G34" s="376">
        <f>42+815+115+12+18+41</f>
        <v>1043</v>
      </c>
      <c r="H34" s="350"/>
      <c r="I34" s="350"/>
      <c r="J34" s="350"/>
      <c r="K34" s="350"/>
      <c r="L34" s="350"/>
      <c r="M34" s="350"/>
      <c r="N34" s="350"/>
      <c r="O34" s="350"/>
      <c r="P34" s="350"/>
      <c r="Q34" s="350"/>
      <c r="R34" s="350"/>
      <c r="S34" s="350"/>
      <c r="T34" s="350"/>
      <c r="U34" s="350"/>
      <c r="V34" s="350"/>
      <c r="W34" s="350"/>
      <c r="X34" s="350"/>
      <c r="Y34" s="350"/>
      <c r="Z34" s="350"/>
      <c r="AA34" s="350"/>
      <c r="AB34" s="350"/>
      <c r="AC34" s="350"/>
      <c r="AD34" s="350"/>
      <c r="AE34" s="350"/>
      <c r="AF34" s="350"/>
      <c r="AG34" s="350"/>
      <c r="AH34" s="350"/>
      <c r="AI34" s="350"/>
      <c r="AJ34" s="350"/>
      <c r="AK34" s="350"/>
      <c r="AL34" s="350"/>
      <c r="AM34" s="350"/>
      <c r="AN34" s="350"/>
      <c r="AO34" s="350"/>
      <c r="AP34" s="350"/>
      <c r="AQ34" s="350"/>
      <c r="AR34" s="350"/>
      <c r="AS34" s="350"/>
      <c r="AT34" s="350"/>
      <c r="AU34" s="350"/>
      <c r="AV34" s="350"/>
      <c r="AW34" s="350"/>
      <c r="AX34" s="350"/>
      <c r="AY34" s="350"/>
      <c r="AZ34" s="350"/>
      <c r="BA34" s="350"/>
      <c r="BB34" s="350"/>
      <c r="BC34" s="350"/>
      <c r="BD34" s="350"/>
      <c r="BE34" s="350"/>
      <c r="BF34" s="350"/>
      <c r="BG34" s="350"/>
      <c r="BH34" s="350"/>
      <c r="BI34" s="350"/>
      <c r="BJ34" s="350"/>
      <c r="BK34" s="350"/>
      <c r="BL34" s="350"/>
      <c r="BM34" s="350"/>
      <c r="BN34" s="350"/>
      <c r="BO34" s="350"/>
      <c r="BP34" s="350"/>
      <c r="BQ34" s="350"/>
      <c r="BR34" s="350"/>
      <c r="BS34" s="350"/>
      <c r="BT34" s="350"/>
    </row>
    <row r="35" spans="1:72" s="458" customFormat="1" ht="15.75" customHeight="1" x14ac:dyDescent="0.2">
      <c r="A35" s="377"/>
      <c r="B35" s="378"/>
      <c r="C35" s="379"/>
      <c r="D35" s="366"/>
      <c r="E35" s="366"/>
      <c r="F35" s="368"/>
      <c r="G35" s="380"/>
      <c r="H35" s="350"/>
      <c r="I35" s="350"/>
      <c r="J35" s="350"/>
      <c r="K35" s="350"/>
      <c r="L35" s="350"/>
      <c r="M35" s="350"/>
      <c r="N35" s="350"/>
      <c r="O35" s="350"/>
      <c r="P35" s="350"/>
      <c r="Q35" s="350"/>
      <c r="R35" s="350"/>
      <c r="S35" s="350"/>
      <c r="T35" s="350"/>
      <c r="U35" s="350"/>
      <c r="V35" s="350"/>
      <c r="W35" s="350"/>
      <c r="X35" s="350"/>
      <c r="Y35" s="350"/>
      <c r="Z35" s="350"/>
      <c r="AA35" s="350"/>
      <c r="AB35" s="350"/>
      <c r="AC35" s="350"/>
      <c r="AD35" s="350"/>
      <c r="AE35" s="350"/>
      <c r="AF35" s="350"/>
      <c r="AG35" s="350"/>
      <c r="AH35" s="350"/>
      <c r="AI35" s="350"/>
      <c r="AJ35" s="350"/>
      <c r="AK35" s="350"/>
      <c r="AL35" s="350"/>
      <c r="AM35" s="350"/>
      <c r="AN35" s="350"/>
      <c r="AO35" s="350"/>
      <c r="AP35" s="350"/>
      <c r="AQ35" s="350"/>
      <c r="AR35" s="350"/>
      <c r="AS35" s="350"/>
      <c r="AT35" s="350"/>
      <c r="AU35" s="350"/>
      <c r="AV35" s="350"/>
      <c r="AW35" s="350"/>
      <c r="AX35" s="350"/>
      <c r="AY35" s="350"/>
      <c r="AZ35" s="350"/>
      <c r="BA35" s="350"/>
      <c r="BB35" s="350"/>
      <c r="BC35" s="350"/>
      <c r="BD35" s="350"/>
      <c r="BE35" s="350"/>
      <c r="BF35" s="350"/>
      <c r="BG35" s="350"/>
      <c r="BH35" s="350"/>
      <c r="BI35" s="350"/>
      <c r="BJ35" s="350"/>
      <c r="BK35" s="350"/>
      <c r="BL35" s="350"/>
      <c r="BM35" s="350"/>
      <c r="BN35" s="350"/>
      <c r="BO35" s="350"/>
      <c r="BP35" s="350"/>
      <c r="BQ35" s="350"/>
      <c r="BR35" s="350"/>
      <c r="BS35" s="350"/>
      <c r="BT35" s="350"/>
    </row>
    <row r="36" spans="1:72" s="458" customFormat="1" ht="21.75" customHeight="1" x14ac:dyDescent="0.2">
      <c r="A36" s="363"/>
      <c r="B36" s="364"/>
      <c r="C36" s="365" t="s">
        <v>487</v>
      </c>
      <c r="D36" s="365" t="s">
        <v>22</v>
      </c>
      <c r="E36" s="366" t="s">
        <v>25</v>
      </c>
      <c r="F36" s="367">
        <f>55248+183549+25396+225667+26112+20400+296179+19787+194352</f>
        <v>1046690</v>
      </c>
      <c r="G36" s="368" t="s">
        <v>474</v>
      </c>
      <c r="H36" s="350"/>
      <c r="I36" s="350"/>
      <c r="J36" s="350"/>
      <c r="K36" s="350"/>
      <c r="L36" s="350"/>
      <c r="M36" s="350"/>
      <c r="N36" s="350"/>
      <c r="O36" s="350"/>
      <c r="P36" s="350"/>
      <c r="Q36" s="350"/>
      <c r="R36" s="350"/>
      <c r="S36" s="350"/>
      <c r="T36" s="350"/>
      <c r="U36" s="350"/>
      <c r="V36" s="350"/>
      <c r="W36" s="350"/>
      <c r="X36" s="350"/>
      <c r="Y36" s="350"/>
      <c r="Z36" s="350"/>
      <c r="AA36" s="350"/>
      <c r="AB36" s="350"/>
      <c r="AC36" s="350"/>
      <c r="AD36" s="350"/>
      <c r="AE36" s="350"/>
      <c r="AF36" s="350"/>
      <c r="AG36" s="350"/>
      <c r="AH36" s="350"/>
      <c r="AI36" s="350"/>
      <c r="AJ36" s="350"/>
      <c r="AK36" s="350"/>
      <c r="AL36" s="350"/>
      <c r="AM36" s="350"/>
      <c r="AN36" s="350"/>
      <c r="AO36" s="350"/>
      <c r="AP36" s="350"/>
      <c r="AQ36" s="350"/>
      <c r="AR36" s="350"/>
      <c r="AS36" s="350"/>
      <c r="AT36" s="350"/>
      <c r="AU36" s="350"/>
      <c r="AV36" s="350"/>
      <c r="AW36" s="350"/>
      <c r="AX36" s="350"/>
      <c r="AY36" s="350"/>
      <c r="AZ36" s="350"/>
      <c r="BA36" s="350"/>
      <c r="BB36" s="350"/>
      <c r="BC36" s="350"/>
      <c r="BD36" s="350"/>
      <c r="BE36" s="350"/>
      <c r="BF36" s="350"/>
      <c r="BG36" s="350"/>
      <c r="BH36" s="350"/>
      <c r="BI36" s="350"/>
      <c r="BJ36" s="350"/>
      <c r="BK36" s="350"/>
      <c r="BL36" s="350"/>
      <c r="BM36" s="350"/>
      <c r="BN36" s="350"/>
      <c r="BO36" s="350"/>
      <c r="BP36" s="350"/>
      <c r="BQ36" s="350"/>
      <c r="BR36" s="350"/>
      <c r="BS36" s="350"/>
      <c r="BT36" s="350"/>
    </row>
    <row r="37" spans="1:72" s="458" customFormat="1" ht="25.5" customHeight="1" x14ac:dyDescent="0.2">
      <c r="A37" s="369" t="s">
        <v>454</v>
      </c>
      <c r="B37" s="370" t="s">
        <v>488</v>
      </c>
      <c r="C37" s="365"/>
      <c r="D37" s="365"/>
      <c r="E37" s="371" t="s">
        <v>474</v>
      </c>
      <c r="F37" s="372" t="s">
        <v>474</v>
      </c>
      <c r="G37" s="373">
        <f>SUM(G40,G48,G56,G64,G71,G78,G85,G92)</f>
        <v>1046689.9999999999</v>
      </c>
      <c r="H37" s="350"/>
      <c r="I37" s="383"/>
      <c r="J37" s="350"/>
      <c r="K37" s="350"/>
      <c r="L37" s="350"/>
      <c r="M37" s="350"/>
      <c r="N37" s="350"/>
      <c r="O37" s="350"/>
      <c r="P37" s="350"/>
      <c r="Q37" s="350"/>
      <c r="R37" s="350"/>
      <c r="S37" s="350"/>
      <c r="T37" s="350"/>
      <c r="U37" s="350"/>
      <c r="V37" s="350"/>
      <c r="W37" s="350"/>
      <c r="X37" s="350"/>
      <c r="Y37" s="350"/>
      <c r="Z37" s="350"/>
      <c r="AA37" s="350"/>
      <c r="AB37" s="350"/>
      <c r="AC37" s="350"/>
      <c r="AD37" s="350"/>
      <c r="AE37" s="350"/>
      <c r="AF37" s="350"/>
      <c r="AG37" s="350"/>
      <c r="AH37" s="350"/>
      <c r="AI37" s="350"/>
      <c r="AJ37" s="350"/>
      <c r="AK37" s="350"/>
      <c r="AL37" s="350"/>
      <c r="AM37" s="350"/>
      <c r="AN37" s="350"/>
      <c r="AO37" s="350"/>
      <c r="AP37" s="350"/>
      <c r="AQ37" s="350"/>
      <c r="AR37" s="350"/>
      <c r="AS37" s="350"/>
      <c r="AT37" s="350"/>
      <c r="AU37" s="350"/>
      <c r="AV37" s="350"/>
      <c r="AW37" s="350"/>
      <c r="AX37" s="350"/>
      <c r="AY37" s="350"/>
      <c r="AZ37" s="350"/>
      <c r="BA37" s="350"/>
      <c r="BB37" s="350"/>
      <c r="BC37" s="350"/>
      <c r="BD37" s="350"/>
      <c r="BE37" s="350"/>
      <c r="BF37" s="350"/>
      <c r="BG37" s="350"/>
      <c r="BH37" s="350"/>
      <c r="BI37" s="350"/>
      <c r="BJ37" s="350"/>
      <c r="BK37" s="350"/>
      <c r="BL37" s="350"/>
      <c r="BM37" s="350"/>
      <c r="BN37" s="350"/>
      <c r="BO37" s="350"/>
      <c r="BP37" s="350"/>
      <c r="BQ37" s="350"/>
      <c r="BR37" s="350"/>
      <c r="BS37" s="350"/>
      <c r="BT37" s="350"/>
    </row>
    <row r="38" spans="1:72" s="458" customFormat="1" ht="7.5" customHeight="1" x14ac:dyDescent="0.2">
      <c r="A38" s="363"/>
      <c r="B38" s="364"/>
      <c r="C38" s="382"/>
      <c r="D38" s="365"/>
      <c r="E38" s="365"/>
      <c r="F38" s="375"/>
      <c r="G38" s="376"/>
      <c r="H38" s="350"/>
      <c r="I38" s="350"/>
      <c r="J38" s="350"/>
      <c r="K38" s="350"/>
      <c r="L38" s="350"/>
      <c r="M38" s="350"/>
      <c r="N38" s="350"/>
      <c r="O38" s="350"/>
      <c r="P38" s="350"/>
      <c r="Q38" s="350"/>
      <c r="R38" s="350"/>
      <c r="S38" s="350"/>
      <c r="T38" s="350"/>
      <c r="U38" s="350"/>
      <c r="V38" s="350"/>
      <c r="W38" s="350"/>
      <c r="X38" s="350"/>
      <c r="Y38" s="350"/>
      <c r="Z38" s="350"/>
      <c r="AA38" s="350"/>
      <c r="AB38" s="350"/>
      <c r="AC38" s="350"/>
      <c r="AD38" s="350"/>
      <c r="AE38" s="350"/>
      <c r="AF38" s="350"/>
      <c r="AG38" s="350"/>
      <c r="AH38" s="350"/>
      <c r="AI38" s="350"/>
      <c r="AJ38" s="350"/>
      <c r="AK38" s="350"/>
      <c r="AL38" s="350"/>
      <c r="AM38" s="350"/>
      <c r="AN38" s="350"/>
      <c r="AO38" s="350"/>
      <c r="AP38" s="350"/>
      <c r="AQ38" s="350"/>
      <c r="AR38" s="350"/>
      <c r="AS38" s="350"/>
      <c r="AT38" s="350"/>
      <c r="AU38" s="350"/>
      <c r="AV38" s="350"/>
      <c r="AW38" s="350"/>
      <c r="AX38" s="350"/>
      <c r="AY38" s="350"/>
      <c r="AZ38" s="350"/>
      <c r="BA38" s="350"/>
      <c r="BB38" s="350"/>
      <c r="BC38" s="350"/>
      <c r="BD38" s="350"/>
      <c r="BE38" s="350"/>
      <c r="BF38" s="350"/>
      <c r="BG38" s="350"/>
      <c r="BH38" s="350"/>
      <c r="BI38" s="350"/>
      <c r="BJ38" s="350"/>
      <c r="BK38" s="350"/>
      <c r="BL38" s="350"/>
      <c r="BM38" s="350"/>
      <c r="BN38" s="350"/>
      <c r="BO38" s="350"/>
      <c r="BP38" s="350"/>
      <c r="BQ38" s="350"/>
      <c r="BR38" s="350"/>
      <c r="BS38" s="350"/>
      <c r="BT38" s="350"/>
    </row>
    <row r="39" spans="1:72" s="458" customFormat="1" ht="12.75" customHeight="1" x14ac:dyDescent="0.2">
      <c r="A39" s="363"/>
      <c r="B39" s="364"/>
      <c r="C39" s="382"/>
      <c r="D39" s="365"/>
      <c r="E39" s="365"/>
      <c r="F39" s="375"/>
      <c r="G39" s="376"/>
      <c r="H39" s="350"/>
      <c r="I39" s="350"/>
      <c r="J39" s="350"/>
      <c r="K39" s="350"/>
      <c r="L39" s="350"/>
      <c r="M39" s="350"/>
      <c r="N39" s="350"/>
      <c r="O39" s="350"/>
      <c r="P39" s="350"/>
      <c r="Q39" s="350"/>
      <c r="R39" s="350"/>
      <c r="S39" s="350"/>
      <c r="T39" s="350"/>
      <c r="U39" s="350"/>
      <c r="V39" s="350"/>
      <c r="W39" s="350"/>
      <c r="X39" s="350"/>
      <c r="Y39" s="350"/>
      <c r="Z39" s="350"/>
      <c r="AA39" s="350"/>
      <c r="AB39" s="350"/>
      <c r="AC39" s="350"/>
      <c r="AD39" s="350"/>
      <c r="AE39" s="350"/>
      <c r="AF39" s="350"/>
      <c r="AG39" s="350"/>
      <c r="AH39" s="350"/>
      <c r="AI39" s="350"/>
      <c r="AJ39" s="350"/>
      <c r="AK39" s="350"/>
      <c r="AL39" s="350"/>
      <c r="AM39" s="350"/>
      <c r="AN39" s="350"/>
      <c r="AO39" s="350"/>
      <c r="AP39" s="350"/>
      <c r="AQ39" s="350"/>
      <c r="AR39" s="350"/>
      <c r="AS39" s="350"/>
      <c r="AT39" s="350"/>
      <c r="AU39" s="350"/>
      <c r="AV39" s="350"/>
      <c r="AW39" s="350"/>
      <c r="AX39" s="350"/>
      <c r="AY39" s="350"/>
      <c r="AZ39" s="350"/>
      <c r="BA39" s="350"/>
      <c r="BB39" s="350"/>
      <c r="BC39" s="350"/>
      <c r="BD39" s="350"/>
      <c r="BE39" s="350"/>
      <c r="BF39" s="350"/>
      <c r="BG39" s="350"/>
      <c r="BH39" s="350"/>
      <c r="BI39" s="350"/>
      <c r="BJ39" s="350"/>
      <c r="BK39" s="350"/>
      <c r="BL39" s="350"/>
      <c r="BM39" s="350"/>
      <c r="BN39" s="350"/>
      <c r="BO39" s="350"/>
      <c r="BP39" s="350"/>
      <c r="BQ39" s="350"/>
      <c r="BR39" s="350"/>
      <c r="BS39" s="350"/>
      <c r="BT39" s="350"/>
    </row>
    <row r="40" spans="1:72" s="458" customFormat="1" ht="15.75" customHeight="1" x14ac:dyDescent="0.2">
      <c r="A40" s="363"/>
      <c r="B40" s="460" t="s">
        <v>122</v>
      </c>
      <c r="C40" s="365" t="s">
        <v>489</v>
      </c>
      <c r="D40" s="365" t="s">
        <v>490</v>
      </c>
      <c r="E40" s="371" t="s">
        <v>474</v>
      </c>
      <c r="F40" s="372" t="s">
        <v>474</v>
      </c>
      <c r="G40" s="373">
        <f>SUM(G42)</f>
        <v>868885.79</v>
      </c>
      <c r="H40" s="350"/>
      <c r="I40" s="350"/>
      <c r="J40" s="350"/>
      <c r="K40" s="350"/>
      <c r="L40" s="350"/>
      <c r="M40" s="350"/>
      <c r="N40" s="350"/>
      <c r="O40" s="350"/>
      <c r="P40" s="350"/>
      <c r="Q40" s="350"/>
      <c r="R40" s="350"/>
      <c r="S40" s="350"/>
      <c r="T40" s="350"/>
      <c r="U40" s="350"/>
      <c r="V40" s="350"/>
      <c r="W40" s="350"/>
      <c r="X40" s="350"/>
      <c r="Y40" s="350"/>
      <c r="Z40" s="350"/>
      <c r="AA40" s="350"/>
      <c r="AB40" s="350"/>
      <c r="AC40" s="350"/>
      <c r="AD40" s="350"/>
      <c r="AE40" s="350"/>
      <c r="AF40" s="350"/>
      <c r="AG40" s="350"/>
      <c r="AH40" s="350"/>
      <c r="AI40" s="350"/>
      <c r="AJ40" s="350"/>
      <c r="AK40" s="350"/>
      <c r="AL40" s="350"/>
      <c r="AM40" s="350"/>
      <c r="AN40" s="350"/>
      <c r="AO40" s="350"/>
      <c r="AP40" s="350"/>
      <c r="AQ40" s="350"/>
      <c r="AR40" s="350"/>
      <c r="AS40" s="350"/>
      <c r="AT40" s="350"/>
      <c r="AU40" s="350"/>
      <c r="AV40" s="350"/>
      <c r="AW40" s="350"/>
      <c r="AX40" s="350"/>
      <c r="AY40" s="350"/>
      <c r="AZ40" s="350"/>
      <c r="BA40" s="350"/>
      <c r="BB40" s="350"/>
      <c r="BC40" s="350"/>
      <c r="BD40" s="350"/>
      <c r="BE40" s="350"/>
      <c r="BF40" s="350"/>
      <c r="BG40" s="350"/>
      <c r="BH40" s="350"/>
      <c r="BI40" s="350"/>
      <c r="BJ40" s="350"/>
      <c r="BK40" s="350"/>
      <c r="BL40" s="350"/>
      <c r="BM40" s="350"/>
      <c r="BN40" s="350"/>
      <c r="BO40" s="350"/>
      <c r="BP40" s="350"/>
      <c r="BQ40" s="350"/>
      <c r="BR40" s="350"/>
      <c r="BS40" s="350"/>
      <c r="BT40" s="350"/>
    </row>
    <row r="41" spans="1:72" s="458" customFormat="1" ht="7.5" customHeight="1" x14ac:dyDescent="0.2">
      <c r="A41" s="363"/>
      <c r="B41" s="364"/>
      <c r="C41" s="382"/>
      <c r="D41" s="365"/>
      <c r="E41" s="365"/>
      <c r="F41" s="375"/>
      <c r="G41" s="376"/>
      <c r="H41" s="350"/>
      <c r="I41" s="350"/>
      <c r="J41" s="350"/>
      <c r="K41" s="350"/>
      <c r="L41" s="350"/>
      <c r="M41" s="350"/>
      <c r="N41" s="350"/>
      <c r="O41" s="350"/>
      <c r="P41" s="350"/>
      <c r="Q41" s="350"/>
      <c r="R41" s="350"/>
      <c r="S41" s="350"/>
      <c r="T41" s="350"/>
      <c r="U41" s="350"/>
      <c r="V41" s="350"/>
      <c r="W41" s="350"/>
      <c r="X41" s="350"/>
      <c r="Y41" s="350"/>
      <c r="Z41" s="350"/>
      <c r="AA41" s="350"/>
      <c r="AB41" s="350"/>
      <c r="AC41" s="350"/>
      <c r="AD41" s="350"/>
      <c r="AE41" s="350"/>
      <c r="AF41" s="350"/>
      <c r="AG41" s="350"/>
      <c r="AH41" s="350"/>
      <c r="AI41" s="350"/>
      <c r="AJ41" s="350"/>
      <c r="AK41" s="350"/>
      <c r="AL41" s="350"/>
      <c r="AM41" s="350"/>
      <c r="AN41" s="350"/>
      <c r="AO41" s="350"/>
      <c r="AP41" s="350"/>
      <c r="AQ41" s="350"/>
      <c r="AR41" s="350"/>
      <c r="AS41" s="350"/>
      <c r="AT41" s="350"/>
      <c r="AU41" s="350"/>
      <c r="AV41" s="350"/>
      <c r="AW41" s="350"/>
      <c r="AX41" s="350"/>
      <c r="AY41" s="350"/>
      <c r="AZ41" s="350"/>
      <c r="BA41" s="350"/>
      <c r="BB41" s="350"/>
      <c r="BC41" s="350"/>
      <c r="BD41" s="350"/>
      <c r="BE41" s="350"/>
      <c r="BF41" s="350"/>
      <c r="BG41" s="350"/>
      <c r="BH41" s="350"/>
      <c r="BI41" s="350"/>
      <c r="BJ41" s="350"/>
      <c r="BK41" s="350"/>
      <c r="BL41" s="350"/>
      <c r="BM41" s="350"/>
      <c r="BN41" s="350"/>
      <c r="BO41" s="350"/>
      <c r="BP41" s="350"/>
      <c r="BQ41" s="350"/>
      <c r="BR41" s="350"/>
      <c r="BS41" s="350"/>
      <c r="BT41" s="350"/>
    </row>
    <row r="42" spans="1:72" s="458" customFormat="1" ht="15.75" customHeight="1" x14ac:dyDescent="0.2">
      <c r="A42" s="363"/>
      <c r="B42" s="364"/>
      <c r="C42" s="382"/>
      <c r="D42" s="365"/>
      <c r="E42" s="365"/>
      <c r="F42" s="375"/>
      <c r="G42" s="459">
        <f>SUM(G43:G46)</f>
        <v>868885.79</v>
      </c>
      <c r="H42" s="350"/>
      <c r="I42" s="350"/>
      <c r="J42" s="350"/>
      <c r="K42" s="350"/>
      <c r="L42" s="350"/>
      <c r="M42" s="350"/>
      <c r="N42" s="350"/>
      <c r="O42" s="350"/>
      <c r="P42" s="350"/>
      <c r="Q42" s="350"/>
      <c r="R42" s="350"/>
      <c r="S42" s="350"/>
      <c r="T42" s="350"/>
      <c r="U42" s="350"/>
      <c r="V42" s="350"/>
      <c r="W42" s="350"/>
      <c r="X42" s="350"/>
      <c r="Y42" s="350"/>
      <c r="Z42" s="350"/>
      <c r="AA42" s="350"/>
      <c r="AB42" s="350"/>
      <c r="AC42" s="350"/>
      <c r="AD42" s="350"/>
      <c r="AE42" s="350"/>
      <c r="AF42" s="350"/>
      <c r="AG42" s="350"/>
      <c r="AH42" s="350"/>
      <c r="AI42" s="350"/>
      <c r="AJ42" s="350"/>
      <c r="AK42" s="350"/>
      <c r="AL42" s="350"/>
      <c r="AM42" s="350"/>
      <c r="AN42" s="350"/>
      <c r="AO42" s="350"/>
      <c r="AP42" s="350"/>
      <c r="AQ42" s="350"/>
      <c r="AR42" s="350"/>
      <c r="AS42" s="350"/>
      <c r="AT42" s="350"/>
      <c r="AU42" s="350"/>
      <c r="AV42" s="350"/>
      <c r="AW42" s="350"/>
      <c r="AX42" s="350"/>
      <c r="AY42" s="350"/>
      <c r="AZ42" s="350"/>
      <c r="BA42" s="350"/>
      <c r="BB42" s="350"/>
      <c r="BC42" s="350"/>
      <c r="BD42" s="350"/>
      <c r="BE42" s="350"/>
      <c r="BF42" s="350"/>
      <c r="BG42" s="350"/>
      <c r="BH42" s="350"/>
      <c r="BI42" s="350"/>
      <c r="BJ42" s="350"/>
      <c r="BK42" s="350"/>
      <c r="BL42" s="350"/>
      <c r="BM42" s="350"/>
      <c r="BN42" s="350"/>
      <c r="BO42" s="350"/>
      <c r="BP42" s="350"/>
      <c r="BQ42" s="350"/>
      <c r="BR42" s="350"/>
      <c r="BS42" s="350"/>
      <c r="BT42" s="350"/>
    </row>
    <row r="43" spans="1:72" s="458" customFormat="1" ht="15.75" customHeight="1" x14ac:dyDescent="0.2">
      <c r="A43" s="363"/>
      <c r="B43" s="364"/>
      <c r="C43" s="382"/>
      <c r="D43" s="365"/>
      <c r="E43" s="365" t="s">
        <v>117</v>
      </c>
      <c r="F43" s="375" t="s">
        <v>474</v>
      </c>
      <c r="G43" s="376">
        <f>6956.19</f>
        <v>6956.19</v>
      </c>
      <c r="H43" s="350"/>
      <c r="I43" s="350"/>
      <c r="J43" s="350"/>
      <c r="K43" s="350"/>
      <c r="L43" s="350"/>
      <c r="M43" s="350"/>
      <c r="N43" s="350"/>
      <c r="O43" s="350"/>
      <c r="P43" s="350"/>
      <c r="Q43" s="350"/>
      <c r="R43" s="350"/>
      <c r="S43" s="350"/>
      <c r="T43" s="350"/>
      <c r="U43" s="350"/>
      <c r="V43" s="350"/>
      <c r="W43" s="350"/>
      <c r="X43" s="350"/>
      <c r="Y43" s="350"/>
      <c r="Z43" s="350"/>
      <c r="AA43" s="350"/>
      <c r="AB43" s="350"/>
      <c r="AC43" s="350"/>
      <c r="AD43" s="350"/>
      <c r="AE43" s="350"/>
      <c r="AF43" s="350"/>
      <c r="AG43" s="350"/>
      <c r="AH43" s="350"/>
      <c r="AI43" s="350"/>
      <c r="AJ43" s="350"/>
      <c r="AK43" s="350"/>
      <c r="AL43" s="350"/>
      <c r="AM43" s="350"/>
      <c r="AN43" s="350"/>
      <c r="AO43" s="350"/>
      <c r="AP43" s="350"/>
      <c r="AQ43" s="350"/>
      <c r="AR43" s="350"/>
      <c r="AS43" s="350"/>
      <c r="AT43" s="350"/>
      <c r="AU43" s="350"/>
      <c r="AV43" s="350"/>
      <c r="AW43" s="350"/>
      <c r="AX43" s="350"/>
      <c r="AY43" s="350"/>
      <c r="AZ43" s="350"/>
      <c r="BA43" s="350"/>
      <c r="BB43" s="350"/>
      <c r="BC43" s="350"/>
      <c r="BD43" s="350"/>
      <c r="BE43" s="350"/>
      <c r="BF43" s="350"/>
      <c r="BG43" s="350"/>
      <c r="BH43" s="350"/>
      <c r="BI43" s="350"/>
      <c r="BJ43" s="350"/>
      <c r="BK43" s="350"/>
      <c r="BL43" s="350"/>
      <c r="BM43" s="350"/>
      <c r="BN43" s="350"/>
      <c r="BO43" s="350"/>
      <c r="BP43" s="350"/>
      <c r="BQ43" s="350"/>
      <c r="BR43" s="350"/>
      <c r="BS43" s="350"/>
      <c r="BT43" s="350"/>
    </row>
    <row r="44" spans="1:72" s="458" customFormat="1" ht="15.75" customHeight="1" x14ac:dyDescent="0.2">
      <c r="A44" s="363"/>
      <c r="B44" s="364"/>
      <c r="C44" s="382"/>
      <c r="D44" s="365"/>
      <c r="E44" s="365" t="s">
        <v>482</v>
      </c>
      <c r="F44" s="375" t="s">
        <v>474</v>
      </c>
      <c r="G44" s="376">
        <f>23300+23803.29</f>
        <v>47103.29</v>
      </c>
      <c r="H44" s="350"/>
      <c r="I44" s="350"/>
      <c r="J44" s="350"/>
      <c r="K44" s="350"/>
      <c r="L44" s="350"/>
      <c r="M44" s="350"/>
      <c r="N44" s="350"/>
      <c r="O44" s="350"/>
      <c r="P44" s="350"/>
      <c r="Q44" s="350"/>
      <c r="R44" s="350"/>
      <c r="S44" s="350"/>
      <c r="T44" s="350"/>
      <c r="U44" s="350"/>
      <c r="V44" s="350"/>
      <c r="W44" s="350"/>
      <c r="X44" s="350"/>
      <c r="Y44" s="350"/>
      <c r="Z44" s="350"/>
      <c r="AA44" s="350"/>
      <c r="AB44" s="350"/>
      <c r="AC44" s="350"/>
      <c r="AD44" s="350"/>
      <c r="AE44" s="350"/>
      <c r="AF44" s="350"/>
      <c r="AG44" s="350"/>
      <c r="AH44" s="350"/>
      <c r="AI44" s="350"/>
      <c r="AJ44" s="350"/>
      <c r="AK44" s="350"/>
      <c r="AL44" s="350"/>
      <c r="AM44" s="350"/>
      <c r="AN44" s="350"/>
      <c r="AO44" s="350"/>
      <c r="AP44" s="350"/>
      <c r="AQ44" s="350"/>
      <c r="AR44" s="350"/>
      <c r="AS44" s="350"/>
      <c r="AT44" s="350"/>
      <c r="AU44" s="350"/>
      <c r="AV44" s="350"/>
      <c r="AW44" s="350"/>
      <c r="AX44" s="350"/>
      <c r="AY44" s="350"/>
      <c r="AZ44" s="350"/>
      <c r="BA44" s="350"/>
      <c r="BB44" s="350"/>
      <c r="BC44" s="350"/>
      <c r="BD44" s="350"/>
      <c r="BE44" s="350"/>
      <c r="BF44" s="350"/>
      <c r="BG44" s="350"/>
      <c r="BH44" s="350"/>
      <c r="BI44" s="350"/>
      <c r="BJ44" s="350"/>
      <c r="BK44" s="350"/>
      <c r="BL44" s="350"/>
      <c r="BM44" s="350"/>
      <c r="BN44" s="350"/>
      <c r="BO44" s="350"/>
      <c r="BP44" s="350"/>
      <c r="BQ44" s="350"/>
      <c r="BR44" s="350"/>
      <c r="BS44" s="350"/>
      <c r="BT44" s="350"/>
    </row>
    <row r="45" spans="1:72" s="458" customFormat="1" ht="15.75" customHeight="1" x14ac:dyDescent="0.2">
      <c r="A45" s="363"/>
      <c r="B45" s="364"/>
      <c r="C45" s="382"/>
      <c r="D45" s="365"/>
      <c r="E45" s="365" t="s">
        <v>491</v>
      </c>
      <c r="F45" s="375" t="s">
        <v>474</v>
      </c>
      <c r="G45" s="376">
        <f>212347.85+304328.54+135776.15</f>
        <v>652452.54</v>
      </c>
      <c r="H45" s="350"/>
      <c r="I45" s="350"/>
      <c r="J45" s="350"/>
      <c r="K45" s="350"/>
      <c r="L45" s="350"/>
      <c r="M45" s="350"/>
      <c r="N45" s="350"/>
      <c r="O45" s="350"/>
      <c r="P45" s="350"/>
      <c r="Q45" s="350"/>
      <c r="R45" s="350"/>
      <c r="S45" s="350"/>
      <c r="T45" s="350"/>
      <c r="U45" s="350"/>
      <c r="V45" s="350"/>
      <c r="W45" s="350"/>
      <c r="X45" s="350"/>
      <c r="Y45" s="350"/>
      <c r="Z45" s="350"/>
      <c r="AA45" s="350"/>
      <c r="AB45" s="350"/>
      <c r="AC45" s="350"/>
      <c r="AD45" s="350"/>
      <c r="AE45" s="350"/>
      <c r="AF45" s="350"/>
      <c r="AG45" s="350"/>
      <c r="AH45" s="350"/>
      <c r="AI45" s="350"/>
      <c r="AJ45" s="350"/>
      <c r="AK45" s="350"/>
      <c r="AL45" s="350"/>
      <c r="AM45" s="350"/>
      <c r="AN45" s="350"/>
      <c r="AO45" s="350"/>
      <c r="AP45" s="350"/>
      <c r="AQ45" s="350"/>
      <c r="AR45" s="350"/>
      <c r="AS45" s="350"/>
      <c r="AT45" s="350"/>
      <c r="AU45" s="350"/>
      <c r="AV45" s="350"/>
      <c r="AW45" s="350"/>
      <c r="AX45" s="350"/>
      <c r="AY45" s="350"/>
      <c r="AZ45" s="350"/>
      <c r="BA45" s="350"/>
      <c r="BB45" s="350"/>
      <c r="BC45" s="350"/>
      <c r="BD45" s="350"/>
      <c r="BE45" s="350"/>
      <c r="BF45" s="350"/>
      <c r="BG45" s="350"/>
      <c r="BH45" s="350"/>
      <c r="BI45" s="350"/>
      <c r="BJ45" s="350"/>
      <c r="BK45" s="350"/>
      <c r="BL45" s="350"/>
      <c r="BM45" s="350"/>
      <c r="BN45" s="350"/>
      <c r="BO45" s="350"/>
      <c r="BP45" s="350"/>
      <c r="BQ45" s="350"/>
      <c r="BR45" s="350"/>
      <c r="BS45" s="350"/>
      <c r="BT45" s="350"/>
    </row>
    <row r="46" spans="1:72" s="458" customFormat="1" ht="15.75" customHeight="1" x14ac:dyDescent="0.2">
      <c r="A46" s="363"/>
      <c r="B46" s="364"/>
      <c r="C46" s="382"/>
      <c r="D46" s="365"/>
      <c r="E46" s="365" t="s">
        <v>483</v>
      </c>
      <c r="F46" s="375" t="s">
        <v>474</v>
      </c>
      <c r="G46" s="376">
        <f>49549.15+79640.81+33183.81</f>
        <v>162373.76999999999</v>
      </c>
      <c r="H46" s="350"/>
      <c r="I46" s="350"/>
      <c r="J46" s="350"/>
      <c r="K46" s="350"/>
      <c r="L46" s="350"/>
      <c r="M46" s="350"/>
      <c r="N46" s="350"/>
      <c r="O46" s="350"/>
      <c r="P46" s="350"/>
      <c r="Q46" s="350"/>
      <c r="R46" s="350"/>
      <c r="S46" s="350"/>
      <c r="T46" s="350"/>
      <c r="U46" s="350"/>
      <c r="V46" s="350"/>
      <c r="W46" s="350"/>
      <c r="X46" s="350"/>
      <c r="Y46" s="350"/>
      <c r="Z46" s="350"/>
      <c r="AA46" s="350"/>
      <c r="AB46" s="350"/>
      <c r="AC46" s="350"/>
      <c r="AD46" s="350"/>
      <c r="AE46" s="350"/>
      <c r="AF46" s="350"/>
      <c r="AG46" s="350"/>
      <c r="AH46" s="350"/>
      <c r="AI46" s="350"/>
      <c r="AJ46" s="350"/>
      <c r="AK46" s="350"/>
      <c r="AL46" s="350"/>
      <c r="AM46" s="350"/>
      <c r="AN46" s="350"/>
      <c r="AO46" s="350"/>
      <c r="AP46" s="350"/>
      <c r="AQ46" s="350"/>
      <c r="AR46" s="350"/>
      <c r="AS46" s="350"/>
      <c r="AT46" s="350"/>
      <c r="AU46" s="350"/>
      <c r="AV46" s="350"/>
      <c r="AW46" s="350"/>
      <c r="AX46" s="350"/>
      <c r="AY46" s="350"/>
      <c r="AZ46" s="350"/>
      <c r="BA46" s="350"/>
      <c r="BB46" s="350"/>
      <c r="BC46" s="350"/>
      <c r="BD46" s="350"/>
      <c r="BE46" s="350"/>
      <c r="BF46" s="350"/>
      <c r="BG46" s="350"/>
      <c r="BH46" s="350"/>
      <c r="BI46" s="350"/>
      <c r="BJ46" s="350"/>
      <c r="BK46" s="350"/>
      <c r="BL46" s="350"/>
      <c r="BM46" s="350"/>
      <c r="BN46" s="350"/>
      <c r="BO46" s="350"/>
      <c r="BP46" s="350"/>
      <c r="BQ46" s="350"/>
      <c r="BR46" s="350"/>
      <c r="BS46" s="350"/>
      <c r="BT46" s="350"/>
    </row>
    <row r="47" spans="1:72" s="458" customFormat="1" ht="12.75" customHeight="1" x14ac:dyDescent="0.2">
      <c r="A47" s="377"/>
      <c r="B47" s="378"/>
      <c r="C47" s="379"/>
      <c r="D47" s="366"/>
      <c r="E47" s="366"/>
      <c r="F47" s="368"/>
      <c r="G47" s="380"/>
      <c r="H47" s="350"/>
      <c r="I47" s="350"/>
      <c r="J47" s="350"/>
      <c r="K47" s="350"/>
      <c r="L47" s="350"/>
      <c r="M47" s="350"/>
      <c r="N47" s="350"/>
      <c r="O47" s="350"/>
      <c r="P47" s="350"/>
      <c r="Q47" s="350"/>
      <c r="R47" s="350"/>
      <c r="S47" s="350"/>
      <c r="T47" s="350"/>
      <c r="U47" s="350"/>
      <c r="V47" s="350"/>
      <c r="W47" s="350"/>
      <c r="X47" s="350"/>
      <c r="Y47" s="350"/>
      <c r="Z47" s="350"/>
      <c r="AA47" s="350"/>
      <c r="AB47" s="350"/>
      <c r="AC47" s="350"/>
      <c r="AD47" s="350"/>
      <c r="AE47" s="350"/>
      <c r="AF47" s="350"/>
      <c r="AG47" s="350"/>
      <c r="AH47" s="350"/>
      <c r="AI47" s="350"/>
      <c r="AJ47" s="350"/>
      <c r="AK47" s="350"/>
      <c r="AL47" s="350"/>
      <c r="AM47" s="350"/>
      <c r="AN47" s="350"/>
      <c r="AO47" s="350"/>
      <c r="AP47" s="350"/>
      <c r="AQ47" s="350"/>
      <c r="AR47" s="350"/>
      <c r="AS47" s="350"/>
      <c r="AT47" s="350"/>
      <c r="AU47" s="350"/>
      <c r="AV47" s="350"/>
      <c r="AW47" s="350"/>
      <c r="AX47" s="350"/>
      <c r="AY47" s="350"/>
      <c r="AZ47" s="350"/>
      <c r="BA47" s="350"/>
      <c r="BB47" s="350"/>
      <c r="BC47" s="350"/>
      <c r="BD47" s="350"/>
      <c r="BE47" s="350"/>
      <c r="BF47" s="350"/>
      <c r="BG47" s="350"/>
      <c r="BH47" s="350"/>
      <c r="BI47" s="350"/>
      <c r="BJ47" s="350"/>
      <c r="BK47" s="350"/>
      <c r="BL47" s="350"/>
      <c r="BM47" s="350"/>
      <c r="BN47" s="350"/>
      <c r="BO47" s="350"/>
      <c r="BP47" s="350"/>
      <c r="BQ47" s="350"/>
      <c r="BR47" s="350"/>
      <c r="BS47" s="350"/>
      <c r="BT47" s="350"/>
    </row>
    <row r="48" spans="1:72" s="458" customFormat="1" ht="21.75" customHeight="1" x14ac:dyDescent="0.2">
      <c r="A48" s="363"/>
      <c r="B48" s="460" t="s">
        <v>122</v>
      </c>
      <c r="C48" s="365" t="s">
        <v>489</v>
      </c>
      <c r="D48" s="365" t="s">
        <v>492</v>
      </c>
      <c r="E48" s="366" t="s">
        <v>474</v>
      </c>
      <c r="F48" s="368" t="s">
        <v>474</v>
      </c>
      <c r="G48" s="367">
        <f>SUM(G50)</f>
        <v>20746.010000000002</v>
      </c>
      <c r="H48" s="350"/>
      <c r="I48" s="350"/>
      <c r="J48" s="350"/>
      <c r="K48" s="350"/>
      <c r="L48" s="350"/>
      <c r="M48" s="350"/>
      <c r="N48" s="350"/>
      <c r="O48" s="350"/>
      <c r="P48" s="350"/>
      <c r="Q48" s="350"/>
      <c r="R48" s="350"/>
      <c r="S48" s="350"/>
      <c r="T48" s="350"/>
      <c r="U48" s="350"/>
      <c r="V48" s="350"/>
      <c r="W48" s="350"/>
      <c r="X48" s="350"/>
      <c r="Y48" s="350"/>
      <c r="Z48" s="350"/>
      <c r="AA48" s="350"/>
      <c r="AB48" s="350"/>
      <c r="AC48" s="350"/>
      <c r="AD48" s="350"/>
      <c r="AE48" s="350"/>
      <c r="AF48" s="350"/>
      <c r="AG48" s="350"/>
      <c r="AH48" s="350"/>
      <c r="AI48" s="350"/>
      <c r="AJ48" s="350"/>
      <c r="AK48" s="350"/>
      <c r="AL48" s="350"/>
      <c r="AM48" s="350"/>
      <c r="AN48" s="350"/>
      <c r="AO48" s="350"/>
      <c r="AP48" s="350"/>
      <c r="AQ48" s="350"/>
      <c r="AR48" s="350"/>
      <c r="AS48" s="350"/>
      <c r="AT48" s="350"/>
      <c r="AU48" s="350"/>
      <c r="AV48" s="350"/>
      <c r="AW48" s="350"/>
      <c r="AX48" s="350"/>
      <c r="AY48" s="350"/>
      <c r="AZ48" s="350"/>
      <c r="BA48" s="350"/>
      <c r="BB48" s="350"/>
      <c r="BC48" s="350"/>
      <c r="BD48" s="350"/>
      <c r="BE48" s="350"/>
      <c r="BF48" s="350"/>
      <c r="BG48" s="350"/>
      <c r="BH48" s="350"/>
      <c r="BI48" s="350"/>
      <c r="BJ48" s="350"/>
      <c r="BK48" s="350"/>
      <c r="BL48" s="350"/>
      <c r="BM48" s="350"/>
      <c r="BN48" s="350"/>
      <c r="BO48" s="350"/>
      <c r="BP48" s="350"/>
      <c r="BQ48" s="350"/>
      <c r="BR48" s="350"/>
      <c r="BS48" s="350"/>
      <c r="BT48" s="350"/>
    </row>
    <row r="49" spans="1:72" s="458" customFormat="1" ht="12.75" customHeight="1" x14ac:dyDescent="0.2">
      <c r="A49" s="363"/>
      <c r="B49" s="364"/>
      <c r="C49" s="382"/>
      <c r="D49" s="365"/>
      <c r="E49" s="365"/>
      <c r="F49" s="375"/>
      <c r="G49" s="376"/>
      <c r="H49" s="350"/>
      <c r="I49" s="350"/>
      <c r="J49" s="350"/>
      <c r="K49" s="350"/>
      <c r="L49" s="350"/>
      <c r="M49" s="350"/>
      <c r="N49" s="350"/>
      <c r="O49" s="350"/>
      <c r="P49" s="350"/>
      <c r="Q49" s="350"/>
      <c r="R49" s="350"/>
      <c r="S49" s="350"/>
      <c r="T49" s="350"/>
      <c r="U49" s="350"/>
      <c r="V49" s="350"/>
      <c r="W49" s="350"/>
      <c r="X49" s="350"/>
      <c r="Y49" s="350"/>
      <c r="Z49" s="350"/>
      <c r="AA49" s="350"/>
      <c r="AB49" s="350"/>
      <c r="AC49" s="350"/>
      <c r="AD49" s="350"/>
      <c r="AE49" s="350"/>
      <c r="AF49" s="350"/>
      <c r="AG49" s="350"/>
      <c r="AH49" s="350"/>
      <c r="AI49" s="350"/>
      <c r="AJ49" s="350"/>
      <c r="AK49" s="350"/>
      <c r="AL49" s="350"/>
      <c r="AM49" s="350"/>
      <c r="AN49" s="350"/>
      <c r="AO49" s="350"/>
      <c r="AP49" s="350"/>
      <c r="AQ49" s="350"/>
      <c r="AR49" s="350"/>
      <c r="AS49" s="350"/>
      <c r="AT49" s="350"/>
      <c r="AU49" s="350"/>
      <c r="AV49" s="350"/>
      <c r="AW49" s="350"/>
      <c r="AX49" s="350"/>
      <c r="AY49" s="350"/>
      <c r="AZ49" s="350"/>
      <c r="BA49" s="350"/>
      <c r="BB49" s="350"/>
      <c r="BC49" s="350"/>
      <c r="BD49" s="350"/>
      <c r="BE49" s="350"/>
      <c r="BF49" s="350"/>
      <c r="BG49" s="350"/>
      <c r="BH49" s="350"/>
      <c r="BI49" s="350"/>
      <c r="BJ49" s="350"/>
      <c r="BK49" s="350"/>
      <c r="BL49" s="350"/>
      <c r="BM49" s="350"/>
      <c r="BN49" s="350"/>
      <c r="BO49" s="350"/>
      <c r="BP49" s="350"/>
      <c r="BQ49" s="350"/>
      <c r="BR49" s="350"/>
      <c r="BS49" s="350"/>
      <c r="BT49" s="350"/>
    </row>
    <row r="50" spans="1:72" s="458" customFormat="1" ht="15.75" customHeight="1" x14ac:dyDescent="0.2">
      <c r="A50" s="363"/>
      <c r="B50" s="364"/>
      <c r="C50" s="382"/>
      <c r="D50" s="365"/>
      <c r="E50" s="365"/>
      <c r="F50" s="375"/>
      <c r="G50" s="459">
        <f>SUM(G51:G54)</f>
        <v>20746.010000000002</v>
      </c>
      <c r="H50" s="350"/>
      <c r="I50" s="350"/>
      <c r="J50" s="350"/>
      <c r="K50" s="350"/>
      <c r="L50" s="350"/>
      <c r="M50" s="350"/>
      <c r="N50" s="350"/>
      <c r="O50" s="350"/>
      <c r="P50" s="350"/>
      <c r="Q50" s="350"/>
      <c r="R50" s="350"/>
      <c r="S50" s="350"/>
      <c r="T50" s="350"/>
      <c r="U50" s="350"/>
      <c r="V50" s="350"/>
      <c r="W50" s="350"/>
      <c r="X50" s="350"/>
      <c r="Y50" s="350"/>
      <c r="Z50" s="350"/>
      <c r="AA50" s="350"/>
      <c r="AB50" s="350"/>
      <c r="AC50" s="350"/>
      <c r="AD50" s="350"/>
      <c r="AE50" s="350"/>
      <c r="AF50" s="350"/>
      <c r="AG50" s="350"/>
      <c r="AH50" s="350"/>
      <c r="AI50" s="350"/>
      <c r="AJ50" s="350"/>
      <c r="AK50" s="350"/>
      <c r="AL50" s="350"/>
      <c r="AM50" s="350"/>
      <c r="AN50" s="350"/>
      <c r="AO50" s="350"/>
      <c r="AP50" s="350"/>
      <c r="AQ50" s="350"/>
      <c r="AR50" s="350"/>
      <c r="AS50" s="350"/>
      <c r="AT50" s="350"/>
      <c r="AU50" s="350"/>
      <c r="AV50" s="350"/>
      <c r="AW50" s="350"/>
      <c r="AX50" s="350"/>
      <c r="AY50" s="350"/>
      <c r="AZ50" s="350"/>
      <c r="BA50" s="350"/>
      <c r="BB50" s="350"/>
      <c r="BC50" s="350"/>
      <c r="BD50" s="350"/>
      <c r="BE50" s="350"/>
      <c r="BF50" s="350"/>
      <c r="BG50" s="350"/>
      <c r="BH50" s="350"/>
      <c r="BI50" s="350"/>
      <c r="BJ50" s="350"/>
      <c r="BK50" s="350"/>
      <c r="BL50" s="350"/>
      <c r="BM50" s="350"/>
      <c r="BN50" s="350"/>
      <c r="BO50" s="350"/>
      <c r="BP50" s="350"/>
      <c r="BQ50" s="350"/>
      <c r="BR50" s="350"/>
      <c r="BS50" s="350"/>
      <c r="BT50" s="350"/>
    </row>
    <row r="51" spans="1:72" s="458" customFormat="1" ht="15.75" customHeight="1" x14ac:dyDescent="0.2">
      <c r="A51" s="363"/>
      <c r="B51" s="364"/>
      <c r="C51" s="382"/>
      <c r="D51" s="365"/>
      <c r="E51" s="365" t="s">
        <v>478</v>
      </c>
      <c r="F51" s="375" t="s">
        <v>474</v>
      </c>
      <c r="G51" s="376">
        <f>412.5</f>
        <v>412.5</v>
      </c>
      <c r="H51" s="350"/>
      <c r="I51" s="350"/>
      <c r="J51" s="350"/>
      <c r="K51" s="350"/>
      <c r="L51" s="350"/>
      <c r="M51" s="350"/>
      <c r="N51" s="350"/>
      <c r="O51" s="350"/>
      <c r="P51" s="350"/>
      <c r="Q51" s="350"/>
      <c r="R51" s="350"/>
      <c r="S51" s="350"/>
      <c r="T51" s="350"/>
      <c r="U51" s="350"/>
      <c r="V51" s="350"/>
      <c r="W51" s="350"/>
      <c r="X51" s="350"/>
      <c r="Y51" s="350"/>
      <c r="Z51" s="350"/>
      <c r="AA51" s="350"/>
      <c r="AB51" s="350"/>
      <c r="AC51" s="350"/>
      <c r="AD51" s="350"/>
      <c r="AE51" s="350"/>
      <c r="AF51" s="350"/>
      <c r="AG51" s="350"/>
      <c r="AH51" s="350"/>
      <c r="AI51" s="350"/>
      <c r="AJ51" s="350"/>
      <c r="AK51" s="350"/>
      <c r="AL51" s="350"/>
      <c r="AM51" s="350"/>
      <c r="AN51" s="350"/>
      <c r="AO51" s="350"/>
      <c r="AP51" s="350"/>
      <c r="AQ51" s="350"/>
      <c r="AR51" s="350"/>
      <c r="AS51" s="350"/>
      <c r="AT51" s="350"/>
      <c r="AU51" s="350"/>
      <c r="AV51" s="350"/>
      <c r="AW51" s="350"/>
      <c r="AX51" s="350"/>
      <c r="AY51" s="350"/>
      <c r="AZ51" s="350"/>
      <c r="BA51" s="350"/>
      <c r="BB51" s="350"/>
      <c r="BC51" s="350"/>
      <c r="BD51" s="350"/>
      <c r="BE51" s="350"/>
      <c r="BF51" s="350"/>
      <c r="BG51" s="350"/>
      <c r="BH51" s="350"/>
      <c r="BI51" s="350"/>
      <c r="BJ51" s="350"/>
      <c r="BK51" s="350"/>
      <c r="BL51" s="350"/>
      <c r="BM51" s="350"/>
      <c r="BN51" s="350"/>
      <c r="BO51" s="350"/>
      <c r="BP51" s="350"/>
      <c r="BQ51" s="350"/>
      <c r="BR51" s="350"/>
      <c r="BS51" s="350"/>
      <c r="BT51" s="350"/>
    </row>
    <row r="52" spans="1:72" s="458" customFormat="1" ht="15.75" customHeight="1" x14ac:dyDescent="0.2">
      <c r="A52" s="363"/>
      <c r="B52" s="364"/>
      <c r="C52" s="382"/>
      <c r="D52" s="365"/>
      <c r="E52" s="365" t="s">
        <v>482</v>
      </c>
      <c r="F52" s="375" t="s">
        <v>474</v>
      </c>
      <c r="G52" s="376">
        <f>3900</f>
        <v>3900</v>
      </c>
      <c r="H52" s="350"/>
      <c r="I52" s="350"/>
      <c r="J52" s="350"/>
      <c r="K52" s="350"/>
      <c r="L52" s="350"/>
      <c r="M52" s="350"/>
      <c r="N52" s="350"/>
      <c r="O52" s="350"/>
      <c r="P52" s="350"/>
      <c r="Q52" s="350"/>
      <c r="R52" s="350"/>
      <c r="S52" s="350"/>
      <c r="T52" s="350"/>
      <c r="U52" s="350"/>
      <c r="V52" s="350"/>
      <c r="W52" s="350"/>
      <c r="X52" s="350"/>
      <c r="Y52" s="350"/>
      <c r="Z52" s="350"/>
      <c r="AA52" s="350"/>
      <c r="AB52" s="350"/>
      <c r="AC52" s="350"/>
      <c r="AD52" s="350"/>
      <c r="AE52" s="350"/>
      <c r="AF52" s="350"/>
      <c r="AG52" s="350"/>
      <c r="AH52" s="350"/>
      <c r="AI52" s="350"/>
      <c r="AJ52" s="350"/>
      <c r="AK52" s="350"/>
      <c r="AL52" s="350"/>
      <c r="AM52" s="350"/>
      <c r="AN52" s="350"/>
      <c r="AO52" s="350"/>
      <c r="AP52" s="350"/>
      <c r="AQ52" s="350"/>
      <c r="AR52" s="350"/>
      <c r="AS52" s="350"/>
      <c r="AT52" s="350"/>
      <c r="AU52" s="350"/>
      <c r="AV52" s="350"/>
      <c r="AW52" s="350"/>
      <c r="AX52" s="350"/>
      <c r="AY52" s="350"/>
      <c r="AZ52" s="350"/>
      <c r="BA52" s="350"/>
      <c r="BB52" s="350"/>
      <c r="BC52" s="350"/>
      <c r="BD52" s="350"/>
      <c r="BE52" s="350"/>
      <c r="BF52" s="350"/>
      <c r="BG52" s="350"/>
      <c r="BH52" s="350"/>
      <c r="BI52" s="350"/>
      <c r="BJ52" s="350"/>
      <c r="BK52" s="350"/>
      <c r="BL52" s="350"/>
      <c r="BM52" s="350"/>
      <c r="BN52" s="350"/>
      <c r="BO52" s="350"/>
      <c r="BP52" s="350"/>
      <c r="BQ52" s="350"/>
      <c r="BR52" s="350"/>
      <c r="BS52" s="350"/>
      <c r="BT52" s="350"/>
    </row>
    <row r="53" spans="1:72" s="458" customFormat="1" ht="15.75" customHeight="1" x14ac:dyDescent="0.2">
      <c r="A53" s="363"/>
      <c r="B53" s="364"/>
      <c r="C53" s="382"/>
      <c r="D53" s="365"/>
      <c r="E53" s="365" t="s">
        <v>491</v>
      </c>
      <c r="F53" s="375" t="s">
        <v>474</v>
      </c>
      <c r="G53" s="376">
        <f>12295</f>
        <v>12295</v>
      </c>
      <c r="H53" s="350"/>
      <c r="I53" s="350"/>
      <c r="J53" s="350"/>
      <c r="K53" s="350"/>
      <c r="L53" s="350"/>
      <c r="M53" s="350"/>
      <c r="N53" s="350"/>
      <c r="O53" s="350"/>
      <c r="P53" s="350"/>
      <c r="Q53" s="350"/>
      <c r="R53" s="350"/>
      <c r="S53" s="350"/>
      <c r="T53" s="350"/>
      <c r="U53" s="350"/>
      <c r="V53" s="350"/>
      <c r="W53" s="350"/>
      <c r="X53" s="350"/>
      <c r="Y53" s="350"/>
      <c r="Z53" s="350"/>
      <c r="AA53" s="350"/>
      <c r="AB53" s="350"/>
      <c r="AC53" s="350"/>
      <c r="AD53" s="350"/>
      <c r="AE53" s="350"/>
      <c r="AF53" s="350"/>
      <c r="AG53" s="350"/>
      <c r="AH53" s="350"/>
      <c r="AI53" s="350"/>
      <c r="AJ53" s="350"/>
      <c r="AK53" s="350"/>
      <c r="AL53" s="350"/>
      <c r="AM53" s="350"/>
      <c r="AN53" s="350"/>
      <c r="AO53" s="350"/>
      <c r="AP53" s="350"/>
      <c r="AQ53" s="350"/>
      <c r="AR53" s="350"/>
      <c r="AS53" s="350"/>
      <c r="AT53" s="350"/>
      <c r="AU53" s="350"/>
      <c r="AV53" s="350"/>
      <c r="AW53" s="350"/>
      <c r="AX53" s="350"/>
      <c r="AY53" s="350"/>
      <c r="AZ53" s="350"/>
      <c r="BA53" s="350"/>
      <c r="BB53" s="350"/>
      <c r="BC53" s="350"/>
      <c r="BD53" s="350"/>
      <c r="BE53" s="350"/>
      <c r="BF53" s="350"/>
      <c r="BG53" s="350"/>
      <c r="BH53" s="350"/>
      <c r="BI53" s="350"/>
      <c r="BJ53" s="350"/>
      <c r="BK53" s="350"/>
      <c r="BL53" s="350"/>
      <c r="BM53" s="350"/>
      <c r="BN53" s="350"/>
      <c r="BO53" s="350"/>
      <c r="BP53" s="350"/>
      <c r="BQ53" s="350"/>
      <c r="BR53" s="350"/>
      <c r="BS53" s="350"/>
      <c r="BT53" s="350"/>
    </row>
    <row r="54" spans="1:72" s="458" customFormat="1" ht="15.75" customHeight="1" x14ac:dyDescent="0.2">
      <c r="A54" s="363"/>
      <c r="B54" s="364"/>
      <c r="C54" s="382"/>
      <c r="D54" s="365"/>
      <c r="E54" s="365" t="s">
        <v>483</v>
      </c>
      <c r="F54" s="375" t="s">
        <v>474</v>
      </c>
      <c r="G54" s="376">
        <f>4138.51</f>
        <v>4138.51</v>
      </c>
      <c r="H54" s="350"/>
      <c r="I54" s="350"/>
      <c r="J54" s="350"/>
      <c r="K54" s="350"/>
      <c r="L54" s="350"/>
      <c r="M54" s="350"/>
      <c r="N54" s="350"/>
      <c r="O54" s="350"/>
      <c r="P54" s="350"/>
      <c r="Q54" s="350"/>
      <c r="R54" s="350"/>
      <c r="S54" s="350"/>
      <c r="T54" s="350"/>
      <c r="U54" s="350"/>
      <c r="V54" s="350"/>
      <c r="W54" s="350"/>
      <c r="X54" s="350"/>
      <c r="Y54" s="350"/>
      <c r="Z54" s="350"/>
      <c r="AA54" s="350"/>
      <c r="AB54" s="350"/>
      <c r="AC54" s="350"/>
      <c r="AD54" s="350"/>
      <c r="AE54" s="350"/>
      <c r="AF54" s="350"/>
      <c r="AG54" s="350"/>
      <c r="AH54" s="350"/>
      <c r="AI54" s="350"/>
      <c r="AJ54" s="350"/>
      <c r="AK54" s="350"/>
      <c r="AL54" s="350"/>
      <c r="AM54" s="350"/>
      <c r="AN54" s="350"/>
      <c r="AO54" s="350"/>
      <c r="AP54" s="350"/>
      <c r="AQ54" s="350"/>
      <c r="AR54" s="350"/>
      <c r="AS54" s="350"/>
      <c r="AT54" s="350"/>
      <c r="AU54" s="350"/>
      <c r="AV54" s="350"/>
      <c r="AW54" s="350"/>
      <c r="AX54" s="350"/>
      <c r="AY54" s="350"/>
      <c r="AZ54" s="350"/>
      <c r="BA54" s="350"/>
      <c r="BB54" s="350"/>
      <c r="BC54" s="350"/>
      <c r="BD54" s="350"/>
      <c r="BE54" s="350"/>
      <c r="BF54" s="350"/>
      <c r="BG54" s="350"/>
      <c r="BH54" s="350"/>
      <c r="BI54" s="350"/>
      <c r="BJ54" s="350"/>
      <c r="BK54" s="350"/>
      <c r="BL54" s="350"/>
      <c r="BM54" s="350"/>
      <c r="BN54" s="350"/>
      <c r="BO54" s="350"/>
      <c r="BP54" s="350"/>
      <c r="BQ54" s="350"/>
      <c r="BR54" s="350"/>
      <c r="BS54" s="350"/>
      <c r="BT54" s="350"/>
    </row>
    <row r="55" spans="1:72" s="458" customFormat="1" ht="12.75" customHeight="1" x14ac:dyDescent="0.2">
      <c r="A55" s="363"/>
      <c r="B55" s="364"/>
      <c r="C55" s="382"/>
      <c r="D55" s="365"/>
      <c r="E55" s="365"/>
      <c r="F55" s="375"/>
      <c r="G55" s="376"/>
      <c r="H55" s="350"/>
      <c r="I55" s="350"/>
      <c r="J55" s="350"/>
      <c r="K55" s="350"/>
      <c r="L55" s="350"/>
      <c r="M55" s="350"/>
      <c r="N55" s="350"/>
      <c r="O55" s="350"/>
      <c r="P55" s="350"/>
      <c r="Q55" s="350"/>
      <c r="R55" s="350"/>
      <c r="S55" s="350"/>
      <c r="T55" s="350"/>
      <c r="U55" s="350"/>
      <c r="V55" s="350"/>
      <c r="W55" s="350"/>
      <c r="X55" s="350"/>
      <c r="Y55" s="350"/>
      <c r="Z55" s="350"/>
      <c r="AA55" s="350"/>
      <c r="AB55" s="350"/>
      <c r="AC55" s="350"/>
      <c r="AD55" s="350"/>
      <c r="AE55" s="350"/>
      <c r="AF55" s="350"/>
      <c r="AG55" s="350"/>
      <c r="AH55" s="350"/>
      <c r="AI55" s="350"/>
      <c r="AJ55" s="350"/>
      <c r="AK55" s="350"/>
      <c r="AL55" s="350"/>
      <c r="AM55" s="350"/>
      <c r="AN55" s="350"/>
      <c r="AO55" s="350"/>
      <c r="AP55" s="350"/>
      <c r="AQ55" s="350"/>
      <c r="AR55" s="350"/>
      <c r="AS55" s="350"/>
      <c r="AT55" s="350"/>
      <c r="AU55" s="350"/>
      <c r="AV55" s="350"/>
      <c r="AW55" s="350"/>
      <c r="AX55" s="350"/>
      <c r="AY55" s="350"/>
      <c r="AZ55" s="350"/>
      <c r="BA55" s="350"/>
      <c r="BB55" s="350"/>
      <c r="BC55" s="350"/>
      <c r="BD55" s="350"/>
      <c r="BE55" s="350"/>
      <c r="BF55" s="350"/>
      <c r="BG55" s="350"/>
      <c r="BH55" s="350"/>
      <c r="BI55" s="350"/>
      <c r="BJ55" s="350"/>
      <c r="BK55" s="350"/>
      <c r="BL55" s="350"/>
      <c r="BM55" s="350"/>
      <c r="BN55" s="350"/>
      <c r="BO55" s="350"/>
      <c r="BP55" s="350"/>
      <c r="BQ55" s="350"/>
      <c r="BR55" s="350"/>
      <c r="BS55" s="350"/>
      <c r="BT55" s="350"/>
    </row>
    <row r="56" spans="1:72" s="458" customFormat="1" ht="15.75" customHeight="1" x14ac:dyDescent="0.2">
      <c r="A56" s="363"/>
      <c r="B56" s="460" t="s">
        <v>122</v>
      </c>
      <c r="C56" s="365" t="s">
        <v>489</v>
      </c>
      <c r="D56" s="365" t="s">
        <v>493</v>
      </c>
      <c r="E56" s="371" t="s">
        <v>474</v>
      </c>
      <c r="F56" s="372" t="s">
        <v>474</v>
      </c>
      <c r="G56" s="373">
        <f>SUM(G58)</f>
        <v>60156.729999999996</v>
      </c>
      <c r="H56" s="350"/>
      <c r="I56" s="350"/>
      <c r="J56" s="350"/>
      <c r="K56" s="350"/>
      <c r="L56" s="350"/>
      <c r="M56" s="350"/>
      <c r="N56" s="350"/>
      <c r="O56" s="350"/>
      <c r="P56" s="350"/>
      <c r="Q56" s="350"/>
      <c r="R56" s="350"/>
      <c r="S56" s="350"/>
      <c r="T56" s="350"/>
      <c r="U56" s="350"/>
      <c r="V56" s="350"/>
      <c r="W56" s="350"/>
      <c r="X56" s="350"/>
      <c r="Y56" s="350"/>
      <c r="Z56" s="350"/>
      <c r="AA56" s="350"/>
      <c r="AB56" s="350"/>
      <c r="AC56" s="350"/>
      <c r="AD56" s="350"/>
      <c r="AE56" s="350"/>
      <c r="AF56" s="350"/>
      <c r="AG56" s="350"/>
      <c r="AH56" s="350"/>
      <c r="AI56" s="350"/>
      <c r="AJ56" s="350"/>
      <c r="AK56" s="350"/>
      <c r="AL56" s="350"/>
      <c r="AM56" s="350"/>
      <c r="AN56" s="350"/>
      <c r="AO56" s="350"/>
      <c r="AP56" s="350"/>
      <c r="AQ56" s="350"/>
      <c r="AR56" s="350"/>
      <c r="AS56" s="350"/>
      <c r="AT56" s="350"/>
      <c r="AU56" s="350"/>
      <c r="AV56" s="350"/>
      <c r="AW56" s="350"/>
      <c r="AX56" s="350"/>
      <c r="AY56" s="350"/>
      <c r="AZ56" s="350"/>
      <c r="BA56" s="350"/>
      <c r="BB56" s="350"/>
      <c r="BC56" s="350"/>
      <c r="BD56" s="350"/>
      <c r="BE56" s="350"/>
      <c r="BF56" s="350"/>
      <c r="BG56" s="350"/>
      <c r="BH56" s="350"/>
      <c r="BI56" s="350"/>
      <c r="BJ56" s="350"/>
      <c r="BK56" s="350"/>
      <c r="BL56" s="350"/>
      <c r="BM56" s="350"/>
      <c r="BN56" s="350"/>
      <c r="BO56" s="350"/>
      <c r="BP56" s="350"/>
      <c r="BQ56" s="350"/>
      <c r="BR56" s="350"/>
      <c r="BS56" s="350"/>
      <c r="BT56" s="350"/>
    </row>
    <row r="57" spans="1:72" s="458" customFormat="1" ht="6.75" customHeight="1" x14ac:dyDescent="0.2">
      <c r="A57" s="363"/>
      <c r="B57" s="364"/>
      <c r="C57" s="382"/>
      <c r="D57" s="365"/>
      <c r="E57" s="365"/>
      <c r="F57" s="375"/>
      <c r="G57" s="376"/>
      <c r="H57" s="350"/>
      <c r="I57" s="350"/>
      <c r="J57" s="350"/>
      <c r="K57" s="350"/>
      <c r="L57" s="350"/>
      <c r="M57" s="350"/>
      <c r="N57" s="350"/>
      <c r="O57" s="350"/>
      <c r="P57" s="350"/>
      <c r="Q57" s="350"/>
      <c r="R57" s="350"/>
      <c r="S57" s="350"/>
      <c r="T57" s="350"/>
      <c r="U57" s="350"/>
      <c r="V57" s="350"/>
      <c r="W57" s="350"/>
      <c r="X57" s="350"/>
      <c r="Y57" s="350"/>
      <c r="Z57" s="350"/>
      <c r="AA57" s="350"/>
      <c r="AB57" s="350"/>
      <c r="AC57" s="350"/>
      <c r="AD57" s="350"/>
      <c r="AE57" s="350"/>
      <c r="AF57" s="350"/>
      <c r="AG57" s="350"/>
      <c r="AH57" s="350"/>
      <c r="AI57" s="350"/>
      <c r="AJ57" s="350"/>
      <c r="AK57" s="350"/>
      <c r="AL57" s="350"/>
      <c r="AM57" s="350"/>
      <c r="AN57" s="350"/>
      <c r="AO57" s="350"/>
      <c r="AP57" s="350"/>
      <c r="AQ57" s="350"/>
      <c r="AR57" s="350"/>
      <c r="AS57" s="350"/>
      <c r="AT57" s="350"/>
      <c r="AU57" s="350"/>
      <c r="AV57" s="350"/>
      <c r="AW57" s="350"/>
      <c r="AX57" s="350"/>
      <c r="AY57" s="350"/>
      <c r="AZ57" s="350"/>
      <c r="BA57" s="350"/>
      <c r="BB57" s="350"/>
      <c r="BC57" s="350"/>
      <c r="BD57" s="350"/>
      <c r="BE57" s="350"/>
      <c r="BF57" s="350"/>
      <c r="BG57" s="350"/>
      <c r="BH57" s="350"/>
      <c r="BI57" s="350"/>
      <c r="BJ57" s="350"/>
      <c r="BK57" s="350"/>
      <c r="BL57" s="350"/>
      <c r="BM57" s="350"/>
      <c r="BN57" s="350"/>
      <c r="BO57" s="350"/>
      <c r="BP57" s="350"/>
      <c r="BQ57" s="350"/>
      <c r="BR57" s="350"/>
      <c r="BS57" s="350"/>
      <c r="BT57" s="350"/>
    </row>
    <row r="58" spans="1:72" s="458" customFormat="1" ht="15.75" customHeight="1" x14ac:dyDescent="0.2">
      <c r="A58" s="363"/>
      <c r="B58" s="364"/>
      <c r="C58" s="382"/>
      <c r="D58" s="365"/>
      <c r="E58" s="365"/>
      <c r="F58" s="375"/>
      <c r="G58" s="459">
        <f>SUM(G59:G62)</f>
        <v>60156.729999999996</v>
      </c>
      <c r="H58" s="350"/>
      <c r="I58" s="350"/>
      <c r="J58" s="350"/>
      <c r="K58" s="350"/>
      <c r="L58" s="350"/>
      <c r="M58" s="350"/>
      <c r="N58" s="350"/>
      <c r="O58" s="350"/>
      <c r="P58" s="350"/>
      <c r="Q58" s="350"/>
      <c r="R58" s="350"/>
      <c r="S58" s="350"/>
      <c r="T58" s="350"/>
      <c r="U58" s="350"/>
      <c r="V58" s="350"/>
      <c r="W58" s="350"/>
      <c r="X58" s="350"/>
      <c r="Y58" s="350"/>
      <c r="Z58" s="350"/>
      <c r="AA58" s="350"/>
      <c r="AB58" s="350"/>
      <c r="AC58" s="350"/>
      <c r="AD58" s="350"/>
      <c r="AE58" s="350"/>
      <c r="AF58" s="350"/>
      <c r="AG58" s="350"/>
      <c r="AH58" s="350"/>
      <c r="AI58" s="350"/>
      <c r="AJ58" s="350"/>
      <c r="AK58" s="350"/>
      <c r="AL58" s="350"/>
      <c r="AM58" s="350"/>
      <c r="AN58" s="350"/>
      <c r="AO58" s="350"/>
      <c r="AP58" s="350"/>
      <c r="AQ58" s="350"/>
      <c r="AR58" s="350"/>
      <c r="AS58" s="350"/>
      <c r="AT58" s="350"/>
      <c r="AU58" s="350"/>
      <c r="AV58" s="350"/>
      <c r="AW58" s="350"/>
      <c r="AX58" s="350"/>
      <c r="AY58" s="350"/>
      <c r="AZ58" s="350"/>
      <c r="BA58" s="350"/>
      <c r="BB58" s="350"/>
      <c r="BC58" s="350"/>
      <c r="BD58" s="350"/>
      <c r="BE58" s="350"/>
      <c r="BF58" s="350"/>
      <c r="BG58" s="350"/>
      <c r="BH58" s="350"/>
      <c r="BI58" s="350"/>
      <c r="BJ58" s="350"/>
      <c r="BK58" s="350"/>
      <c r="BL58" s="350"/>
      <c r="BM58" s="350"/>
      <c r="BN58" s="350"/>
      <c r="BO58" s="350"/>
      <c r="BP58" s="350"/>
      <c r="BQ58" s="350"/>
      <c r="BR58" s="350"/>
      <c r="BS58" s="350"/>
      <c r="BT58" s="350"/>
    </row>
    <row r="59" spans="1:72" s="458" customFormat="1" ht="15.75" customHeight="1" x14ac:dyDescent="0.2">
      <c r="A59" s="363"/>
      <c r="B59" s="364"/>
      <c r="C59" s="382"/>
      <c r="D59" s="365"/>
      <c r="E59" s="365" t="s">
        <v>117</v>
      </c>
      <c r="F59" s="375" t="s">
        <v>474</v>
      </c>
      <c r="G59" s="376">
        <f>23691.12</f>
        <v>23691.119999999999</v>
      </c>
      <c r="H59" s="350"/>
      <c r="I59" s="350"/>
      <c r="J59" s="350"/>
      <c r="K59" s="350"/>
      <c r="L59" s="350"/>
      <c r="M59" s="350"/>
      <c r="N59" s="350"/>
      <c r="O59" s="350"/>
      <c r="P59" s="350"/>
      <c r="Q59" s="350"/>
      <c r="R59" s="350"/>
      <c r="S59" s="350"/>
      <c r="T59" s="350"/>
      <c r="U59" s="350"/>
      <c r="V59" s="350"/>
      <c r="W59" s="350"/>
      <c r="X59" s="350"/>
      <c r="Y59" s="350"/>
      <c r="Z59" s="350"/>
      <c r="AA59" s="350"/>
      <c r="AB59" s="350"/>
      <c r="AC59" s="350"/>
      <c r="AD59" s="350"/>
      <c r="AE59" s="350"/>
      <c r="AF59" s="350"/>
      <c r="AG59" s="350"/>
      <c r="AH59" s="350"/>
      <c r="AI59" s="350"/>
      <c r="AJ59" s="350"/>
      <c r="AK59" s="350"/>
      <c r="AL59" s="350"/>
      <c r="AM59" s="350"/>
      <c r="AN59" s="350"/>
      <c r="AO59" s="350"/>
      <c r="AP59" s="350"/>
      <c r="AQ59" s="350"/>
      <c r="AR59" s="350"/>
      <c r="AS59" s="350"/>
      <c r="AT59" s="350"/>
      <c r="AU59" s="350"/>
      <c r="AV59" s="350"/>
      <c r="AW59" s="350"/>
      <c r="AX59" s="350"/>
      <c r="AY59" s="350"/>
      <c r="AZ59" s="350"/>
      <c r="BA59" s="350"/>
      <c r="BB59" s="350"/>
      <c r="BC59" s="350"/>
      <c r="BD59" s="350"/>
      <c r="BE59" s="350"/>
      <c r="BF59" s="350"/>
      <c r="BG59" s="350"/>
      <c r="BH59" s="350"/>
      <c r="BI59" s="350"/>
      <c r="BJ59" s="350"/>
      <c r="BK59" s="350"/>
      <c r="BL59" s="350"/>
      <c r="BM59" s="350"/>
      <c r="BN59" s="350"/>
      <c r="BO59" s="350"/>
      <c r="BP59" s="350"/>
      <c r="BQ59" s="350"/>
      <c r="BR59" s="350"/>
      <c r="BS59" s="350"/>
      <c r="BT59" s="350"/>
    </row>
    <row r="60" spans="1:72" s="458" customFormat="1" ht="15.75" customHeight="1" x14ac:dyDescent="0.2">
      <c r="A60" s="363"/>
      <c r="B60" s="364"/>
      <c r="C60" s="382"/>
      <c r="D60" s="365"/>
      <c r="E60" s="365" t="s">
        <v>482</v>
      </c>
      <c r="F60" s="375" t="s">
        <v>474</v>
      </c>
      <c r="G60" s="376">
        <f>2000+7149.84</f>
        <v>9149.84</v>
      </c>
      <c r="H60" s="350"/>
      <c r="I60" s="350"/>
      <c r="J60" s="350"/>
      <c r="K60" s="350"/>
      <c r="L60" s="350"/>
      <c r="M60" s="350"/>
      <c r="N60" s="350"/>
      <c r="O60" s="350"/>
      <c r="P60" s="350"/>
      <c r="Q60" s="350"/>
      <c r="R60" s="350"/>
      <c r="S60" s="350"/>
      <c r="T60" s="350"/>
      <c r="U60" s="350"/>
      <c r="V60" s="350"/>
      <c r="W60" s="350"/>
      <c r="X60" s="350"/>
      <c r="Y60" s="350"/>
      <c r="Z60" s="350"/>
      <c r="AA60" s="350"/>
      <c r="AB60" s="350"/>
      <c r="AC60" s="350"/>
      <c r="AD60" s="350"/>
      <c r="AE60" s="350"/>
      <c r="AF60" s="350"/>
      <c r="AG60" s="350"/>
      <c r="AH60" s="350"/>
      <c r="AI60" s="350"/>
      <c r="AJ60" s="350"/>
      <c r="AK60" s="350"/>
      <c r="AL60" s="350"/>
      <c r="AM60" s="350"/>
      <c r="AN60" s="350"/>
      <c r="AO60" s="350"/>
      <c r="AP60" s="350"/>
      <c r="AQ60" s="350"/>
      <c r="AR60" s="350"/>
      <c r="AS60" s="350"/>
      <c r="AT60" s="350"/>
      <c r="AU60" s="350"/>
      <c r="AV60" s="350"/>
      <c r="AW60" s="350"/>
      <c r="AX60" s="350"/>
      <c r="AY60" s="350"/>
      <c r="AZ60" s="350"/>
      <c r="BA60" s="350"/>
      <c r="BB60" s="350"/>
      <c r="BC60" s="350"/>
      <c r="BD60" s="350"/>
      <c r="BE60" s="350"/>
      <c r="BF60" s="350"/>
      <c r="BG60" s="350"/>
      <c r="BH60" s="350"/>
      <c r="BI60" s="350"/>
      <c r="BJ60" s="350"/>
      <c r="BK60" s="350"/>
      <c r="BL60" s="350"/>
      <c r="BM60" s="350"/>
      <c r="BN60" s="350"/>
      <c r="BO60" s="350"/>
      <c r="BP60" s="350"/>
      <c r="BQ60" s="350"/>
      <c r="BR60" s="350"/>
      <c r="BS60" s="350"/>
      <c r="BT60" s="350"/>
    </row>
    <row r="61" spans="1:72" s="458" customFormat="1" ht="15.75" customHeight="1" x14ac:dyDescent="0.2">
      <c r="A61" s="363"/>
      <c r="B61" s="364"/>
      <c r="C61" s="382"/>
      <c r="D61" s="365"/>
      <c r="E61" s="365" t="s">
        <v>491</v>
      </c>
      <c r="F61" s="375" t="s">
        <v>474</v>
      </c>
      <c r="G61" s="376">
        <v>20405.04</v>
      </c>
      <c r="H61" s="350"/>
      <c r="I61" s="350"/>
      <c r="J61" s="350"/>
      <c r="K61" s="350"/>
      <c r="L61" s="350"/>
      <c r="M61" s="350"/>
      <c r="N61" s="350"/>
      <c r="O61" s="350"/>
      <c r="P61" s="350"/>
      <c r="Q61" s="350"/>
      <c r="R61" s="350"/>
      <c r="S61" s="350"/>
      <c r="T61" s="350"/>
      <c r="U61" s="350"/>
      <c r="V61" s="350"/>
      <c r="W61" s="350"/>
      <c r="X61" s="350"/>
      <c r="Y61" s="350"/>
      <c r="Z61" s="350"/>
      <c r="AA61" s="350"/>
      <c r="AB61" s="350"/>
      <c r="AC61" s="350"/>
      <c r="AD61" s="350"/>
      <c r="AE61" s="350"/>
      <c r="AF61" s="350"/>
      <c r="AG61" s="350"/>
      <c r="AH61" s="350"/>
      <c r="AI61" s="350"/>
      <c r="AJ61" s="350"/>
      <c r="AK61" s="350"/>
      <c r="AL61" s="350"/>
      <c r="AM61" s="350"/>
      <c r="AN61" s="350"/>
      <c r="AO61" s="350"/>
      <c r="AP61" s="350"/>
      <c r="AQ61" s="350"/>
      <c r="AR61" s="350"/>
      <c r="AS61" s="350"/>
      <c r="AT61" s="350"/>
      <c r="AU61" s="350"/>
      <c r="AV61" s="350"/>
      <c r="AW61" s="350"/>
      <c r="AX61" s="350"/>
      <c r="AY61" s="350"/>
      <c r="AZ61" s="350"/>
      <c r="BA61" s="350"/>
      <c r="BB61" s="350"/>
      <c r="BC61" s="350"/>
      <c r="BD61" s="350"/>
      <c r="BE61" s="350"/>
      <c r="BF61" s="350"/>
      <c r="BG61" s="350"/>
      <c r="BH61" s="350"/>
      <c r="BI61" s="350"/>
      <c r="BJ61" s="350"/>
      <c r="BK61" s="350"/>
      <c r="BL61" s="350"/>
      <c r="BM61" s="350"/>
      <c r="BN61" s="350"/>
      <c r="BO61" s="350"/>
      <c r="BP61" s="350"/>
      <c r="BQ61" s="350"/>
      <c r="BR61" s="350"/>
      <c r="BS61" s="350"/>
      <c r="BT61" s="350"/>
    </row>
    <row r="62" spans="1:72" s="458" customFormat="1" ht="15.75" customHeight="1" x14ac:dyDescent="0.2">
      <c r="A62" s="363"/>
      <c r="B62" s="364"/>
      <c r="C62" s="382"/>
      <c r="D62" s="365"/>
      <c r="E62" s="365" t="s">
        <v>483</v>
      </c>
      <c r="F62" s="375" t="s">
        <v>474</v>
      </c>
      <c r="G62" s="376">
        <f>392.8+1530.93+4987</f>
        <v>6910.73</v>
      </c>
      <c r="H62" s="350"/>
      <c r="I62" s="350"/>
      <c r="J62" s="350"/>
      <c r="K62" s="350"/>
      <c r="L62" s="350"/>
      <c r="M62" s="350"/>
      <c r="N62" s="350"/>
      <c r="O62" s="350"/>
      <c r="P62" s="350"/>
      <c r="Q62" s="350"/>
      <c r="R62" s="350"/>
      <c r="S62" s="350"/>
      <c r="T62" s="350"/>
      <c r="U62" s="350"/>
      <c r="V62" s="350"/>
      <c r="W62" s="350"/>
      <c r="X62" s="350"/>
      <c r="Y62" s="350"/>
      <c r="Z62" s="350"/>
      <c r="AA62" s="350"/>
      <c r="AB62" s="350"/>
      <c r="AC62" s="350"/>
      <c r="AD62" s="350"/>
      <c r="AE62" s="350"/>
      <c r="AF62" s="350"/>
      <c r="AG62" s="350"/>
      <c r="AH62" s="350"/>
      <c r="AI62" s="350"/>
      <c r="AJ62" s="350"/>
      <c r="AK62" s="350"/>
      <c r="AL62" s="350"/>
      <c r="AM62" s="350"/>
      <c r="AN62" s="350"/>
      <c r="AO62" s="350"/>
      <c r="AP62" s="350"/>
      <c r="AQ62" s="350"/>
      <c r="AR62" s="350"/>
      <c r="AS62" s="350"/>
      <c r="AT62" s="350"/>
      <c r="AU62" s="350"/>
      <c r="AV62" s="350"/>
      <c r="AW62" s="350"/>
      <c r="AX62" s="350"/>
      <c r="AY62" s="350"/>
      <c r="AZ62" s="350"/>
      <c r="BA62" s="350"/>
      <c r="BB62" s="350"/>
      <c r="BC62" s="350"/>
      <c r="BD62" s="350"/>
      <c r="BE62" s="350"/>
      <c r="BF62" s="350"/>
      <c r="BG62" s="350"/>
      <c r="BH62" s="350"/>
      <c r="BI62" s="350"/>
      <c r="BJ62" s="350"/>
      <c r="BK62" s="350"/>
      <c r="BL62" s="350"/>
      <c r="BM62" s="350"/>
      <c r="BN62" s="350"/>
      <c r="BO62" s="350"/>
      <c r="BP62" s="350"/>
      <c r="BQ62" s="350"/>
      <c r="BR62" s="350"/>
      <c r="BS62" s="350"/>
      <c r="BT62" s="350"/>
    </row>
    <row r="63" spans="1:72" s="458" customFormat="1" ht="12.75" customHeight="1" x14ac:dyDescent="0.2">
      <c r="A63" s="363"/>
      <c r="B63" s="364"/>
      <c r="C63" s="382"/>
      <c r="D63" s="365"/>
      <c r="E63" s="365"/>
      <c r="F63" s="375"/>
      <c r="G63" s="376"/>
      <c r="H63" s="350"/>
      <c r="I63" s="350"/>
      <c r="J63" s="350"/>
      <c r="K63" s="350"/>
      <c r="L63" s="350"/>
      <c r="M63" s="350"/>
      <c r="N63" s="350"/>
      <c r="O63" s="350"/>
      <c r="P63" s="350"/>
      <c r="Q63" s="350"/>
      <c r="R63" s="350"/>
      <c r="S63" s="350"/>
      <c r="T63" s="350"/>
      <c r="U63" s="350"/>
      <c r="V63" s="350"/>
      <c r="W63" s="350"/>
      <c r="X63" s="350"/>
      <c r="Y63" s="350"/>
      <c r="Z63" s="350"/>
      <c r="AA63" s="350"/>
      <c r="AB63" s="350"/>
      <c r="AC63" s="350"/>
      <c r="AD63" s="350"/>
      <c r="AE63" s="350"/>
      <c r="AF63" s="350"/>
      <c r="AG63" s="350"/>
      <c r="AH63" s="350"/>
      <c r="AI63" s="350"/>
      <c r="AJ63" s="350"/>
      <c r="AK63" s="350"/>
      <c r="AL63" s="350"/>
      <c r="AM63" s="350"/>
      <c r="AN63" s="350"/>
      <c r="AO63" s="350"/>
      <c r="AP63" s="350"/>
      <c r="AQ63" s="350"/>
      <c r="AR63" s="350"/>
      <c r="AS63" s="350"/>
      <c r="AT63" s="350"/>
      <c r="AU63" s="350"/>
      <c r="AV63" s="350"/>
      <c r="AW63" s="350"/>
      <c r="AX63" s="350"/>
      <c r="AY63" s="350"/>
      <c r="AZ63" s="350"/>
      <c r="BA63" s="350"/>
      <c r="BB63" s="350"/>
      <c r="BC63" s="350"/>
      <c r="BD63" s="350"/>
      <c r="BE63" s="350"/>
      <c r="BF63" s="350"/>
      <c r="BG63" s="350"/>
      <c r="BH63" s="350"/>
      <c r="BI63" s="350"/>
      <c r="BJ63" s="350"/>
      <c r="BK63" s="350"/>
      <c r="BL63" s="350"/>
      <c r="BM63" s="350"/>
      <c r="BN63" s="350"/>
      <c r="BO63" s="350"/>
      <c r="BP63" s="350"/>
      <c r="BQ63" s="350"/>
      <c r="BR63" s="350"/>
      <c r="BS63" s="350"/>
      <c r="BT63" s="350"/>
    </row>
    <row r="64" spans="1:72" s="458" customFormat="1" ht="15.75" customHeight="1" x14ac:dyDescent="0.2">
      <c r="A64" s="363"/>
      <c r="B64" s="460" t="s">
        <v>122</v>
      </c>
      <c r="C64" s="365" t="s">
        <v>489</v>
      </c>
      <c r="D64" s="365" t="s">
        <v>494</v>
      </c>
      <c r="E64" s="371" t="s">
        <v>474</v>
      </c>
      <c r="F64" s="372" t="s">
        <v>474</v>
      </c>
      <c r="G64" s="373">
        <f>SUM(G66)</f>
        <v>8589.2000000000007</v>
      </c>
      <c r="H64" s="350"/>
      <c r="I64" s="350"/>
      <c r="J64" s="350"/>
      <c r="K64" s="350"/>
      <c r="L64" s="350"/>
      <c r="M64" s="350"/>
      <c r="N64" s="350"/>
      <c r="O64" s="350"/>
      <c r="P64" s="350"/>
      <c r="Q64" s="350"/>
      <c r="R64" s="350"/>
      <c r="S64" s="350"/>
      <c r="T64" s="350"/>
      <c r="U64" s="350"/>
      <c r="V64" s="350"/>
      <c r="W64" s="350"/>
      <c r="X64" s="350"/>
      <c r="Y64" s="350"/>
      <c r="Z64" s="350"/>
      <c r="AA64" s="350"/>
      <c r="AB64" s="350"/>
      <c r="AC64" s="350"/>
      <c r="AD64" s="350"/>
      <c r="AE64" s="350"/>
      <c r="AF64" s="350"/>
      <c r="AG64" s="350"/>
      <c r="AH64" s="350"/>
      <c r="AI64" s="350"/>
      <c r="AJ64" s="350"/>
      <c r="AK64" s="350"/>
      <c r="AL64" s="350"/>
      <c r="AM64" s="350"/>
      <c r="AN64" s="350"/>
      <c r="AO64" s="350"/>
      <c r="AP64" s="350"/>
      <c r="AQ64" s="350"/>
      <c r="AR64" s="350"/>
      <c r="AS64" s="350"/>
      <c r="AT64" s="350"/>
      <c r="AU64" s="350"/>
      <c r="AV64" s="350"/>
      <c r="AW64" s="350"/>
      <c r="AX64" s="350"/>
      <c r="AY64" s="350"/>
      <c r="AZ64" s="350"/>
      <c r="BA64" s="350"/>
      <c r="BB64" s="350"/>
      <c r="BC64" s="350"/>
      <c r="BD64" s="350"/>
      <c r="BE64" s="350"/>
      <c r="BF64" s="350"/>
      <c r="BG64" s="350"/>
      <c r="BH64" s="350"/>
      <c r="BI64" s="350"/>
      <c r="BJ64" s="350"/>
      <c r="BK64" s="350"/>
      <c r="BL64" s="350"/>
      <c r="BM64" s="350"/>
      <c r="BN64" s="350"/>
      <c r="BO64" s="350"/>
      <c r="BP64" s="350"/>
      <c r="BQ64" s="350"/>
      <c r="BR64" s="350"/>
      <c r="BS64" s="350"/>
      <c r="BT64" s="350"/>
    </row>
    <row r="65" spans="1:72" s="458" customFormat="1" ht="8.25" customHeight="1" x14ac:dyDescent="0.2">
      <c r="A65" s="363"/>
      <c r="B65" s="364"/>
      <c r="C65" s="382"/>
      <c r="D65" s="365"/>
      <c r="E65" s="365"/>
      <c r="F65" s="375"/>
      <c r="G65" s="376"/>
      <c r="H65" s="350"/>
      <c r="I65" s="350"/>
      <c r="J65" s="350"/>
      <c r="K65" s="350"/>
      <c r="L65" s="350"/>
      <c r="M65" s="350"/>
      <c r="N65" s="350"/>
      <c r="O65" s="350"/>
      <c r="P65" s="350"/>
      <c r="Q65" s="350"/>
      <c r="R65" s="350"/>
      <c r="S65" s="350"/>
      <c r="T65" s="350"/>
      <c r="U65" s="350"/>
      <c r="V65" s="350"/>
      <c r="W65" s="350"/>
      <c r="X65" s="350"/>
      <c r="Y65" s="350"/>
      <c r="Z65" s="350"/>
      <c r="AA65" s="350"/>
      <c r="AB65" s="350"/>
      <c r="AC65" s="350"/>
      <c r="AD65" s="350"/>
      <c r="AE65" s="350"/>
      <c r="AF65" s="350"/>
      <c r="AG65" s="350"/>
      <c r="AH65" s="350"/>
      <c r="AI65" s="350"/>
      <c r="AJ65" s="350"/>
      <c r="AK65" s="350"/>
      <c r="AL65" s="350"/>
      <c r="AM65" s="350"/>
      <c r="AN65" s="350"/>
      <c r="AO65" s="350"/>
      <c r="AP65" s="350"/>
      <c r="AQ65" s="350"/>
      <c r="AR65" s="350"/>
      <c r="AS65" s="350"/>
      <c r="AT65" s="350"/>
      <c r="AU65" s="350"/>
      <c r="AV65" s="350"/>
      <c r="AW65" s="350"/>
      <c r="AX65" s="350"/>
      <c r="AY65" s="350"/>
      <c r="AZ65" s="350"/>
      <c r="BA65" s="350"/>
      <c r="BB65" s="350"/>
      <c r="BC65" s="350"/>
      <c r="BD65" s="350"/>
      <c r="BE65" s="350"/>
      <c r="BF65" s="350"/>
      <c r="BG65" s="350"/>
      <c r="BH65" s="350"/>
      <c r="BI65" s="350"/>
      <c r="BJ65" s="350"/>
      <c r="BK65" s="350"/>
      <c r="BL65" s="350"/>
      <c r="BM65" s="350"/>
      <c r="BN65" s="350"/>
      <c r="BO65" s="350"/>
      <c r="BP65" s="350"/>
      <c r="BQ65" s="350"/>
      <c r="BR65" s="350"/>
      <c r="BS65" s="350"/>
      <c r="BT65" s="350"/>
    </row>
    <row r="66" spans="1:72" s="458" customFormat="1" ht="15.75" customHeight="1" x14ac:dyDescent="0.2">
      <c r="A66" s="363"/>
      <c r="B66" s="364"/>
      <c r="C66" s="382"/>
      <c r="D66" s="365"/>
      <c r="E66" s="365"/>
      <c r="F66" s="375"/>
      <c r="G66" s="459">
        <f>SUM(G67:G69)</f>
        <v>8589.2000000000007</v>
      </c>
      <c r="H66" s="350"/>
      <c r="I66" s="350"/>
      <c r="J66" s="350"/>
      <c r="K66" s="350"/>
      <c r="L66" s="350"/>
      <c r="M66" s="350"/>
      <c r="N66" s="350"/>
      <c r="O66" s="350"/>
      <c r="P66" s="350"/>
      <c r="Q66" s="350"/>
      <c r="R66" s="350"/>
      <c r="S66" s="350"/>
      <c r="T66" s="350"/>
      <c r="U66" s="350"/>
      <c r="V66" s="350"/>
      <c r="W66" s="350"/>
      <c r="X66" s="350"/>
      <c r="Y66" s="350"/>
      <c r="Z66" s="350"/>
      <c r="AA66" s="350"/>
      <c r="AB66" s="350"/>
      <c r="AC66" s="350"/>
      <c r="AD66" s="350"/>
      <c r="AE66" s="350"/>
      <c r="AF66" s="350"/>
      <c r="AG66" s="350"/>
      <c r="AH66" s="350"/>
      <c r="AI66" s="350"/>
      <c r="AJ66" s="350"/>
      <c r="AK66" s="350"/>
      <c r="AL66" s="350"/>
      <c r="AM66" s="350"/>
      <c r="AN66" s="350"/>
      <c r="AO66" s="350"/>
      <c r="AP66" s="350"/>
      <c r="AQ66" s="350"/>
      <c r="AR66" s="350"/>
      <c r="AS66" s="350"/>
      <c r="AT66" s="350"/>
      <c r="AU66" s="350"/>
      <c r="AV66" s="350"/>
      <c r="AW66" s="350"/>
      <c r="AX66" s="350"/>
      <c r="AY66" s="350"/>
      <c r="AZ66" s="350"/>
      <c r="BA66" s="350"/>
      <c r="BB66" s="350"/>
      <c r="BC66" s="350"/>
      <c r="BD66" s="350"/>
      <c r="BE66" s="350"/>
      <c r="BF66" s="350"/>
      <c r="BG66" s="350"/>
      <c r="BH66" s="350"/>
      <c r="BI66" s="350"/>
      <c r="BJ66" s="350"/>
      <c r="BK66" s="350"/>
      <c r="BL66" s="350"/>
      <c r="BM66" s="350"/>
      <c r="BN66" s="350"/>
      <c r="BO66" s="350"/>
      <c r="BP66" s="350"/>
      <c r="BQ66" s="350"/>
      <c r="BR66" s="350"/>
      <c r="BS66" s="350"/>
      <c r="BT66" s="350"/>
    </row>
    <row r="67" spans="1:72" s="458" customFormat="1" ht="15.75" customHeight="1" x14ac:dyDescent="0.2">
      <c r="A67" s="363"/>
      <c r="B67" s="364"/>
      <c r="C67" s="382"/>
      <c r="D67" s="365"/>
      <c r="E67" s="365" t="s">
        <v>482</v>
      </c>
      <c r="F67" s="375" t="s">
        <v>474</v>
      </c>
      <c r="G67" s="376">
        <f>3000</f>
        <v>3000</v>
      </c>
      <c r="H67" s="350"/>
      <c r="I67" s="350"/>
      <c r="J67" s="350"/>
      <c r="K67" s="350"/>
      <c r="L67" s="350"/>
      <c r="M67" s="350"/>
      <c r="N67" s="350"/>
      <c r="O67" s="350"/>
      <c r="P67" s="350"/>
      <c r="Q67" s="350"/>
      <c r="R67" s="350"/>
      <c r="S67" s="350"/>
      <c r="T67" s="350"/>
      <c r="U67" s="350"/>
      <c r="V67" s="350"/>
      <c r="W67" s="350"/>
      <c r="X67" s="350"/>
      <c r="Y67" s="350"/>
      <c r="Z67" s="350"/>
      <c r="AA67" s="350"/>
      <c r="AB67" s="350"/>
      <c r="AC67" s="350"/>
      <c r="AD67" s="350"/>
      <c r="AE67" s="350"/>
      <c r="AF67" s="350"/>
      <c r="AG67" s="350"/>
      <c r="AH67" s="350"/>
      <c r="AI67" s="350"/>
      <c r="AJ67" s="350"/>
      <c r="AK67" s="350"/>
      <c r="AL67" s="350"/>
      <c r="AM67" s="350"/>
      <c r="AN67" s="350"/>
      <c r="AO67" s="350"/>
      <c r="AP67" s="350"/>
      <c r="AQ67" s="350"/>
      <c r="AR67" s="350"/>
      <c r="AS67" s="350"/>
      <c r="AT67" s="350"/>
      <c r="AU67" s="350"/>
      <c r="AV67" s="350"/>
      <c r="AW67" s="350"/>
      <c r="AX67" s="350"/>
      <c r="AY67" s="350"/>
      <c r="AZ67" s="350"/>
      <c r="BA67" s="350"/>
      <c r="BB67" s="350"/>
      <c r="BC67" s="350"/>
      <c r="BD67" s="350"/>
      <c r="BE67" s="350"/>
      <c r="BF67" s="350"/>
      <c r="BG67" s="350"/>
      <c r="BH67" s="350"/>
      <c r="BI67" s="350"/>
      <c r="BJ67" s="350"/>
      <c r="BK67" s="350"/>
      <c r="BL67" s="350"/>
      <c r="BM67" s="350"/>
      <c r="BN67" s="350"/>
      <c r="BO67" s="350"/>
      <c r="BP67" s="350"/>
      <c r="BQ67" s="350"/>
      <c r="BR67" s="350"/>
      <c r="BS67" s="350"/>
      <c r="BT67" s="350"/>
    </row>
    <row r="68" spans="1:72" s="458" customFormat="1" ht="15.75" customHeight="1" x14ac:dyDescent="0.2">
      <c r="A68" s="363"/>
      <c r="B68" s="364"/>
      <c r="C68" s="382"/>
      <c r="D68" s="365"/>
      <c r="E68" s="365" t="s">
        <v>491</v>
      </c>
      <c r="F68" s="375" t="s">
        <v>474</v>
      </c>
      <c r="G68" s="376">
        <f>5000</f>
        <v>5000</v>
      </c>
      <c r="H68" s="350"/>
      <c r="I68" s="350"/>
      <c r="J68" s="350"/>
      <c r="K68" s="350"/>
      <c r="L68" s="350"/>
      <c r="M68" s="350"/>
      <c r="N68" s="350"/>
      <c r="O68" s="350"/>
      <c r="P68" s="350"/>
      <c r="Q68" s="350"/>
      <c r="R68" s="350"/>
      <c r="S68" s="350"/>
      <c r="T68" s="350"/>
      <c r="U68" s="350"/>
      <c r="V68" s="350"/>
      <c r="W68" s="350"/>
      <c r="X68" s="350"/>
      <c r="Y68" s="350"/>
      <c r="Z68" s="350"/>
      <c r="AA68" s="350"/>
      <c r="AB68" s="350"/>
      <c r="AC68" s="350"/>
      <c r="AD68" s="350"/>
      <c r="AE68" s="350"/>
      <c r="AF68" s="350"/>
      <c r="AG68" s="350"/>
      <c r="AH68" s="350"/>
      <c r="AI68" s="350"/>
      <c r="AJ68" s="350"/>
      <c r="AK68" s="350"/>
      <c r="AL68" s="350"/>
      <c r="AM68" s="350"/>
      <c r="AN68" s="350"/>
      <c r="AO68" s="350"/>
      <c r="AP68" s="350"/>
      <c r="AQ68" s="350"/>
      <c r="AR68" s="350"/>
      <c r="AS68" s="350"/>
      <c r="AT68" s="350"/>
      <c r="AU68" s="350"/>
      <c r="AV68" s="350"/>
      <c r="AW68" s="350"/>
      <c r="AX68" s="350"/>
      <c r="AY68" s="350"/>
      <c r="AZ68" s="350"/>
      <c r="BA68" s="350"/>
      <c r="BB68" s="350"/>
      <c r="BC68" s="350"/>
      <c r="BD68" s="350"/>
      <c r="BE68" s="350"/>
      <c r="BF68" s="350"/>
      <c r="BG68" s="350"/>
      <c r="BH68" s="350"/>
      <c r="BI68" s="350"/>
      <c r="BJ68" s="350"/>
      <c r="BK68" s="350"/>
      <c r="BL68" s="350"/>
      <c r="BM68" s="350"/>
      <c r="BN68" s="350"/>
      <c r="BO68" s="350"/>
      <c r="BP68" s="350"/>
      <c r="BQ68" s="350"/>
      <c r="BR68" s="350"/>
      <c r="BS68" s="350"/>
      <c r="BT68" s="350"/>
    </row>
    <row r="69" spans="1:72" s="458" customFormat="1" ht="15.75" customHeight="1" x14ac:dyDescent="0.2">
      <c r="A69" s="363"/>
      <c r="B69" s="364"/>
      <c r="C69" s="382"/>
      <c r="D69" s="365"/>
      <c r="E69" s="365" t="s">
        <v>483</v>
      </c>
      <c r="F69" s="375" t="s">
        <v>474</v>
      </c>
      <c r="G69" s="376">
        <f>589.2</f>
        <v>589.20000000000005</v>
      </c>
      <c r="H69" s="350"/>
      <c r="I69" s="350"/>
      <c r="J69" s="350"/>
      <c r="K69" s="350"/>
      <c r="L69" s="350"/>
      <c r="M69" s="350"/>
      <c r="N69" s="350"/>
      <c r="O69" s="350"/>
      <c r="P69" s="350"/>
      <c r="Q69" s="350"/>
      <c r="R69" s="350"/>
      <c r="S69" s="350"/>
      <c r="T69" s="350"/>
      <c r="U69" s="350"/>
      <c r="V69" s="350"/>
      <c r="W69" s="350"/>
      <c r="X69" s="350"/>
      <c r="Y69" s="350"/>
      <c r="Z69" s="350"/>
      <c r="AA69" s="350"/>
      <c r="AB69" s="350"/>
      <c r="AC69" s="350"/>
      <c r="AD69" s="350"/>
      <c r="AE69" s="350"/>
      <c r="AF69" s="350"/>
      <c r="AG69" s="350"/>
      <c r="AH69" s="350"/>
      <c r="AI69" s="350"/>
      <c r="AJ69" s="350"/>
      <c r="AK69" s="350"/>
      <c r="AL69" s="350"/>
      <c r="AM69" s="350"/>
      <c r="AN69" s="350"/>
      <c r="AO69" s="350"/>
      <c r="AP69" s="350"/>
      <c r="AQ69" s="350"/>
      <c r="AR69" s="350"/>
      <c r="AS69" s="350"/>
      <c r="AT69" s="350"/>
      <c r="AU69" s="350"/>
      <c r="AV69" s="350"/>
      <c r="AW69" s="350"/>
      <c r="AX69" s="350"/>
      <c r="AY69" s="350"/>
      <c r="AZ69" s="350"/>
      <c r="BA69" s="350"/>
      <c r="BB69" s="350"/>
      <c r="BC69" s="350"/>
      <c r="BD69" s="350"/>
      <c r="BE69" s="350"/>
      <c r="BF69" s="350"/>
      <c r="BG69" s="350"/>
      <c r="BH69" s="350"/>
      <c r="BI69" s="350"/>
      <c r="BJ69" s="350"/>
      <c r="BK69" s="350"/>
      <c r="BL69" s="350"/>
      <c r="BM69" s="350"/>
      <c r="BN69" s="350"/>
      <c r="BO69" s="350"/>
      <c r="BP69" s="350"/>
      <c r="BQ69" s="350"/>
      <c r="BR69" s="350"/>
      <c r="BS69" s="350"/>
      <c r="BT69" s="350"/>
    </row>
    <row r="70" spans="1:72" s="458" customFormat="1" ht="12.75" customHeight="1" x14ac:dyDescent="0.2">
      <c r="A70" s="363"/>
      <c r="B70" s="364"/>
      <c r="C70" s="382"/>
      <c r="D70" s="365"/>
      <c r="E70" s="365"/>
      <c r="F70" s="375"/>
      <c r="G70" s="376"/>
      <c r="H70" s="350"/>
      <c r="I70" s="350"/>
      <c r="J70" s="350"/>
      <c r="K70" s="350"/>
      <c r="L70" s="350"/>
      <c r="M70" s="350"/>
      <c r="N70" s="350"/>
      <c r="O70" s="350"/>
      <c r="P70" s="350"/>
      <c r="Q70" s="350"/>
      <c r="R70" s="350"/>
      <c r="S70" s="350"/>
      <c r="T70" s="350"/>
      <c r="U70" s="350"/>
      <c r="V70" s="350"/>
      <c r="W70" s="350"/>
      <c r="X70" s="350"/>
      <c r="Y70" s="350"/>
      <c r="Z70" s="350"/>
      <c r="AA70" s="350"/>
      <c r="AB70" s="350"/>
      <c r="AC70" s="350"/>
      <c r="AD70" s="350"/>
      <c r="AE70" s="350"/>
      <c r="AF70" s="350"/>
      <c r="AG70" s="350"/>
      <c r="AH70" s="350"/>
      <c r="AI70" s="350"/>
      <c r="AJ70" s="350"/>
      <c r="AK70" s="350"/>
      <c r="AL70" s="350"/>
      <c r="AM70" s="350"/>
      <c r="AN70" s="350"/>
      <c r="AO70" s="350"/>
      <c r="AP70" s="350"/>
      <c r="AQ70" s="350"/>
      <c r="AR70" s="350"/>
      <c r="AS70" s="350"/>
      <c r="AT70" s="350"/>
      <c r="AU70" s="350"/>
      <c r="AV70" s="350"/>
      <c r="AW70" s="350"/>
      <c r="AX70" s="350"/>
      <c r="AY70" s="350"/>
      <c r="AZ70" s="350"/>
      <c r="BA70" s="350"/>
      <c r="BB70" s="350"/>
      <c r="BC70" s="350"/>
      <c r="BD70" s="350"/>
      <c r="BE70" s="350"/>
      <c r="BF70" s="350"/>
      <c r="BG70" s="350"/>
      <c r="BH70" s="350"/>
      <c r="BI70" s="350"/>
      <c r="BJ70" s="350"/>
      <c r="BK70" s="350"/>
      <c r="BL70" s="350"/>
      <c r="BM70" s="350"/>
      <c r="BN70" s="350"/>
      <c r="BO70" s="350"/>
      <c r="BP70" s="350"/>
      <c r="BQ70" s="350"/>
      <c r="BR70" s="350"/>
      <c r="BS70" s="350"/>
      <c r="BT70" s="350"/>
    </row>
    <row r="71" spans="1:72" s="458" customFormat="1" ht="15.75" customHeight="1" x14ac:dyDescent="0.2">
      <c r="A71" s="363"/>
      <c r="B71" s="460" t="s">
        <v>122</v>
      </c>
      <c r="C71" s="365" t="s">
        <v>489</v>
      </c>
      <c r="D71" s="365" t="s">
        <v>495</v>
      </c>
      <c r="E71" s="371" t="s">
        <v>474</v>
      </c>
      <c r="F71" s="372" t="s">
        <v>474</v>
      </c>
      <c r="G71" s="373">
        <f>SUM(G73)</f>
        <v>15001.84</v>
      </c>
      <c r="H71" s="350"/>
      <c r="I71" s="350"/>
      <c r="J71" s="350"/>
      <c r="K71" s="350"/>
      <c r="L71" s="350"/>
      <c r="M71" s="350"/>
      <c r="N71" s="350"/>
      <c r="O71" s="350"/>
      <c r="P71" s="350"/>
      <c r="Q71" s="350"/>
      <c r="R71" s="350"/>
      <c r="S71" s="350"/>
      <c r="T71" s="350"/>
      <c r="U71" s="350"/>
      <c r="V71" s="350"/>
      <c r="W71" s="350"/>
      <c r="X71" s="350"/>
      <c r="Y71" s="350"/>
      <c r="Z71" s="350"/>
      <c r="AA71" s="350"/>
      <c r="AB71" s="350"/>
      <c r="AC71" s="350"/>
      <c r="AD71" s="350"/>
      <c r="AE71" s="350"/>
      <c r="AF71" s="350"/>
      <c r="AG71" s="350"/>
      <c r="AH71" s="350"/>
      <c r="AI71" s="350"/>
      <c r="AJ71" s="350"/>
      <c r="AK71" s="350"/>
      <c r="AL71" s="350"/>
      <c r="AM71" s="350"/>
      <c r="AN71" s="350"/>
      <c r="AO71" s="350"/>
      <c r="AP71" s="350"/>
      <c r="AQ71" s="350"/>
      <c r="AR71" s="350"/>
      <c r="AS71" s="350"/>
      <c r="AT71" s="350"/>
      <c r="AU71" s="350"/>
      <c r="AV71" s="350"/>
      <c r="AW71" s="350"/>
      <c r="AX71" s="350"/>
      <c r="AY71" s="350"/>
      <c r="AZ71" s="350"/>
      <c r="BA71" s="350"/>
      <c r="BB71" s="350"/>
      <c r="BC71" s="350"/>
      <c r="BD71" s="350"/>
      <c r="BE71" s="350"/>
      <c r="BF71" s="350"/>
      <c r="BG71" s="350"/>
      <c r="BH71" s="350"/>
      <c r="BI71" s="350"/>
      <c r="BJ71" s="350"/>
      <c r="BK71" s="350"/>
      <c r="BL71" s="350"/>
      <c r="BM71" s="350"/>
      <c r="BN71" s="350"/>
      <c r="BO71" s="350"/>
      <c r="BP71" s="350"/>
      <c r="BQ71" s="350"/>
      <c r="BR71" s="350"/>
      <c r="BS71" s="350"/>
      <c r="BT71" s="350"/>
    </row>
    <row r="72" spans="1:72" s="458" customFormat="1" ht="15.75" customHeight="1" x14ac:dyDescent="0.2">
      <c r="A72" s="363"/>
      <c r="B72" s="364"/>
      <c r="C72" s="382"/>
      <c r="D72" s="365"/>
      <c r="E72" s="365"/>
      <c r="F72" s="375"/>
      <c r="G72" s="376"/>
      <c r="H72" s="350"/>
      <c r="I72" s="350"/>
      <c r="J72" s="350"/>
      <c r="K72" s="350"/>
      <c r="L72" s="350"/>
      <c r="M72" s="350"/>
      <c r="N72" s="350"/>
      <c r="O72" s="350"/>
      <c r="P72" s="350"/>
      <c r="Q72" s="350"/>
      <c r="R72" s="350"/>
      <c r="S72" s="350"/>
      <c r="T72" s="350"/>
      <c r="U72" s="350"/>
      <c r="V72" s="350"/>
      <c r="W72" s="350"/>
      <c r="X72" s="350"/>
      <c r="Y72" s="350"/>
      <c r="Z72" s="350"/>
      <c r="AA72" s="350"/>
      <c r="AB72" s="350"/>
      <c r="AC72" s="350"/>
      <c r="AD72" s="350"/>
      <c r="AE72" s="350"/>
      <c r="AF72" s="350"/>
      <c r="AG72" s="350"/>
      <c r="AH72" s="350"/>
      <c r="AI72" s="350"/>
      <c r="AJ72" s="350"/>
      <c r="AK72" s="350"/>
      <c r="AL72" s="350"/>
      <c r="AM72" s="350"/>
      <c r="AN72" s="350"/>
      <c r="AO72" s="350"/>
      <c r="AP72" s="350"/>
      <c r="AQ72" s="350"/>
      <c r="AR72" s="350"/>
      <c r="AS72" s="350"/>
      <c r="AT72" s="350"/>
      <c r="AU72" s="350"/>
      <c r="AV72" s="350"/>
      <c r="AW72" s="350"/>
      <c r="AX72" s="350"/>
      <c r="AY72" s="350"/>
      <c r="AZ72" s="350"/>
      <c r="BA72" s="350"/>
      <c r="BB72" s="350"/>
      <c r="BC72" s="350"/>
      <c r="BD72" s="350"/>
      <c r="BE72" s="350"/>
      <c r="BF72" s="350"/>
      <c r="BG72" s="350"/>
      <c r="BH72" s="350"/>
      <c r="BI72" s="350"/>
      <c r="BJ72" s="350"/>
      <c r="BK72" s="350"/>
      <c r="BL72" s="350"/>
      <c r="BM72" s="350"/>
      <c r="BN72" s="350"/>
      <c r="BO72" s="350"/>
      <c r="BP72" s="350"/>
      <c r="BQ72" s="350"/>
      <c r="BR72" s="350"/>
      <c r="BS72" s="350"/>
      <c r="BT72" s="350"/>
    </row>
    <row r="73" spans="1:72" s="458" customFormat="1" ht="15.75" customHeight="1" x14ac:dyDescent="0.2">
      <c r="A73" s="363"/>
      <c r="B73" s="364"/>
      <c r="C73" s="382"/>
      <c r="D73" s="365"/>
      <c r="E73" s="365"/>
      <c r="F73" s="375"/>
      <c r="G73" s="459">
        <f>SUM(G74:G76)</f>
        <v>15001.84</v>
      </c>
      <c r="H73" s="350"/>
      <c r="I73" s="350"/>
      <c r="J73" s="350"/>
      <c r="K73" s="350"/>
      <c r="L73" s="350"/>
      <c r="M73" s="350"/>
      <c r="N73" s="350"/>
      <c r="O73" s="350"/>
      <c r="P73" s="350"/>
      <c r="Q73" s="350"/>
      <c r="R73" s="350"/>
      <c r="S73" s="350"/>
      <c r="T73" s="350"/>
      <c r="U73" s="350"/>
      <c r="V73" s="350"/>
      <c r="W73" s="350"/>
      <c r="X73" s="350"/>
      <c r="Y73" s="350"/>
      <c r="Z73" s="350"/>
      <c r="AA73" s="350"/>
      <c r="AB73" s="350"/>
      <c r="AC73" s="350"/>
      <c r="AD73" s="350"/>
      <c r="AE73" s="350"/>
      <c r="AF73" s="350"/>
      <c r="AG73" s="350"/>
      <c r="AH73" s="350"/>
      <c r="AI73" s="350"/>
      <c r="AJ73" s="350"/>
      <c r="AK73" s="350"/>
      <c r="AL73" s="350"/>
      <c r="AM73" s="350"/>
      <c r="AN73" s="350"/>
      <c r="AO73" s="350"/>
      <c r="AP73" s="350"/>
      <c r="AQ73" s="350"/>
      <c r="AR73" s="350"/>
      <c r="AS73" s="350"/>
      <c r="AT73" s="350"/>
      <c r="AU73" s="350"/>
      <c r="AV73" s="350"/>
      <c r="AW73" s="350"/>
      <c r="AX73" s="350"/>
      <c r="AY73" s="350"/>
      <c r="AZ73" s="350"/>
      <c r="BA73" s="350"/>
      <c r="BB73" s="350"/>
      <c r="BC73" s="350"/>
      <c r="BD73" s="350"/>
      <c r="BE73" s="350"/>
      <c r="BF73" s="350"/>
      <c r="BG73" s="350"/>
      <c r="BH73" s="350"/>
      <c r="BI73" s="350"/>
      <c r="BJ73" s="350"/>
      <c r="BK73" s="350"/>
      <c r="BL73" s="350"/>
      <c r="BM73" s="350"/>
      <c r="BN73" s="350"/>
      <c r="BO73" s="350"/>
      <c r="BP73" s="350"/>
      <c r="BQ73" s="350"/>
      <c r="BR73" s="350"/>
      <c r="BS73" s="350"/>
      <c r="BT73" s="350"/>
    </row>
    <row r="74" spans="1:72" s="458" customFormat="1" ht="15.75" customHeight="1" x14ac:dyDescent="0.2">
      <c r="A74" s="363"/>
      <c r="B74" s="364"/>
      <c r="C74" s="382"/>
      <c r="D74" s="365"/>
      <c r="E74" s="365" t="s">
        <v>482</v>
      </c>
      <c r="F74" s="375" t="s">
        <v>474</v>
      </c>
      <c r="G74" s="376">
        <v>60</v>
      </c>
      <c r="H74" s="350"/>
      <c r="I74" s="350"/>
      <c r="J74" s="350"/>
      <c r="K74" s="350"/>
      <c r="L74" s="350"/>
      <c r="M74" s="350"/>
      <c r="N74" s="350"/>
      <c r="O74" s="350"/>
      <c r="P74" s="350"/>
      <c r="Q74" s="350"/>
      <c r="R74" s="350"/>
      <c r="S74" s="350"/>
      <c r="T74" s="350"/>
      <c r="U74" s="350"/>
      <c r="V74" s="350"/>
      <c r="W74" s="350"/>
      <c r="X74" s="350"/>
      <c r="Y74" s="350"/>
      <c r="Z74" s="350"/>
      <c r="AA74" s="350"/>
      <c r="AB74" s="350"/>
      <c r="AC74" s="350"/>
      <c r="AD74" s="350"/>
      <c r="AE74" s="350"/>
      <c r="AF74" s="350"/>
      <c r="AG74" s="350"/>
      <c r="AH74" s="350"/>
      <c r="AI74" s="350"/>
      <c r="AJ74" s="350"/>
      <c r="AK74" s="350"/>
      <c r="AL74" s="350"/>
      <c r="AM74" s="350"/>
      <c r="AN74" s="350"/>
      <c r="AO74" s="350"/>
      <c r="AP74" s="350"/>
      <c r="AQ74" s="350"/>
      <c r="AR74" s="350"/>
      <c r="AS74" s="350"/>
      <c r="AT74" s="350"/>
      <c r="AU74" s="350"/>
      <c r="AV74" s="350"/>
      <c r="AW74" s="350"/>
      <c r="AX74" s="350"/>
      <c r="AY74" s="350"/>
      <c r="AZ74" s="350"/>
      <c r="BA74" s="350"/>
      <c r="BB74" s="350"/>
      <c r="BC74" s="350"/>
      <c r="BD74" s="350"/>
      <c r="BE74" s="350"/>
      <c r="BF74" s="350"/>
      <c r="BG74" s="350"/>
      <c r="BH74" s="350"/>
      <c r="BI74" s="350"/>
      <c r="BJ74" s="350"/>
      <c r="BK74" s="350"/>
      <c r="BL74" s="350"/>
      <c r="BM74" s="350"/>
      <c r="BN74" s="350"/>
      <c r="BO74" s="350"/>
      <c r="BP74" s="350"/>
      <c r="BQ74" s="350"/>
      <c r="BR74" s="350"/>
      <c r="BS74" s="350"/>
      <c r="BT74" s="350"/>
    </row>
    <row r="75" spans="1:72" s="458" customFormat="1" ht="15.75" customHeight="1" x14ac:dyDescent="0.2">
      <c r="A75" s="363"/>
      <c r="B75" s="364"/>
      <c r="C75" s="382"/>
      <c r="D75" s="365"/>
      <c r="E75" s="365" t="s">
        <v>491</v>
      </c>
      <c r="F75" s="375" t="s">
        <v>474</v>
      </c>
      <c r="G75" s="376">
        <f>1800+9128.31+742.19</f>
        <v>11670.5</v>
      </c>
      <c r="H75" s="350"/>
      <c r="I75" s="350"/>
      <c r="J75" s="350"/>
      <c r="K75" s="350"/>
      <c r="L75" s="350"/>
      <c r="M75" s="350"/>
      <c r="N75" s="350"/>
      <c r="O75" s="350"/>
      <c r="P75" s="350"/>
      <c r="Q75" s="350"/>
      <c r="R75" s="350"/>
      <c r="S75" s="350"/>
      <c r="T75" s="350"/>
      <c r="U75" s="350"/>
      <c r="V75" s="350"/>
      <c r="W75" s="350"/>
      <c r="X75" s="350"/>
      <c r="Y75" s="350"/>
      <c r="Z75" s="350"/>
      <c r="AA75" s="350"/>
      <c r="AB75" s="350"/>
      <c r="AC75" s="350"/>
      <c r="AD75" s="350"/>
      <c r="AE75" s="350"/>
      <c r="AF75" s="350"/>
      <c r="AG75" s="350"/>
      <c r="AH75" s="350"/>
      <c r="AI75" s="350"/>
      <c r="AJ75" s="350"/>
      <c r="AK75" s="350"/>
      <c r="AL75" s="350"/>
      <c r="AM75" s="350"/>
      <c r="AN75" s="350"/>
      <c r="AO75" s="350"/>
      <c r="AP75" s="350"/>
      <c r="AQ75" s="350"/>
      <c r="AR75" s="350"/>
      <c r="AS75" s="350"/>
      <c r="AT75" s="350"/>
      <c r="AU75" s="350"/>
      <c r="AV75" s="350"/>
      <c r="AW75" s="350"/>
      <c r="AX75" s="350"/>
      <c r="AY75" s="350"/>
      <c r="AZ75" s="350"/>
      <c r="BA75" s="350"/>
      <c r="BB75" s="350"/>
      <c r="BC75" s="350"/>
      <c r="BD75" s="350"/>
      <c r="BE75" s="350"/>
      <c r="BF75" s="350"/>
      <c r="BG75" s="350"/>
      <c r="BH75" s="350"/>
      <c r="BI75" s="350"/>
      <c r="BJ75" s="350"/>
      <c r="BK75" s="350"/>
      <c r="BL75" s="350"/>
      <c r="BM75" s="350"/>
      <c r="BN75" s="350"/>
      <c r="BO75" s="350"/>
      <c r="BP75" s="350"/>
      <c r="BQ75" s="350"/>
      <c r="BR75" s="350"/>
      <c r="BS75" s="350"/>
      <c r="BT75" s="350"/>
    </row>
    <row r="76" spans="1:72" s="458" customFormat="1" ht="15.75" customHeight="1" x14ac:dyDescent="0.2">
      <c r="A76" s="363"/>
      <c r="B76" s="364"/>
      <c r="C76" s="382"/>
      <c r="D76" s="365"/>
      <c r="E76" s="365" t="s">
        <v>483</v>
      </c>
      <c r="F76" s="375" t="s">
        <v>474</v>
      </c>
      <c r="G76" s="376">
        <f>1021.9+2068.02+181.42</f>
        <v>3271.34</v>
      </c>
      <c r="H76" s="350"/>
      <c r="I76" s="350"/>
      <c r="J76" s="350"/>
      <c r="K76" s="350"/>
      <c r="L76" s="350"/>
      <c r="M76" s="350"/>
      <c r="N76" s="350"/>
      <c r="O76" s="350"/>
      <c r="P76" s="350"/>
      <c r="Q76" s="350"/>
      <c r="R76" s="350"/>
      <c r="S76" s="350"/>
      <c r="T76" s="350"/>
      <c r="U76" s="350"/>
      <c r="V76" s="350"/>
      <c r="W76" s="350"/>
      <c r="X76" s="350"/>
      <c r="Y76" s="350"/>
      <c r="Z76" s="350"/>
      <c r="AA76" s="350"/>
      <c r="AB76" s="350"/>
      <c r="AC76" s="350"/>
      <c r="AD76" s="350"/>
      <c r="AE76" s="350"/>
      <c r="AF76" s="350"/>
      <c r="AG76" s="350"/>
      <c r="AH76" s="350"/>
      <c r="AI76" s="350"/>
      <c r="AJ76" s="350"/>
      <c r="AK76" s="350"/>
      <c r="AL76" s="350"/>
      <c r="AM76" s="350"/>
      <c r="AN76" s="350"/>
      <c r="AO76" s="350"/>
      <c r="AP76" s="350"/>
      <c r="AQ76" s="350"/>
      <c r="AR76" s="350"/>
      <c r="AS76" s="350"/>
      <c r="AT76" s="350"/>
      <c r="AU76" s="350"/>
      <c r="AV76" s="350"/>
      <c r="AW76" s="350"/>
      <c r="AX76" s="350"/>
      <c r="AY76" s="350"/>
      <c r="AZ76" s="350"/>
      <c r="BA76" s="350"/>
      <c r="BB76" s="350"/>
      <c r="BC76" s="350"/>
      <c r="BD76" s="350"/>
      <c r="BE76" s="350"/>
      <c r="BF76" s="350"/>
      <c r="BG76" s="350"/>
      <c r="BH76" s="350"/>
      <c r="BI76" s="350"/>
      <c r="BJ76" s="350"/>
      <c r="BK76" s="350"/>
      <c r="BL76" s="350"/>
      <c r="BM76" s="350"/>
      <c r="BN76" s="350"/>
      <c r="BO76" s="350"/>
      <c r="BP76" s="350"/>
      <c r="BQ76" s="350"/>
      <c r="BR76" s="350"/>
      <c r="BS76" s="350"/>
      <c r="BT76" s="350"/>
    </row>
    <row r="77" spans="1:72" s="458" customFormat="1" ht="15.75" customHeight="1" x14ac:dyDescent="0.2">
      <c r="A77" s="363"/>
      <c r="B77" s="364"/>
      <c r="C77" s="382"/>
      <c r="D77" s="365"/>
      <c r="E77" s="365"/>
      <c r="F77" s="375"/>
      <c r="G77" s="376"/>
      <c r="H77" s="350"/>
      <c r="I77" s="350"/>
      <c r="J77" s="350"/>
      <c r="K77" s="350"/>
      <c r="L77" s="350"/>
      <c r="M77" s="350"/>
      <c r="N77" s="350"/>
      <c r="O77" s="350"/>
      <c r="P77" s="350"/>
      <c r="Q77" s="350"/>
      <c r="R77" s="350"/>
      <c r="S77" s="350"/>
      <c r="T77" s="350"/>
      <c r="U77" s="350"/>
      <c r="V77" s="350"/>
      <c r="W77" s="350"/>
      <c r="X77" s="350"/>
      <c r="Y77" s="350"/>
      <c r="Z77" s="350"/>
      <c r="AA77" s="350"/>
      <c r="AB77" s="350"/>
      <c r="AC77" s="350"/>
      <c r="AD77" s="350"/>
      <c r="AE77" s="350"/>
      <c r="AF77" s="350"/>
      <c r="AG77" s="350"/>
      <c r="AH77" s="350"/>
      <c r="AI77" s="350"/>
      <c r="AJ77" s="350"/>
      <c r="AK77" s="350"/>
      <c r="AL77" s="350"/>
      <c r="AM77" s="350"/>
      <c r="AN77" s="350"/>
      <c r="AO77" s="350"/>
      <c r="AP77" s="350"/>
      <c r="AQ77" s="350"/>
      <c r="AR77" s="350"/>
      <c r="AS77" s="350"/>
      <c r="AT77" s="350"/>
      <c r="AU77" s="350"/>
      <c r="AV77" s="350"/>
      <c r="AW77" s="350"/>
      <c r="AX77" s="350"/>
      <c r="AY77" s="350"/>
      <c r="AZ77" s="350"/>
      <c r="BA77" s="350"/>
      <c r="BB77" s="350"/>
      <c r="BC77" s="350"/>
      <c r="BD77" s="350"/>
      <c r="BE77" s="350"/>
      <c r="BF77" s="350"/>
      <c r="BG77" s="350"/>
      <c r="BH77" s="350"/>
      <c r="BI77" s="350"/>
      <c r="BJ77" s="350"/>
      <c r="BK77" s="350"/>
      <c r="BL77" s="350"/>
      <c r="BM77" s="350"/>
      <c r="BN77" s="350"/>
      <c r="BO77" s="350"/>
      <c r="BP77" s="350"/>
      <c r="BQ77" s="350"/>
      <c r="BR77" s="350"/>
      <c r="BS77" s="350"/>
      <c r="BT77" s="350"/>
    </row>
    <row r="78" spans="1:72" s="458" customFormat="1" ht="15.75" customHeight="1" x14ac:dyDescent="0.2">
      <c r="A78" s="363"/>
      <c r="B78" s="460" t="s">
        <v>122</v>
      </c>
      <c r="C78" s="365" t="s">
        <v>489</v>
      </c>
      <c r="D78" s="365" t="s">
        <v>496</v>
      </c>
      <c r="E78" s="371" t="s">
        <v>474</v>
      </c>
      <c r="F78" s="372" t="s">
        <v>474</v>
      </c>
      <c r="G78" s="373">
        <f>SUM(G80)</f>
        <v>2880.07</v>
      </c>
      <c r="H78" s="350"/>
      <c r="I78" s="350"/>
      <c r="J78" s="350"/>
      <c r="K78" s="350"/>
      <c r="L78" s="350"/>
      <c r="M78" s="350"/>
      <c r="N78" s="350"/>
      <c r="O78" s="350"/>
      <c r="P78" s="350"/>
      <c r="Q78" s="350"/>
      <c r="R78" s="350"/>
      <c r="S78" s="350"/>
      <c r="T78" s="350"/>
      <c r="U78" s="350"/>
      <c r="V78" s="350"/>
      <c r="W78" s="350"/>
      <c r="X78" s="350"/>
      <c r="Y78" s="350"/>
      <c r="Z78" s="350"/>
      <c r="AA78" s="350"/>
      <c r="AB78" s="350"/>
      <c r="AC78" s="350"/>
      <c r="AD78" s="350"/>
      <c r="AE78" s="350"/>
      <c r="AF78" s="350"/>
      <c r="AG78" s="350"/>
      <c r="AH78" s="350"/>
      <c r="AI78" s="350"/>
      <c r="AJ78" s="350"/>
      <c r="AK78" s="350"/>
      <c r="AL78" s="350"/>
      <c r="AM78" s="350"/>
      <c r="AN78" s="350"/>
      <c r="AO78" s="350"/>
      <c r="AP78" s="350"/>
      <c r="AQ78" s="350"/>
      <c r="AR78" s="350"/>
      <c r="AS78" s="350"/>
      <c r="AT78" s="350"/>
      <c r="AU78" s="350"/>
      <c r="AV78" s="350"/>
      <c r="AW78" s="350"/>
      <c r="AX78" s="350"/>
      <c r="AY78" s="350"/>
      <c r="AZ78" s="350"/>
      <c r="BA78" s="350"/>
      <c r="BB78" s="350"/>
      <c r="BC78" s="350"/>
      <c r="BD78" s="350"/>
      <c r="BE78" s="350"/>
      <c r="BF78" s="350"/>
      <c r="BG78" s="350"/>
      <c r="BH78" s="350"/>
      <c r="BI78" s="350"/>
      <c r="BJ78" s="350"/>
      <c r="BK78" s="350"/>
      <c r="BL78" s="350"/>
      <c r="BM78" s="350"/>
      <c r="BN78" s="350"/>
      <c r="BO78" s="350"/>
      <c r="BP78" s="350"/>
      <c r="BQ78" s="350"/>
      <c r="BR78" s="350"/>
      <c r="BS78" s="350"/>
      <c r="BT78" s="350"/>
    </row>
    <row r="79" spans="1:72" s="458" customFormat="1" ht="15.75" customHeight="1" x14ac:dyDescent="0.2">
      <c r="A79" s="363"/>
      <c r="B79" s="364"/>
      <c r="C79" s="382"/>
      <c r="D79" s="365"/>
      <c r="E79" s="365"/>
      <c r="F79" s="375"/>
      <c r="G79" s="376"/>
      <c r="H79" s="350"/>
      <c r="I79" s="350"/>
      <c r="J79" s="350"/>
      <c r="K79" s="350"/>
      <c r="L79" s="350"/>
      <c r="M79" s="350"/>
      <c r="N79" s="350"/>
      <c r="O79" s="350"/>
      <c r="P79" s="350"/>
      <c r="Q79" s="350"/>
      <c r="R79" s="350"/>
      <c r="S79" s="350"/>
      <c r="T79" s="350"/>
      <c r="U79" s="350"/>
      <c r="V79" s="350"/>
      <c r="W79" s="350"/>
      <c r="X79" s="350"/>
      <c r="Y79" s="350"/>
      <c r="Z79" s="350"/>
      <c r="AA79" s="350"/>
      <c r="AB79" s="350"/>
      <c r="AC79" s="350"/>
      <c r="AD79" s="350"/>
      <c r="AE79" s="350"/>
      <c r="AF79" s="350"/>
      <c r="AG79" s="350"/>
      <c r="AH79" s="350"/>
      <c r="AI79" s="350"/>
      <c r="AJ79" s="350"/>
      <c r="AK79" s="350"/>
      <c r="AL79" s="350"/>
      <c r="AM79" s="350"/>
      <c r="AN79" s="350"/>
      <c r="AO79" s="350"/>
      <c r="AP79" s="350"/>
      <c r="AQ79" s="350"/>
      <c r="AR79" s="350"/>
      <c r="AS79" s="350"/>
      <c r="AT79" s="350"/>
      <c r="AU79" s="350"/>
      <c r="AV79" s="350"/>
      <c r="AW79" s="350"/>
      <c r="AX79" s="350"/>
      <c r="AY79" s="350"/>
      <c r="AZ79" s="350"/>
      <c r="BA79" s="350"/>
      <c r="BB79" s="350"/>
      <c r="BC79" s="350"/>
      <c r="BD79" s="350"/>
      <c r="BE79" s="350"/>
      <c r="BF79" s="350"/>
      <c r="BG79" s="350"/>
      <c r="BH79" s="350"/>
      <c r="BI79" s="350"/>
      <c r="BJ79" s="350"/>
      <c r="BK79" s="350"/>
      <c r="BL79" s="350"/>
      <c r="BM79" s="350"/>
      <c r="BN79" s="350"/>
      <c r="BO79" s="350"/>
      <c r="BP79" s="350"/>
      <c r="BQ79" s="350"/>
      <c r="BR79" s="350"/>
      <c r="BS79" s="350"/>
      <c r="BT79" s="350"/>
    </row>
    <row r="80" spans="1:72" s="458" customFormat="1" ht="15.75" customHeight="1" x14ac:dyDescent="0.2">
      <c r="A80" s="363"/>
      <c r="B80" s="364"/>
      <c r="C80" s="382"/>
      <c r="D80" s="365"/>
      <c r="E80" s="365"/>
      <c r="F80" s="375"/>
      <c r="G80" s="459">
        <f>SUM(G81:G83)</f>
        <v>2880.07</v>
      </c>
      <c r="H80" s="350"/>
      <c r="I80" s="350"/>
      <c r="J80" s="350"/>
      <c r="K80" s="350"/>
      <c r="L80" s="350"/>
      <c r="M80" s="350"/>
      <c r="N80" s="350"/>
      <c r="O80" s="350"/>
      <c r="P80" s="350"/>
      <c r="Q80" s="350"/>
      <c r="R80" s="350"/>
      <c r="S80" s="350"/>
      <c r="T80" s="350"/>
      <c r="U80" s="350"/>
      <c r="V80" s="350"/>
      <c r="W80" s="350"/>
      <c r="X80" s="350"/>
      <c r="Y80" s="350"/>
      <c r="Z80" s="350"/>
      <c r="AA80" s="350"/>
      <c r="AB80" s="350"/>
      <c r="AC80" s="350"/>
      <c r="AD80" s="350"/>
      <c r="AE80" s="350"/>
      <c r="AF80" s="350"/>
      <c r="AG80" s="350"/>
      <c r="AH80" s="350"/>
      <c r="AI80" s="350"/>
      <c r="AJ80" s="350"/>
      <c r="AK80" s="350"/>
      <c r="AL80" s="350"/>
      <c r="AM80" s="350"/>
      <c r="AN80" s="350"/>
      <c r="AO80" s="350"/>
      <c r="AP80" s="350"/>
      <c r="AQ80" s="350"/>
      <c r="AR80" s="350"/>
      <c r="AS80" s="350"/>
      <c r="AT80" s="350"/>
      <c r="AU80" s="350"/>
      <c r="AV80" s="350"/>
      <c r="AW80" s="350"/>
      <c r="AX80" s="350"/>
      <c r="AY80" s="350"/>
      <c r="AZ80" s="350"/>
      <c r="BA80" s="350"/>
      <c r="BB80" s="350"/>
      <c r="BC80" s="350"/>
      <c r="BD80" s="350"/>
      <c r="BE80" s="350"/>
      <c r="BF80" s="350"/>
      <c r="BG80" s="350"/>
      <c r="BH80" s="350"/>
      <c r="BI80" s="350"/>
      <c r="BJ80" s="350"/>
      <c r="BK80" s="350"/>
      <c r="BL80" s="350"/>
      <c r="BM80" s="350"/>
      <c r="BN80" s="350"/>
      <c r="BO80" s="350"/>
      <c r="BP80" s="350"/>
      <c r="BQ80" s="350"/>
      <c r="BR80" s="350"/>
      <c r="BS80" s="350"/>
      <c r="BT80" s="350"/>
    </row>
    <row r="81" spans="1:72" s="458" customFormat="1" ht="15.75" customHeight="1" x14ac:dyDescent="0.2">
      <c r="A81" s="363"/>
      <c r="B81" s="364"/>
      <c r="C81" s="382"/>
      <c r="D81" s="365"/>
      <c r="E81" s="365" t="s">
        <v>482</v>
      </c>
      <c r="F81" s="375" t="s">
        <v>474</v>
      </c>
      <c r="G81" s="376">
        <f>55</f>
        <v>55</v>
      </c>
      <c r="H81" s="350"/>
      <c r="I81" s="350"/>
      <c r="J81" s="350"/>
      <c r="K81" s="350"/>
      <c r="L81" s="350"/>
      <c r="M81" s="350"/>
      <c r="N81" s="350"/>
      <c r="O81" s="350"/>
      <c r="P81" s="350"/>
      <c r="Q81" s="350"/>
      <c r="R81" s="350"/>
      <c r="S81" s="350"/>
      <c r="T81" s="350"/>
      <c r="U81" s="350"/>
      <c r="V81" s="350"/>
      <c r="W81" s="350"/>
      <c r="X81" s="350"/>
      <c r="Y81" s="350"/>
      <c r="Z81" s="350"/>
      <c r="AA81" s="350"/>
      <c r="AB81" s="350"/>
      <c r="AC81" s="350"/>
      <c r="AD81" s="350"/>
      <c r="AE81" s="350"/>
      <c r="AF81" s="350"/>
      <c r="AG81" s="350"/>
      <c r="AH81" s="350"/>
      <c r="AI81" s="350"/>
      <c r="AJ81" s="350"/>
      <c r="AK81" s="350"/>
      <c r="AL81" s="350"/>
      <c r="AM81" s="350"/>
      <c r="AN81" s="350"/>
      <c r="AO81" s="350"/>
      <c r="AP81" s="350"/>
      <c r="AQ81" s="350"/>
      <c r="AR81" s="350"/>
      <c r="AS81" s="350"/>
      <c r="AT81" s="350"/>
      <c r="AU81" s="350"/>
      <c r="AV81" s="350"/>
      <c r="AW81" s="350"/>
      <c r="AX81" s="350"/>
      <c r="AY81" s="350"/>
      <c r="AZ81" s="350"/>
      <c r="BA81" s="350"/>
      <c r="BB81" s="350"/>
      <c r="BC81" s="350"/>
      <c r="BD81" s="350"/>
      <c r="BE81" s="350"/>
      <c r="BF81" s="350"/>
      <c r="BG81" s="350"/>
      <c r="BH81" s="350"/>
      <c r="BI81" s="350"/>
      <c r="BJ81" s="350"/>
      <c r="BK81" s="350"/>
      <c r="BL81" s="350"/>
      <c r="BM81" s="350"/>
      <c r="BN81" s="350"/>
      <c r="BO81" s="350"/>
      <c r="BP81" s="350"/>
      <c r="BQ81" s="350"/>
      <c r="BR81" s="350"/>
      <c r="BS81" s="350"/>
      <c r="BT81" s="350"/>
    </row>
    <row r="82" spans="1:72" s="458" customFormat="1" ht="15.75" customHeight="1" x14ac:dyDescent="0.2">
      <c r="A82" s="363"/>
      <c r="B82" s="364"/>
      <c r="C82" s="382"/>
      <c r="D82" s="365"/>
      <c r="E82" s="365" t="s">
        <v>491</v>
      </c>
      <c r="F82" s="375" t="s">
        <v>474</v>
      </c>
      <c r="G82" s="376">
        <f>1562.39+768.26</f>
        <v>2330.65</v>
      </c>
      <c r="H82" s="350"/>
      <c r="I82" s="350"/>
      <c r="J82" s="350"/>
      <c r="K82" s="350"/>
      <c r="L82" s="350"/>
      <c r="M82" s="350"/>
      <c r="N82" s="350"/>
      <c r="O82" s="350"/>
      <c r="P82" s="350"/>
      <c r="Q82" s="350"/>
      <c r="R82" s="350"/>
      <c r="S82" s="350"/>
      <c r="T82" s="350"/>
      <c r="U82" s="350"/>
      <c r="V82" s="350"/>
      <c r="W82" s="350"/>
      <c r="X82" s="350"/>
      <c r="Y82" s="350"/>
      <c r="Z82" s="350"/>
      <c r="AA82" s="350"/>
      <c r="AB82" s="350"/>
      <c r="AC82" s="350"/>
      <c r="AD82" s="350"/>
      <c r="AE82" s="350"/>
      <c r="AF82" s="350"/>
      <c r="AG82" s="350"/>
      <c r="AH82" s="350"/>
      <c r="AI82" s="350"/>
      <c r="AJ82" s="350"/>
      <c r="AK82" s="350"/>
      <c r="AL82" s="350"/>
      <c r="AM82" s="350"/>
      <c r="AN82" s="350"/>
      <c r="AO82" s="350"/>
      <c r="AP82" s="350"/>
      <c r="AQ82" s="350"/>
      <c r="AR82" s="350"/>
      <c r="AS82" s="350"/>
      <c r="AT82" s="350"/>
      <c r="AU82" s="350"/>
      <c r="AV82" s="350"/>
      <c r="AW82" s="350"/>
      <c r="AX82" s="350"/>
      <c r="AY82" s="350"/>
      <c r="AZ82" s="350"/>
      <c r="BA82" s="350"/>
      <c r="BB82" s="350"/>
      <c r="BC82" s="350"/>
      <c r="BD82" s="350"/>
      <c r="BE82" s="350"/>
      <c r="BF82" s="350"/>
      <c r="BG82" s="350"/>
      <c r="BH82" s="350"/>
      <c r="BI82" s="350"/>
      <c r="BJ82" s="350"/>
      <c r="BK82" s="350"/>
      <c r="BL82" s="350"/>
      <c r="BM82" s="350"/>
      <c r="BN82" s="350"/>
      <c r="BO82" s="350"/>
      <c r="BP82" s="350"/>
      <c r="BQ82" s="350"/>
      <c r="BR82" s="350"/>
      <c r="BS82" s="350"/>
      <c r="BT82" s="350"/>
    </row>
    <row r="83" spans="1:72" s="458" customFormat="1" ht="15.75" customHeight="1" x14ac:dyDescent="0.2">
      <c r="A83" s="363"/>
      <c r="B83" s="364"/>
      <c r="C83" s="382"/>
      <c r="D83" s="365"/>
      <c r="E83" s="365" t="s">
        <v>483</v>
      </c>
      <c r="F83" s="375" t="s">
        <v>474</v>
      </c>
      <c r="G83" s="376">
        <f>306.66+187.76</f>
        <v>494.42</v>
      </c>
      <c r="H83" s="350"/>
      <c r="I83" s="350"/>
      <c r="J83" s="350"/>
      <c r="K83" s="350"/>
      <c r="L83" s="350"/>
      <c r="M83" s="350"/>
      <c r="N83" s="350"/>
      <c r="O83" s="350"/>
      <c r="P83" s="350"/>
      <c r="Q83" s="350"/>
      <c r="R83" s="350"/>
      <c r="S83" s="350"/>
      <c r="T83" s="350"/>
      <c r="U83" s="350"/>
      <c r="V83" s="350"/>
      <c r="W83" s="350"/>
      <c r="X83" s="350"/>
      <c r="Y83" s="350"/>
      <c r="Z83" s="350"/>
      <c r="AA83" s="350"/>
      <c r="AB83" s="350"/>
      <c r="AC83" s="350"/>
      <c r="AD83" s="350"/>
      <c r="AE83" s="350"/>
      <c r="AF83" s="350"/>
      <c r="AG83" s="350"/>
      <c r="AH83" s="350"/>
      <c r="AI83" s="350"/>
      <c r="AJ83" s="350"/>
      <c r="AK83" s="350"/>
      <c r="AL83" s="350"/>
      <c r="AM83" s="350"/>
      <c r="AN83" s="350"/>
      <c r="AO83" s="350"/>
      <c r="AP83" s="350"/>
      <c r="AQ83" s="350"/>
      <c r="AR83" s="350"/>
      <c r="AS83" s="350"/>
      <c r="AT83" s="350"/>
      <c r="AU83" s="350"/>
      <c r="AV83" s="350"/>
      <c r="AW83" s="350"/>
      <c r="AX83" s="350"/>
      <c r="AY83" s="350"/>
      <c r="AZ83" s="350"/>
      <c r="BA83" s="350"/>
      <c r="BB83" s="350"/>
      <c r="BC83" s="350"/>
      <c r="BD83" s="350"/>
      <c r="BE83" s="350"/>
      <c r="BF83" s="350"/>
      <c r="BG83" s="350"/>
      <c r="BH83" s="350"/>
      <c r="BI83" s="350"/>
      <c r="BJ83" s="350"/>
      <c r="BK83" s="350"/>
      <c r="BL83" s="350"/>
      <c r="BM83" s="350"/>
      <c r="BN83" s="350"/>
      <c r="BO83" s="350"/>
      <c r="BP83" s="350"/>
      <c r="BQ83" s="350"/>
      <c r="BR83" s="350"/>
      <c r="BS83" s="350"/>
      <c r="BT83" s="350"/>
    </row>
    <row r="84" spans="1:72" s="458" customFormat="1" ht="15.75" customHeight="1" x14ac:dyDescent="0.2">
      <c r="A84" s="363"/>
      <c r="B84" s="364"/>
      <c r="C84" s="382"/>
      <c r="D84" s="365"/>
      <c r="E84" s="365"/>
      <c r="F84" s="375"/>
      <c r="G84" s="376"/>
      <c r="H84" s="350"/>
      <c r="I84" s="350"/>
      <c r="J84" s="350"/>
      <c r="K84" s="350"/>
      <c r="L84" s="350"/>
      <c r="M84" s="350"/>
      <c r="N84" s="350"/>
      <c r="O84" s="350"/>
      <c r="P84" s="350"/>
      <c r="Q84" s="350"/>
      <c r="R84" s="350"/>
      <c r="S84" s="350"/>
      <c r="T84" s="350"/>
      <c r="U84" s="350"/>
      <c r="V84" s="350"/>
      <c r="W84" s="350"/>
      <c r="X84" s="350"/>
      <c r="Y84" s="350"/>
      <c r="Z84" s="350"/>
      <c r="AA84" s="350"/>
      <c r="AB84" s="350"/>
      <c r="AC84" s="350"/>
      <c r="AD84" s="350"/>
      <c r="AE84" s="350"/>
      <c r="AF84" s="350"/>
      <c r="AG84" s="350"/>
      <c r="AH84" s="350"/>
      <c r="AI84" s="350"/>
      <c r="AJ84" s="350"/>
      <c r="AK84" s="350"/>
      <c r="AL84" s="350"/>
      <c r="AM84" s="350"/>
      <c r="AN84" s="350"/>
      <c r="AO84" s="350"/>
      <c r="AP84" s="350"/>
      <c r="AQ84" s="350"/>
      <c r="AR84" s="350"/>
      <c r="AS84" s="350"/>
      <c r="AT84" s="350"/>
      <c r="AU84" s="350"/>
      <c r="AV84" s="350"/>
      <c r="AW84" s="350"/>
      <c r="AX84" s="350"/>
      <c r="AY84" s="350"/>
      <c r="AZ84" s="350"/>
      <c r="BA84" s="350"/>
      <c r="BB84" s="350"/>
      <c r="BC84" s="350"/>
      <c r="BD84" s="350"/>
      <c r="BE84" s="350"/>
      <c r="BF84" s="350"/>
      <c r="BG84" s="350"/>
      <c r="BH84" s="350"/>
      <c r="BI84" s="350"/>
      <c r="BJ84" s="350"/>
      <c r="BK84" s="350"/>
      <c r="BL84" s="350"/>
      <c r="BM84" s="350"/>
      <c r="BN84" s="350"/>
      <c r="BO84" s="350"/>
      <c r="BP84" s="350"/>
      <c r="BQ84" s="350"/>
      <c r="BR84" s="350"/>
      <c r="BS84" s="350"/>
      <c r="BT84" s="350"/>
    </row>
    <row r="85" spans="1:72" s="458" customFormat="1" ht="15.75" customHeight="1" x14ac:dyDescent="0.2">
      <c r="A85" s="363"/>
      <c r="B85" s="460" t="s">
        <v>122</v>
      </c>
      <c r="C85" s="365" t="s">
        <v>489</v>
      </c>
      <c r="D85" s="365" t="s">
        <v>497</v>
      </c>
      <c r="E85" s="371" t="s">
        <v>474</v>
      </c>
      <c r="F85" s="372" t="s">
        <v>474</v>
      </c>
      <c r="G85" s="373">
        <f>SUM(G87)</f>
        <v>62821.61</v>
      </c>
      <c r="H85" s="350"/>
      <c r="I85" s="350"/>
      <c r="J85" s="350"/>
      <c r="K85" s="350"/>
      <c r="L85" s="350"/>
      <c r="M85" s="350"/>
      <c r="N85" s="350"/>
      <c r="O85" s="350"/>
      <c r="P85" s="350"/>
      <c r="Q85" s="350"/>
      <c r="R85" s="350"/>
      <c r="S85" s="350"/>
      <c r="T85" s="350"/>
      <c r="U85" s="350"/>
      <c r="V85" s="350"/>
      <c r="W85" s="350"/>
      <c r="X85" s="350"/>
      <c r="Y85" s="350"/>
      <c r="Z85" s="350"/>
      <c r="AA85" s="350"/>
      <c r="AB85" s="350"/>
      <c r="AC85" s="350"/>
      <c r="AD85" s="350"/>
      <c r="AE85" s="350"/>
      <c r="AF85" s="350"/>
      <c r="AG85" s="350"/>
      <c r="AH85" s="350"/>
      <c r="AI85" s="350"/>
      <c r="AJ85" s="350"/>
      <c r="AK85" s="350"/>
      <c r="AL85" s="350"/>
      <c r="AM85" s="350"/>
      <c r="AN85" s="350"/>
      <c r="AO85" s="350"/>
      <c r="AP85" s="350"/>
      <c r="AQ85" s="350"/>
      <c r="AR85" s="350"/>
      <c r="AS85" s="350"/>
      <c r="AT85" s="350"/>
      <c r="AU85" s="350"/>
      <c r="AV85" s="350"/>
      <c r="AW85" s="350"/>
      <c r="AX85" s="350"/>
      <c r="AY85" s="350"/>
      <c r="AZ85" s="350"/>
      <c r="BA85" s="350"/>
      <c r="BB85" s="350"/>
      <c r="BC85" s="350"/>
      <c r="BD85" s="350"/>
      <c r="BE85" s="350"/>
      <c r="BF85" s="350"/>
      <c r="BG85" s="350"/>
      <c r="BH85" s="350"/>
      <c r="BI85" s="350"/>
      <c r="BJ85" s="350"/>
      <c r="BK85" s="350"/>
      <c r="BL85" s="350"/>
      <c r="BM85" s="350"/>
      <c r="BN85" s="350"/>
      <c r="BO85" s="350"/>
      <c r="BP85" s="350"/>
      <c r="BQ85" s="350"/>
      <c r="BR85" s="350"/>
      <c r="BS85" s="350"/>
      <c r="BT85" s="350"/>
    </row>
    <row r="86" spans="1:72" s="458" customFormat="1" ht="12.75" customHeight="1" x14ac:dyDescent="0.2">
      <c r="A86" s="363"/>
      <c r="B86" s="364"/>
      <c r="C86" s="382"/>
      <c r="D86" s="365"/>
      <c r="E86" s="365"/>
      <c r="F86" s="375"/>
      <c r="G86" s="376"/>
      <c r="H86" s="350"/>
      <c r="I86" s="350"/>
      <c r="J86" s="350"/>
      <c r="K86" s="350"/>
      <c r="L86" s="350"/>
      <c r="M86" s="350"/>
      <c r="N86" s="350"/>
      <c r="O86" s="350"/>
      <c r="P86" s="350"/>
      <c r="Q86" s="350"/>
      <c r="R86" s="350"/>
      <c r="S86" s="350"/>
      <c r="T86" s="350"/>
      <c r="U86" s="350"/>
      <c r="V86" s="350"/>
      <c r="W86" s="350"/>
      <c r="X86" s="350"/>
      <c r="Y86" s="350"/>
      <c r="Z86" s="350"/>
      <c r="AA86" s="350"/>
      <c r="AB86" s="350"/>
      <c r="AC86" s="350"/>
      <c r="AD86" s="350"/>
      <c r="AE86" s="350"/>
      <c r="AF86" s="350"/>
      <c r="AG86" s="350"/>
      <c r="AH86" s="350"/>
      <c r="AI86" s="350"/>
      <c r="AJ86" s="350"/>
      <c r="AK86" s="350"/>
      <c r="AL86" s="350"/>
      <c r="AM86" s="350"/>
      <c r="AN86" s="350"/>
      <c r="AO86" s="350"/>
      <c r="AP86" s="350"/>
      <c r="AQ86" s="350"/>
      <c r="AR86" s="350"/>
      <c r="AS86" s="350"/>
      <c r="AT86" s="350"/>
      <c r="AU86" s="350"/>
      <c r="AV86" s="350"/>
      <c r="AW86" s="350"/>
      <c r="AX86" s="350"/>
      <c r="AY86" s="350"/>
      <c r="AZ86" s="350"/>
      <c r="BA86" s="350"/>
      <c r="BB86" s="350"/>
      <c r="BC86" s="350"/>
      <c r="BD86" s="350"/>
      <c r="BE86" s="350"/>
      <c r="BF86" s="350"/>
      <c r="BG86" s="350"/>
      <c r="BH86" s="350"/>
      <c r="BI86" s="350"/>
      <c r="BJ86" s="350"/>
      <c r="BK86" s="350"/>
      <c r="BL86" s="350"/>
      <c r="BM86" s="350"/>
      <c r="BN86" s="350"/>
      <c r="BO86" s="350"/>
      <c r="BP86" s="350"/>
      <c r="BQ86" s="350"/>
      <c r="BR86" s="350"/>
      <c r="BS86" s="350"/>
      <c r="BT86" s="350"/>
    </row>
    <row r="87" spans="1:72" s="458" customFormat="1" ht="15.75" customHeight="1" x14ac:dyDescent="0.2">
      <c r="A87" s="363"/>
      <c r="B87" s="364"/>
      <c r="C87" s="382"/>
      <c r="D87" s="365"/>
      <c r="E87" s="365"/>
      <c r="F87" s="375"/>
      <c r="G87" s="459">
        <f>SUM(G88:G90)</f>
        <v>62821.61</v>
      </c>
      <c r="H87" s="350"/>
      <c r="I87" s="350"/>
      <c r="J87" s="350"/>
      <c r="K87" s="350"/>
      <c r="L87" s="350"/>
      <c r="M87" s="350"/>
      <c r="N87" s="350"/>
      <c r="O87" s="350"/>
      <c r="P87" s="350"/>
      <c r="Q87" s="350"/>
      <c r="R87" s="350"/>
      <c r="S87" s="350"/>
      <c r="T87" s="350"/>
      <c r="U87" s="350"/>
      <c r="V87" s="350"/>
      <c r="W87" s="350"/>
      <c r="X87" s="350"/>
      <c r="Y87" s="350"/>
      <c r="Z87" s="350"/>
      <c r="AA87" s="350"/>
      <c r="AB87" s="350"/>
      <c r="AC87" s="350"/>
      <c r="AD87" s="350"/>
      <c r="AE87" s="350"/>
      <c r="AF87" s="350"/>
      <c r="AG87" s="350"/>
      <c r="AH87" s="350"/>
      <c r="AI87" s="350"/>
      <c r="AJ87" s="350"/>
      <c r="AK87" s="350"/>
      <c r="AL87" s="350"/>
      <c r="AM87" s="350"/>
      <c r="AN87" s="350"/>
      <c r="AO87" s="350"/>
      <c r="AP87" s="350"/>
      <c r="AQ87" s="350"/>
      <c r="AR87" s="350"/>
      <c r="AS87" s="350"/>
      <c r="AT87" s="350"/>
      <c r="AU87" s="350"/>
      <c r="AV87" s="350"/>
      <c r="AW87" s="350"/>
      <c r="AX87" s="350"/>
      <c r="AY87" s="350"/>
      <c r="AZ87" s="350"/>
      <c r="BA87" s="350"/>
      <c r="BB87" s="350"/>
      <c r="BC87" s="350"/>
      <c r="BD87" s="350"/>
      <c r="BE87" s="350"/>
      <c r="BF87" s="350"/>
      <c r="BG87" s="350"/>
      <c r="BH87" s="350"/>
      <c r="BI87" s="350"/>
      <c r="BJ87" s="350"/>
      <c r="BK87" s="350"/>
      <c r="BL87" s="350"/>
      <c r="BM87" s="350"/>
      <c r="BN87" s="350"/>
      <c r="BO87" s="350"/>
      <c r="BP87" s="350"/>
      <c r="BQ87" s="350"/>
      <c r="BR87" s="350"/>
      <c r="BS87" s="350"/>
      <c r="BT87" s="350"/>
    </row>
    <row r="88" spans="1:72" s="458" customFormat="1" ht="15.75" customHeight="1" x14ac:dyDescent="0.2">
      <c r="A88" s="363"/>
      <c r="B88" s="364"/>
      <c r="C88" s="382"/>
      <c r="D88" s="365"/>
      <c r="E88" s="365" t="s">
        <v>117</v>
      </c>
      <c r="F88" s="375" t="s">
        <v>474</v>
      </c>
      <c r="G88" s="376">
        <f>1500</f>
        <v>1500</v>
      </c>
      <c r="H88" s="350"/>
      <c r="I88" s="350"/>
      <c r="J88" s="350"/>
      <c r="K88" s="350"/>
      <c r="L88" s="350"/>
      <c r="M88" s="350"/>
      <c r="N88" s="350"/>
      <c r="O88" s="350"/>
      <c r="P88" s="350"/>
      <c r="Q88" s="350"/>
      <c r="R88" s="350"/>
      <c r="S88" s="350"/>
      <c r="T88" s="350"/>
      <c r="U88" s="350"/>
      <c r="V88" s="350"/>
      <c r="W88" s="350"/>
      <c r="X88" s="350"/>
      <c r="Y88" s="350"/>
      <c r="Z88" s="350"/>
      <c r="AA88" s="350"/>
      <c r="AB88" s="350"/>
      <c r="AC88" s="350"/>
      <c r="AD88" s="350"/>
      <c r="AE88" s="350"/>
      <c r="AF88" s="350"/>
      <c r="AG88" s="350"/>
      <c r="AH88" s="350"/>
      <c r="AI88" s="350"/>
      <c r="AJ88" s="350"/>
      <c r="AK88" s="350"/>
      <c r="AL88" s="350"/>
      <c r="AM88" s="350"/>
      <c r="AN88" s="350"/>
      <c r="AO88" s="350"/>
      <c r="AP88" s="350"/>
      <c r="AQ88" s="350"/>
      <c r="AR88" s="350"/>
      <c r="AS88" s="350"/>
      <c r="AT88" s="350"/>
      <c r="AU88" s="350"/>
      <c r="AV88" s="350"/>
      <c r="AW88" s="350"/>
      <c r="AX88" s="350"/>
      <c r="AY88" s="350"/>
      <c r="AZ88" s="350"/>
      <c r="BA88" s="350"/>
      <c r="BB88" s="350"/>
      <c r="BC88" s="350"/>
      <c r="BD88" s="350"/>
      <c r="BE88" s="350"/>
      <c r="BF88" s="350"/>
      <c r="BG88" s="350"/>
      <c r="BH88" s="350"/>
      <c r="BI88" s="350"/>
      <c r="BJ88" s="350"/>
      <c r="BK88" s="350"/>
      <c r="BL88" s="350"/>
      <c r="BM88" s="350"/>
      <c r="BN88" s="350"/>
      <c r="BO88" s="350"/>
      <c r="BP88" s="350"/>
      <c r="BQ88" s="350"/>
      <c r="BR88" s="350"/>
      <c r="BS88" s="350"/>
      <c r="BT88" s="350"/>
    </row>
    <row r="89" spans="1:72" s="458" customFormat="1" ht="15.75" customHeight="1" x14ac:dyDescent="0.2">
      <c r="A89" s="363"/>
      <c r="B89" s="364"/>
      <c r="C89" s="382"/>
      <c r="D89" s="365"/>
      <c r="E89" s="365" t="s">
        <v>491</v>
      </c>
      <c r="F89" s="375" t="s">
        <v>474</v>
      </c>
      <c r="G89" s="376">
        <f>13343.1+22918.28+12450.95</f>
        <v>48712.33</v>
      </c>
      <c r="H89" s="350"/>
      <c r="I89" s="350"/>
      <c r="J89" s="350"/>
      <c r="K89" s="350"/>
      <c r="L89" s="350"/>
      <c r="M89" s="350"/>
      <c r="N89" s="350"/>
      <c r="O89" s="350"/>
      <c r="P89" s="350"/>
      <c r="Q89" s="350"/>
      <c r="R89" s="350"/>
      <c r="S89" s="350"/>
      <c r="T89" s="350"/>
      <c r="U89" s="350"/>
      <c r="V89" s="350"/>
      <c r="W89" s="350"/>
      <c r="X89" s="350"/>
      <c r="Y89" s="350"/>
      <c r="Z89" s="350"/>
      <c r="AA89" s="350"/>
      <c r="AB89" s="350"/>
      <c r="AC89" s="350"/>
      <c r="AD89" s="350"/>
      <c r="AE89" s="350"/>
      <c r="AF89" s="350"/>
      <c r="AG89" s="350"/>
      <c r="AH89" s="350"/>
      <c r="AI89" s="350"/>
      <c r="AJ89" s="350"/>
      <c r="AK89" s="350"/>
      <c r="AL89" s="350"/>
      <c r="AM89" s="350"/>
      <c r="AN89" s="350"/>
      <c r="AO89" s="350"/>
      <c r="AP89" s="350"/>
      <c r="AQ89" s="350"/>
      <c r="AR89" s="350"/>
      <c r="AS89" s="350"/>
      <c r="AT89" s="350"/>
      <c r="AU89" s="350"/>
      <c r="AV89" s="350"/>
      <c r="AW89" s="350"/>
      <c r="AX89" s="350"/>
      <c r="AY89" s="350"/>
      <c r="AZ89" s="350"/>
      <c r="BA89" s="350"/>
      <c r="BB89" s="350"/>
      <c r="BC89" s="350"/>
      <c r="BD89" s="350"/>
      <c r="BE89" s="350"/>
      <c r="BF89" s="350"/>
      <c r="BG89" s="350"/>
      <c r="BH89" s="350"/>
      <c r="BI89" s="350"/>
      <c r="BJ89" s="350"/>
      <c r="BK89" s="350"/>
      <c r="BL89" s="350"/>
      <c r="BM89" s="350"/>
      <c r="BN89" s="350"/>
      <c r="BO89" s="350"/>
      <c r="BP89" s="350"/>
      <c r="BQ89" s="350"/>
      <c r="BR89" s="350"/>
      <c r="BS89" s="350"/>
      <c r="BT89" s="350"/>
    </row>
    <row r="90" spans="1:72" s="458" customFormat="1" ht="15.75" customHeight="1" x14ac:dyDescent="0.2">
      <c r="A90" s="363"/>
      <c r="B90" s="364"/>
      <c r="C90" s="382"/>
      <c r="D90" s="365"/>
      <c r="E90" s="365" t="s">
        <v>483</v>
      </c>
      <c r="F90" s="375" t="s">
        <v>474</v>
      </c>
      <c r="G90" s="376">
        <f>4235+5331.27+3043.01</f>
        <v>12609.28</v>
      </c>
      <c r="H90" s="350"/>
      <c r="I90" s="350"/>
      <c r="J90" s="350"/>
      <c r="K90" s="350"/>
      <c r="L90" s="350"/>
      <c r="M90" s="350"/>
      <c r="N90" s="350"/>
      <c r="O90" s="350"/>
      <c r="P90" s="350"/>
      <c r="Q90" s="350"/>
      <c r="R90" s="350"/>
      <c r="S90" s="350"/>
      <c r="T90" s="350"/>
      <c r="U90" s="350"/>
      <c r="V90" s="350"/>
      <c r="W90" s="350"/>
      <c r="X90" s="350"/>
      <c r="Y90" s="350"/>
      <c r="Z90" s="350"/>
      <c r="AA90" s="350"/>
      <c r="AB90" s="350"/>
      <c r="AC90" s="350"/>
      <c r="AD90" s="350"/>
      <c r="AE90" s="350"/>
      <c r="AF90" s="350"/>
      <c r="AG90" s="350"/>
      <c r="AH90" s="350"/>
      <c r="AI90" s="350"/>
      <c r="AJ90" s="350"/>
      <c r="AK90" s="350"/>
      <c r="AL90" s="350"/>
      <c r="AM90" s="350"/>
      <c r="AN90" s="350"/>
      <c r="AO90" s="350"/>
      <c r="AP90" s="350"/>
      <c r="AQ90" s="350"/>
      <c r="AR90" s="350"/>
      <c r="AS90" s="350"/>
      <c r="AT90" s="350"/>
      <c r="AU90" s="350"/>
      <c r="AV90" s="350"/>
      <c r="AW90" s="350"/>
      <c r="AX90" s="350"/>
      <c r="AY90" s="350"/>
      <c r="AZ90" s="350"/>
      <c r="BA90" s="350"/>
      <c r="BB90" s="350"/>
      <c r="BC90" s="350"/>
      <c r="BD90" s="350"/>
      <c r="BE90" s="350"/>
      <c r="BF90" s="350"/>
      <c r="BG90" s="350"/>
      <c r="BH90" s="350"/>
      <c r="BI90" s="350"/>
      <c r="BJ90" s="350"/>
      <c r="BK90" s="350"/>
      <c r="BL90" s="350"/>
      <c r="BM90" s="350"/>
      <c r="BN90" s="350"/>
      <c r="BO90" s="350"/>
      <c r="BP90" s="350"/>
      <c r="BQ90" s="350"/>
      <c r="BR90" s="350"/>
      <c r="BS90" s="350"/>
      <c r="BT90" s="350"/>
    </row>
    <row r="91" spans="1:72" s="458" customFormat="1" ht="15.75" customHeight="1" x14ac:dyDescent="0.2">
      <c r="A91" s="377"/>
      <c r="B91" s="378"/>
      <c r="C91" s="379"/>
      <c r="D91" s="366"/>
      <c r="E91" s="366"/>
      <c r="F91" s="368"/>
      <c r="G91" s="380"/>
      <c r="H91" s="350"/>
      <c r="I91" s="350"/>
      <c r="J91" s="350"/>
      <c r="K91" s="350"/>
      <c r="L91" s="350"/>
      <c r="M91" s="350"/>
      <c r="N91" s="350"/>
      <c r="O91" s="350"/>
      <c r="P91" s="350"/>
      <c r="Q91" s="350"/>
      <c r="R91" s="350"/>
      <c r="S91" s="350"/>
      <c r="T91" s="350"/>
      <c r="U91" s="350"/>
      <c r="V91" s="350"/>
      <c r="W91" s="350"/>
      <c r="X91" s="350"/>
      <c r="Y91" s="350"/>
      <c r="Z91" s="350"/>
      <c r="AA91" s="350"/>
      <c r="AB91" s="350"/>
      <c r="AC91" s="350"/>
      <c r="AD91" s="350"/>
      <c r="AE91" s="350"/>
      <c r="AF91" s="350"/>
      <c r="AG91" s="350"/>
      <c r="AH91" s="350"/>
      <c r="AI91" s="350"/>
      <c r="AJ91" s="350"/>
      <c r="AK91" s="350"/>
      <c r="AL91" s="350"/>
      <c r="AM91" s="350"/>
      <c r="AN91" s="350"/>
      <c r="AO91" s="350"/>
      <c r="AP91" s="350"/>
      <c r="AQ91" s="350"/>
      <c r="AR91" s="350"/>
      <c r="AS91" s="350"/>
      <c r="AT91" s="350"/>
      <c r="AU91" s="350"/>
      <c r="AV91" s="350"/>
      <c r="AW91" s="350"/>
      <c r="AX91" s="350"/>
      <c r="AY91" s="350"/>
      <c r="AZ91" s="350"/>
      <c r="BA91" s="350"/>
      <c r="BB91" s="350"/>
      <c r="BC91" s="350"/>
      <c r="BD91" s="350"/>
      <c r="BE91" s="350"/>
      <c r="BF91" s="350"/>
      <c r="BG91" s="350"/>
      <c r="BH91" s="350"/>
      <c r="BI91" s="350"/>
      <c r="BJ91" s="350"/>
      <c r="BK91" s="350"/>
      <c r="BL91" s="350"/>
      <c r="BM91" s="350"/>
      <c r="BN91" s="350"/>
      <c r="BO91" s="350"/>
      <c r="BP91" s="350"/>
      <c r="BQ91" s="350"/>
      <c r="BR91" s="350"/>
      <c r="BS91" s="350"/>
      <c r="BT91" s="350"/>
    </row>
    <row r="92" spans="1:72" s="458" customFormat="1" ht="19.5" customHeight="1" x14ac:dyDescent="0.2">
      <c r="A92" s="363"/>
      <c r="B92" s="460" t="s">
        <v>122</v>
      </c>
      <c r="C92" s="365" t="s">
        <v>489</v>
      </c>
      <c r="D92" s="365" t="s">
        <v>498</v>
      </c>
      <c r="E92" s="366" t="s">
        <v>474</v>
      </c>
      <c r="F92" s="368" t="s">
        <v>474</v>
      </c>
      <c r="G92" s="367">
        <f>SUM(G94)</f>
        <v>7608.75</v>
      </c>
      <c r="H92" s="350"/>
      <c r="I92" s="350"/>
      <c r="J92" s="350"/>
      <c r="K92" s="350"/>
      <c r="L92" s="350"/>
      <c r="M92" s="350"/>
      <c r="N92" s="350"/>
      <c r="O92" s="350"/>
      <c r="P92" s="350"/>
      <c r="Q92" s="350"/>
      <c r="R92" s="350"/>
      <c r="S92" s="350"/>
      <c r="T92" s="350"/>
      <c r="U92" s="350"/>
      <c r="V92" s="350"/>
      <c r="W92" s="350"/>
      <c r="X92" s="350"/>
      <c r="Y92" s="350"/>
      <c r="Z92" s="350"/>
      <c r="AA92" s="350"/>
      <c r="AB92" s="350"/>
      <c r="AC92" s="350"/>
      <c r="AD92" s="350"/>
      <c r="AE92" s="350"/>
      <c r="AF92" s="350"/>
      <c r="AG92" s="350"/>
      <c r="AH92" s="350"/>
      <c r="AI92" s="350"/>
      <c r="AJ92" s="350"/>
      <c r="AK92" s="350"/>
      <c r="AL92" s="350"/>
      <c r="AM92" s="350"/>
      <c r="AN92" s="350"/>
      <c r="AO92" s="350"/>
      <c r="AP92" s="350"/>
      <c r="AQ92" s="350"/>
      <c r="AR92" s="350"/>
      <c r="AS92" s="350"/>
      <c r="AT92" s="350"/>
      <c r="AU92" s="350"/>
      <c r="AV92" s="350"/>
      <c r="AW92" s="350"/>
      <c r="AX92" s="350"/>
      <c r="AY92" s="350"/>
      <c r="AZ92" s="350"/>
      <c r="BA92" s="350"/>
      <c r="BB92" s="350"/>
      <c r="BC92" s="350"/>
      <c r="BD92" s="350"/>
      <c r="BE92" s="350"/>
      <c r="BF92" s="350"/>
      <c r="BG92" s="350"/>
      <c r="BH92" s="350"/>
      <c r="BI92" s="350"/>
      <c r="BJ92" s="350"/>
      <c r="BK92" s="350"/>
      <c r="BL92" s="350"/>
      <c r="BM92" s="350"/>
      <c r="BN92" s="350"/>
      <c r="BO92" s="350"/>
      <c r="BP92" s="350"/>
      <c r="BQ92" s="350"/>
      <c r="BR92" s="350"/>
      <c r="BS92" s="350"/>
      <c r="BT92" s="350"/>
    </row>
    <row r="93" spans="1:72" s="458" customFormat="1" ht="15.75" customHeight="1" x14ac:dyDescent="0.2">
      <c r="A93" s="363"/>
      <c r="B93" s="364"/>
      <c r="C93" s="382"/>
      <c r="D93" s="365"/>
      <c r="E93" s="365"/>
      <c r="F93" s="375"/>
      <c r="G93" s="376"/>
      <c r="H93" s="350"/>
      <c r="I93" s="350"/>
      <c r="J93" s="350"/>
      <c r="K93" s="350"/>
      <c r="L93" s="350"/>
      <c r="M93" s="350"/>
      <c r="N93" s="350"/>
      <c r="O93" s="350"/>
      <c r="P93" s="350"/>
      <c r="Q93" s="350"/>
      <c r="R93" s="350"/>
      <c r="S93" s="350"/>
      <c r="T93" s="350"/>
      <c r="U93" s="350"/>
      <c r="V93" s="350"/>
      <c r="W93" s="350"/>
      <c r="X93" s="350"/>
      <c r="Y93" s="350"/>
      <c r="Z93" s="350"/>
      <c r="AA93" s="350"/>
      <c r="AB93" s="350"/>
      <c r="AC93" s="350"/>
      <c r="AD93" s="350"/>
      <c r="AE93" s="350"/>
      <c r="AF93" s="350"/>
      <c r="AG93" s="350"/>
      <c r="AH93" s="350"/>
      <c r="AI93" s="350"/>
      <c r="AJ93" s="350"/>
      <c r="AK93" s="350"/>
      <c r="AL93" s="350"/>
      <c r="AM93" s="350"/>
      <c r="AN93" s="350"/>
      <c r="AO93" s="350"/>
      <c r="AP93" s="350"/>
      <c r="AQ93" s="350"/>
      <c r="AR93" s="350"/>
      <c r="AS93" s="350"/>
      <c r="AT93" s="350"/>
      <c r="AU93" s="350"/>
      <c r="AV93" s="350"/>
      <c r="AW93" s="350"/>
      <c r="AX93" s="350"/>
      <c r="AY93" s="350"/>
      <c r="AZ93" s="350"/>
      <c r="BA93" s="350"/>
      <c r="BB93" s="350"/>
      <c r="BC93" s="350"/>
      <c r="BD93" s="350"/>
      <c r="BE93" s="350"/>
      <c r="BF93" s="350"/>
      <c r="BG93" s="350"/>
      <c r="BH93" s="350"/>
      <c r="BI93" s="350"/>
      <c r="BJ93" s="350"/>
      <c r="BK93" s="350"/>
      <c r="BL93" s="350"/>
      <c r="BM93" s="350"/>
      <c r="BN93" s="350"/>
      <c r="BO93" s="350"/>
      <c r="BP93" s="350"/>
      <c r="BQ93" s="350"/>
      <c r="BR93" s="350"/>
      <c r="BS93" s="350"/>
      <c r="BT93" s="350"/>
    </row>
    <row r="94" spans="1:72" s="458" customFormat="1" ht="15.75" customHeight="1" x14ac:dyDescent="0.2">
      <c r="A94" s="363"/>
      <c r="B94" s="364"/>
      <c r="C94" s="382"/>
      <c r="D94" s="365"/>
      <c r="E94" s="365"/>
      <c r="F94" s="375"/>
      <c r="G94" s="459">
        <f>SUM(G95:G96)</f>
        <v>7608.75</v>
      </c>
      <c r="H94" s="350"/>
      <c r="I94" s="350"/>
      <c r="J94" s="350"/>
      <c r="K94" s="350"/>
      <c r="L94" s="350"/>
      <c r="M94" s="350"/>
      <c r="N94" s="350"/>
      <c r="O94" s="350"/>
      <c r="P94" s="350"/>
      <c r="Q94" s="350"/>
      <c r="R94" s="350"/>
      <c r="S94" s="350"/>
      <c r="T94" s="350"/>
      <c r="U94" s="350"/>
      <c r="V94" s="350"/>
      <c r="W94" s="350"/>
      <c r="X94" s="350"/>
      <c r="Y94" s="350"/>
      <c r="Z94" s="350"/>
      <c r="AA94" s="350"/>
      <c r="AB94" s="350"/>
      <c r="AC94" s="350"/>
      <c r="AD94" s="350"/>
      <c r="AE94" s="350"/>
      <c r="AF94" s="350"/>
      <c r="AG94" s="350"/>
      <c r="AH94" s="350"/>
      <c r="AI94" s="350"/>
      <c r="AJ94" s="350"/>
      <c r="AK94" s="350"/>
      <c r="AL94" s="350"/>
      <c r="AM94" s="350"/>
      <c r="AN94" s="350"/>
      <c r="AO94" s="350"/>
      <c r="AP94" s="350"/>
      <c r="AQ94" s="350"/>
      <c r="AR94" s="350"/>
      <c r="AS94" s="350"/>
      <c r="AT94" s="350"/>
      <c r="AU94" s="350"/>
      <c r="AV94" s="350"/>
      <c r="AW94" s="350"/>
      <c r="AX94" s="350"/>
      <c r="AY94" s="350"/>
      <c r="AZ94" s="350"/>
      <c r="BA94" s="350"/>
      <c r="BB94" s="350"/>
      <c r="BC94" s="350"/>
      <c r="BD94" s="350"/>
      <c r="BE94" s="350"/>
      <c r="BF94" s="350"/>
      <c r="BG94" s="350"/>
      <c r="BH94" s="350"/>
      <c r="BI94" s="350"/>
      <c r="BJ94" s="350"/>
      <c r="BK94" s="350"/>
      <c r="BL94" s="350"/>
      <c r="BM94" s="350"/>
      <c r="BN94" s="350"/>
      <c r="BO94" s="350"/>
      <c r="BP94" s="350"/>
      <c r="BQ94" s="350"/>
      <c r="BR94" s="350"/>
      <c r="BS94" s="350"/>
      <c r="BT94" s="350"/>
    </row>
    <row r="95" spans="1:72" s="458" customFormat="1" ht="15.75" customHeight="1" x14ac:dyDescent="0.2">
      <c r="A95" s="363"/>
      <c r="B95" s="364"/>
      <c r="C95" s="382"/>
      <c r="D95" s="365"/>
      <c r="E95" s="365" t="s">
        <v>491</v>
      </c>
      <c r="F95" s="375" t="s">
        <v>474</v>
      </c>
      <c r="G95" s="376">
        <f>4177.13+1939.42</f>
        <v>6116.55</v>
      </c>
      <c r="H95" s="350"/>
      <c r="I95" s="350"/>
      <c r="J95" s="350"/>
      <c r="K95" s="350"/>
      <c r="L95" s="350"/>
      <c r="M95" s="350"/>
      <c r="N95" s="350"/>
      <c r="O95" s="350"/>
      <c r="P95" s="350"/>
      <c r="Q95" s="350"/>
      <c r="R95" s="350"/>
      <c r="S95" s="350"/>
      <c r="T95" s="350"/>
      <c r="U95" s="350"/>
      <c r="V95" s="350"/>
      <c r="W95" s="350"/>
      <c r="X95" s="350"/>
      <c r="Y95" s="350"/>
      <c r="Z95" s="350"/>
      <c r="AA95" s="350"/>
      <c r="AB95" s="350"/>
      <c r="AC95" s="350"/>
      <c r="AD95" s="350"/>
      <c r="AE95" s="350"/>
      <c r="AF95" s="350"/>
      <c r="AG95" s="350"/>
      <c r="AH95" s="350"/>
      <c r="AI95" s="350"/>
      <c r="AJ95" s="350"/>
      <c r="AK95" s="350"/>
      <c r="AL95" s="350"/>
      <c r="AM95" s="350"/>
      <c r="AN95" s="350"/>
      <c r="AO95" s="350"/>
      <c r="AP95" s="350"/>
      <c r="AQ95" s="350"/>
      <c r="AR95" s="350"/>
      <c r="AS95" s="350"/>
      <c r="AT95" s="350"/>
      <c r="AU95" s="350"/>
      <c r="AV95" s="350"/>
      <c r="AW95" s="350"/>
      <c r="AX95" s="350"/>
      <c r="AY95" s="350"/>
      <c r="AZ95" s="350"/>
      <c r="BA95" s="350"/>
      <c r="BB95" s="350"/>
      <c r="BC95" s="350"/>
      <c r="BD95" s="350"/>
      <c r="BE95" s="350"/>
      <c r="BF95" s="350"/>
      <c r="BG95" s="350"/>
      <c r="BH95" s="350"/>
      <c r="BI95" s="350"/>
      <c r="BJ95" s="350"/>
      <c r="BK95" s="350"/>
      <c r="BL95" s="350"/>
      <c r="BM95" s="350"/>
      <c r="BN95" s="350"/>
      <c r="BO95" s="350"/>
      <c r="BP95" s="350"/>
      <c r="BQ95" s="350"/>
      <c r="BR95" s="350"/>
      <c r="BS95" s="350"/>
      <c r="BT95" s="350"/>
    </row>
    <row r="96" spans="1:72" s="458" customFormat="1" ht="15.75" customHeight="1" x14ac:dyDescent="0.2">
      <c r="A96" s="363"/>
      <c r="B96" s="364"/>
      <c r="C96" s="382"/>
      <c r="D96" s="365"/>
      <c r="E96" s="365" t="s">
        <v>483</v>
      </c>
      <c r="F96" s="375" t="s">
        <v>474</v>
      </c>
      <c r="G96" s="376">
        <f>1018.21+473.99</f>
        <v>1492.2</v>
      </c>
      <c r="H96" s="350"/>
      <c r="I96" s="350"/>
      <c r="J96" s="350"/>
      <c r="K96" s="350"/>
      <c r="L96" s="350"/>
      <c r="M96" s="350"/>
      <c r="N96" s="350"/>
      <c r="O96" s="350"/>
      <c r="P96" s="350"/>
      <c r="Q96" s="350"/>
      <c r="R96" s="350"/>
      <c r="S96" s="350"/>
      <c r="T96" s="350"/>
      <c r="U96" s="350"/>
      <c r="V96" s="350"/>
      <c r="W96" s="350"/>
      <c r="X96" s="350"/>
      <c r="Y96" s="350"/>
      <c r="Z96" s="350"/>
      <c r="AA96" s="350"/>
      <c r="AB96" s="350"/>
      <c r="AC96" s="350"/>
      <c r="AD96" s="350"/>
      <c r="AE96" s="350"/>
      <c r="AF96" s="350"/>
      <c r="AG96" s="350"/>
      <c r="AH96" s="350"/>
      <c r="AI96" s="350"/>
      <c r="AJ96" s="350"/>
      <c r="AK96" s="350"/>
      <c r="AL96" s="350"/>
      <c r="AM96" s="350"/>
      <c r="AN96" s="350"/>
      <c r="AO96" s="350"/>
      <c r="AP96" s="350"/>
      <c r="AQ96" s="350"/>
      <c r="AR96" s="350"/>
      <c r="AS96" s="350"/>
      <c r="AT96" s="350"/>
      <c r="AU96" s="350"/>
      <c r="AV96" s="350"/>
      <c r="AW96" s="350"/>
      <c r="AX96" s="350"/>
      <c r="AY96" s="350"/>
      <c r="AZ96" s="350"/>
      <c r="BA96" s="350"/>
      <c r="BB96" s="350"/>
      <c r="BC96" s="350"/>
      <c r="BD96" s="350"/>
      <c r="BE96" s="350"/>
      <c r="BF96" s="350"/>
      <c r="BG96" s="350"/>
      <c r="BH96" s="350"/>
      <c r="BI96" s="350"/>
      <c r="BJ96" s="350"/>
      <c r="BK96" s="350"/>
      <c r="BL96" s="350"/>
      <c r="BM96" s="350"/>
      <c r="BN96" s="350"/>
      <c r="BO96" s="350"/>
      <c r="BP96" s="350"/>
      <c r="BQ96" s="350"/>
      <c r="BR96" s="350"/>
      <c r="BS96" s="350"/>
      <c r="BT96" s="350"/>
    </row>
    <row r="97" spans="1:72" s="458" customFormat="1" ht="10.5" customHeight="1" x14ac:dyDescent="0.2">
      <c r="A97" s="377"/>
      <c r="B97" s="378"/>
      <c r="C97" s="379"/>
      <c r="D97" s="366"/>
      <c r="E97" s="366"/>
      <c r="F97" s="368"/>
      <c r="G97" s="380"/>
      <c r="H97" s="350"/>
      <c r="I97" s="350"/>
      <c r="J97" s="350"/>
      <c r="K97" s="350"/>
      <c r="L97" s="350"/>
      <c r="M97" s="350"/>
      <c r="N97" s="350"/>
      <c r="O97" s="350"/>
      <c r="P97" s="350"/>
      <c r="Q97" s="350"/>
      <c r="R97" s="350"/>
      <c r="S97" s="350"/>
      <c r="T97" s="350"/>
      <c r="U97" s="350"/>
      <c r="V97" s="350"/>
      <c r="W97" s="350"/>
      <c r="X97" s="350"/>
      <c r="Y97" s="350"/>
      <c r="Z97" s="350"/>
      <c r="AA97" s="350"/>
      <c r="AB97" s="350"/>
      <c r="AC97" s="350"/>
      <c r="AD97" s="350"/>
      <c r="AE97" s="350"/>
      <c r="AF97" s="350"/>
      <c r="AG97" s="350"/>
      <c r="AH97" s="350"/>
      <c r="AI97" s="350"/>
      <c r="AJ97" s="350"/>
      <c r="AK97" s="350"/>
      <c r="AL97" s="350"/>
      <c r="AM97" s="350"/>
      <c r="AN97" s="350"/>
      <c r="AO97" s="350"/>
      <c r="AP97" s="350"/>
      <c r="AQ97" s="350"/>
      <c r="AR97" s="350"/>
      <c r="AS97" s="350"/>
      <c r="AT97" s="350"/>
      <c r="AU97" s="350"/>
      <c r="AV97" s="350"/>
      <c r="AW97" s="350"/>
      <c r="AX97" s="350"/>
      <c r="AY97" s="350"/>
      <c r="AZ97" s="350"/>
      <c r="BA97" s="350"/>
      <c r="BB97" s="350"/>
      <c r="BC97" s="350"/>
      <c r="BD97" s="350"/>
      <c r="BE97" s="350"/>
      <c r="BF97" s="350"/>
      <c r="BG97" s="350"/>
      <c r="BH97" s="350"/>
      <c r="BI97" s="350"/>
      <c r="BJ97" s="350"/>
      <c r="BK97" s="350"/>
      <c r="BL97" s="350"/>
      <c r="BM97" s="350"/>
      <c r="BN97" s="350"/>
      <c r="BO97" s="350"/>
      <c r="BP97" s="350"/>
      <c r="BQ97" s="350"/>
      <c r="BR97" s="350"/>
      <c r="BS97" s="350"/>
      <c r="BT97" s="350"/>
    </row>
    <row r="98" spans="1:72" s="458" customFormat="1" ht="15.75" customHeight="1" x14ac:dyDescent="0.2">
      <c r="A98" s="363"/>
      <c r="B98" s="364"/>
      <c r="C98" s="365"/>
      <c r="D98" s="365"/>
      <c r="E98" s="366" t="s">
        <v>25</v>
      </c>
      <c r="F98" s="367">
        <f>6242.96+5773.4+1431.89+1201.64</f>
        <v>14649.89</v>
      </c>
      <c r="G98" s="368" t="s">
        <v>474</v>
      </c>
      <c r="H98" s="350"/>
      <c r="I98" s="350"/>
      <c r="J98" s="350"/>
      <c r="K98" s="350"/>
      <c r="L98" s="350"/>
      <c r="M98" s="350"/>
      <c r="N98" s="350"/>
      <c r="O98" s="350"/>
      <c r="P98" s="350"/>
      <c r="Q98" s="350"/>
      <c r="R98" s="350"/>
      <c r="S98" s="350"/>
      <c r="T98" s="350"/>
      <c r="U98" s="350"/>
      <c r="V98" s="350"/>
      <c r="W98" s="350"/>
      <c r="X98" s="350"/>
      <c r="Y98" s="350"/>
      <c r="Z98" s="350"/>
      <c r="AA98" s="350"/>
      <c r="AB98" s="350"/>
      <c r="AC98" s="350"/>
      <c r="AD98" s="350"/>
      <c r="AE98" s="350"/>
      <c r="AF98" s="350"/>
      <c r="AG98" s="350"/>
      <c r="AH98" s="350"/>
      <c r="AI98" s="350"/>
      <c r="AJ98" s="350"/>
      <c r="AK98" s="350"/>
      <c r="AL98" s="350"/>
      <c r="AM98" s="350"/>
      <c r="AN98" s="350"/>
      <c r="AO98" s="350"/>
      <c r="AP98" s="350"/>
      <c r="AQ98" s="350"/>
      <c r="AR98" s="350"/>
      <c r="AS98" s="350"/>
      <c r="AT98" s="350"/>
      <c r="AU98" s="350"/>
      <c r="AV98" s="350"/>
      <c r="AW98" s="350"/>
      <c r="AX98" s="350"/>
      <c r="AY98" s="350"/>
      <c r="AZ98" s="350"/>
      <c r="BA98" s="350"/>
      <c r="BB98" s="350"/>
      <c r="BC98" s="350"/>
      <c r="BD98" s="350"/>
      <c r="BE98" s="350"/>
      <c r="BF98" s="350"/>
      <c r="BG98" s="350"/>
      <c r="BH98" s="350"/>
      <c r="BI98" s="350"/>
      <c r="BJ98" s="350"/>
      <c r="BK98" s="350"/>
      <c r="BL98" s="350"/>
      <c r="BM98" s="350"/>
      <c r="BN98" s="350"/>
      <c r="BO98" s="350"/>
      <c r="BP98" s="350"/>
      <c r="BQ98" s="350"/>
      <c r="BR98" s="350"/>
      <c r="BS98" s="350"/>
      <c r="BT98" s="350"/>
    </row>
    <row r="99" spans="1:72" s="458" customFormat="1" ht="24" customHeight="1" x14ac:dyDescent="0.2">
      <c r="A99" s="369" t="s">
        <v>455</v>
      </c>
      <c r="B99" s="381" t="s">
        <v>499</v>
      </c>
      <c r="C99" s="365" t="s">
        <v>500</v>
      </c>
      <c r="D99" s="365" t="s">
        <v>501</v>
      </c>
      <c r="E99" s="371" t="s">
        <v>474</v>
      </c>
      <c r="F99" s="372" t="s">
        <v>474</v>
      </c>
      <c r="G99" s="373">
        <f>SUM(G101)</f>
        <v>14649.89</v>
      </c>
      <c r="H99" s="350"/>
      <c r="I99" s="350"/>
      <c r="J99" s="350"/>
      <c r="K99" s="350"/>
      <c r="L99" s="350"/>
      <c r="M99" s="350"/>
      <c r="N99" s="350"/>
      <c r="O99" s="350"/>
      <c r="P99" s="350"/>
      <c r="Q99" s="350"/>
      <c r="R99" s="350"/>
      <c r="S99" s="350"/>
      <c r="T99" s="350"/>
      <c r="U99" s="350"/>
      <c r="V99" s="350"/>
      <c r="W99" s="350"/>
      <c r="X99" s="350"/>
      <c r="Y99" s="350"/>
      <c r="Z99" s="350"/>
      <c r="AA99" s="350"/>
      <c r="AB99" s="350"/>
      <c r="AC99" s="350"/>
      <c r="AD99" s="350"/>
      <c r="AE99" s="350"/>
      <c r="AF99" s="350"/>
      <c r="AG99" s="350"/>
      <c r="AH99" s="350"/>
      <c r="AI99" s="350"/>
      <c r="AJ99" s="350"/>
      <c r="AK99" s="350"/>
      <c r="AL99" s="350"/>
      <c r="AM99" s="350"/>
      <c r="AN99" s="350"/>
      <c r="AO99" s="350"/>
      <c r="AP99" s="350"/>
      <c r="AQ99" s="350"/>
      <c r="AR99" s="350"/>
      <c r="AS99" s="350"/>
      <c r="AT99" s="350"/>
      <c r="AU99" s="350"/>
      <c r="AV99" s="350"/>
      <c r="AW99" s="350"/>
      <c r="AX99" s="350"/>
      <c r="AY99" s="350"/>
      <c r="AZ99" s="350"/>
      <c r="BA99" s="350"/>
      <c r="BB99" s="350"/>
      <c r="BC99" s="350"/>
      <c r="BD99" s="350"/>
      <c r="BE99" s="350"/>
      <c r="BF99" s="350"/>
      <c r="BG99" s="350"/>
      <c r="BH99" s="350"/>
      <c r="BI99" s="350"/>
      <c r="BJ99" s="350"/>
      <c r="BK99" s="350"/>
      <c r="BL99" s="350"/>
      <c r="BM99" s="350"/>
      <c r="BN99" s="350"/>
      <c r="BO99" s="350"/>
      <c r="BP99" s="350"/>
      <c r="BQ99" s="350"/>
      <c r="BR99" s="350"/>
      <c r="BS99" s="350"/>
      <c r="BT99" s="350"/>
    </row>
    <row r="100" spans="1:72" s="458" customFormat="1" ht="8.25" customHeight="1" x14ac:dyDescent="0.2">
      <c r="A100" s="363"/>
      <c r="B100" s="374"/>
      <c r="C100" s="365"/>
      <c r="D100" s="365"/>
      <c r="E100" s="365"/>
      <c r="F100" s="375"/>
      <c r="G100" s="459"/>
      <c r="H100" s="350"/>
      <c r="I100" s="350"/>
      <c r="J100" s="350"/>
      <c r="K100" s="350"/>
      <c r="L100" s="350"/>
      <c r="M100" s="350"/>
      <c r="N100" s="350"/>
      <c r="O100" s="350"/>
      <c r="P100" s="350"/>
      <c r="Q100" s="350"/>
      <c r="R100" s="350"/>
      <c r="S100" s="350"/>
      <c r="T100" s="350"/>
      <c r="U100" s="350"/>
      <c r="V100" s="350"/>
      <c r="W100" s="350"/>
      <c r="X100" s="350"/>
      <c r="Y100" s="350"/>
      <c r="Z100" s="350"/>
      <c r="AA100" s="350"/>
      <c r="AB100" s="350"/>
      <c r="AC100" s="350"/>
      <c r="AD100" s="350"/>
      <c r="AE100" s="350"/>
      <c r="AF100" s="350"/>
      <c r="AG100" s="350"/>
      <c r="AH100" s="350"/>
      <c r="AI100" s="350"/>
      <c r="AJ100" s="350"/>
      <c r="AK100" s="350"/>
      <c r="AL100" s="350"/>
      <c r="AM100" s="350"/>
      <c r="AN100" s="350"/>
      <c r="AO100" s="350"/>
      <c r="AP100" s="350"/>
      <c r="AQ100" s="350"/>
      <c r="AR100" s="350"/>
      <c r="AS100" s="350"/>
      <c r="AT100" s="350"/>
      <c r="AU100" s="350"/>
      <c r="AV100" s="350"/>
      <c r="AW100" s="350"/>
      <c r="AX100" s="350"/>
      <c r="AY100" s="350"/>
      <c r="AZ100" s="350"/>
      <c r="BA100" s="350"/>
      <c r="BB100" s="350"/>
      <c r="BC100" s="350"/>
      <c r="BD100" s="350"/>
      <c r="BE100" s="350"/>
      <c r="BF100" s="350"/>
      <c r="BG100" s="350"/>
      <c r="BH100" s="350"/>
      <c r="BI100" s="350"/>
      <c r="BJ100" s="350"/>
      <c r="BK100" s="350"/>
      <c r="BL100" s="350"/>
      <c r="BM100" s="350"/>
      <c r="BN100" s="350"/>
      <c r="BO100" s="350"/>
      <c r="BP100" s="350"/>
      <c r="BQ100" s="350"/>
      <c r="BR100" s="350"/>
      <c r="BS100" s="350"/>
      <c r="BT100" s="350"/>
    </row>
    <row r="101" spans="1:72" s="458" customFormat="1" ht="15.75" customHeight="1" x14ac:dyDescent="0.2">
      <c r="A101" s="363"/>
      <c r="B101" s="460" t="s">
        <v>502</v>
      </c>
      <c r="C101" s="365"/>
      <c r="D101" s="365"/>
      <c r="E101" s="365"/>
      <c r="F101" s="375"/>
      <c r="G101" s="459">
        <f>SUM(G102:G103)</f>
        <v>14649.89</v>
      </c>
      <c r="H101" s="350"/>
      <c r="I101" s="350"/>
      <c r="J101" s="350"/>
      <c r="K101" s="350"/>
      <c r="L101" s="350"/>
      <c r="M101" s="350"/>
      <c r="N101" s="350"/>
      <c r="O101" s="350"/>
      <c r="P101" s="350"/>
      <c r="Q101" s="350"/>
      <c r="R101" s="350"/>
      <c r="S101" s="350"/>
      <c r="T101" s="350"/>
      <c r="U101" s="350"/>
      <c r="V101" s="350"/>
      <c r="W101" s="350"/>
      <c r="X101" s="350"/>
      <c r="Y101" s="350"/>
      <c r="Z101" s="350"/>
      <c r="AA101" s="350"/>
      <c r="AB101" s="350"/>
      <c r="AC101" s="350"/>
      <c r="AD101" s="350"/>
      <c r="AE101" s="350"/>
      <c r="AF101" s="350"/>
      <c r="AG101" s="350"/>
      <c r="AH101" s="350"/>
      <c r="AI101" s="350"/>
      <c r="AJ101" s="350"/>
      <c r="AK101" s="350"/>
      <c r="AL101" s="350"/>
      <c r="AM101" s="350"/>
      <c r="AN101" s="350"/>
      <c r="AO101" s="350"/>
      <c r="AP101" s="350"/>
      <c r="AQ101" s="350"/>
      <c r="AR101" s="350"/>
      <c r="AS101" s="350"/>
      <c r="AT101" s="350"/>
      <c r="AU101" s="350"/>
      <c r="AV101" s="350"/>
      <c r="AW101" s="350"/>
      <c r="AX101" s="350"/>
      <c r="AY101" s="350"/>
      <c r="AZ101" s="350"/>
      <c r="BA101" s="350"/>
      <c r="BB101" s="350"/>
      <c r="BC101" s="350"/>
      <c r="BD101" s="350"/>
      <c r="BE101" s="350"/>
      <c r="BF101" s="350"/>
      <c r="BG101" s="350"/>
      <c r="BH101" s="350"/>
      <c r="BI101" s="350"/>
      <c r="BJ101" s="350"/>
      <c r="BK101" s="350"/>
      <c r="BL101" s="350"/>
      <c r="BM101" s="350"/>
      <c r="BN101" s="350"/>
      <c r="BO101" s="350"/>
      <c r="BP101" s="350"/>
      <c r="BQ101" s="350"/>
      <c r="BR101" s="350"/>
      <c r="BS101" s="350"/>
      <c r="BT101" s="350"/>
    </row>
    <row r="102" spans="1:72" s="458" customFormat="1" ht="15.75" customHeight="1" x14ac:dyDescent="0.2">
      <c r="A102" s="363"/>
      <c r="B102" s="364"/>
      <c r="C102" s="382"/>
      <c r="D102" s="365"/>
      <c r="E102" s="365" t="s">
        <v>482</v>
      </c>
      <c r="F102" s="375" t="s">
        <v>474</v>
      </c>
      <c r="G102" s="376">
        <f>1004.38+11240.6</f>
        <v>12244.98</v>
      </c>
      <c r="H102" s="350"/>
      <c r="I102" s="350"/>
      <c r="J102" s="350"/>
      <c r="K102" s="350"/>
      <c r="L102" s="350"/>
      <c r="M102" s="350"/>
      <c r="N102" s="350"/>
      <c r="O102" s="350"/>
      <c r="P102" s="350"/>
      <c r="Q102" s="350"/>
      <c r="R102" s="350"/>
      <c r="S102" s="350"/>
      <c r="T102" s="350"/>
      <c r="U102" s="350"/>
      <c r="V102" s="350"/>
      <c r="W102" s="350"/>
      <c r="X102" s="350"/>
      <c r="Y102" s="350"/>
      <c r="Z102" s="350"/>
      <c r="AA102" s="350"/>
      <c r="AB102" s="350"/>
      <c r="AC102" s="350"/>
      <c r="AD102" s="350"/>
      <c r="AE102" s="350"/>
      <c r="AF102" s="350"/>
      <c r="AG102" s="350"/>
      <c r="AH102" s="350"/>
      <c r="AI102" s="350"/>
      <c r="AJ102" s="350"/>
      <c r="AK102" s="350"/>
      <c r="AL102" s="350"/>
      <c r="AM102" s="350"/>
      <c r="AN102" s="350"/>
      <c r="AO102" s="350"/>
      <c r="AP102" s="350"/>
      <c r="AQ102" s="350"/>
      <c r="AR102" s="350"/>
      <c r="AS102" s="350"/>
      <c r="AT102" s="350"/>
      <c r="AU102" s="350"/>
      <c r="AV102" s="350"/>
      <c r="AW102" s="350"/>
      <c r="AX102" s="350"/>
      <c r="AY102" s="350"/>
      <c r="AZ102" s="350"/>
      <c r="BA102" s="350"/>
      <c r="BB102" s="350"/>
      <c r="BC102" s="350"/>
      <c r="BD102" s="350"/>
      <c r="BE102" s="350"/>
      <c r="BF102" s="350"/>
      <c r="BG102" s="350"/>
      <c r="BH102" s="350"/>
      <c r="BI102" s="350"/>
      <c r="BJ102" s="350"/>
      <c r="BK102" s="350"/>
      <c r="BL102" s="350"/>
      <c r="BM102" s="350"/>
      <c r="BN102" s="350"/>
      <c r="BO102" s="350"/>
      <c r="BP102" s="350"/>
      <c r="BQ102" s="350"/>
      <c r="BR102" s="350"/>
      <c r="BS102" s="350"/>
      <c r="BT102" s="350"/>
    </row>
    <row r="103" spans="1:72" s="458" customFormat="1" ht="15.75" customHeight="1" x14ac:dyDescent="0.2">
      <c r="A103" s="363"/>
      <c r="B103" s="364"/>
      <c r="C103" s="382"/>
      <c r="D103" s="365"/>
      <c r="E103" s="365" t="s">
        <v>483</v>
      </c>
      <c r="F103" s="375" t="s">
        <v>474</v>
      </c>
      <c r="G103" s="376">
        <f>197.26+2207.65</f>
        <v>2404.91</v>
      </c>
      <c r="H103" s="350"/>
      <c r="I103" s="350"/>
      <c r="J103" s="350"/>
      <c r="K103" s="350"/>
      <c r="L103" s="350"/>
      <c r="M103" s="350"/>
      <c r="N103" s="350"/>
      <c r="O103" s="350"/>
      <c r="P103" s="350"/>
      <c r="Q103" s="350"/>
      <c r="R103" s="350"/>
      <c r="S103" s="350"/>
      <c r="T103" s="350"/>
      <c r="U103" s="350"/>
      <c r="V103" s="350"/>
      <c r="W103" s="350"/>
      <c r="X103" s="350"/>
      <c r="Y103" s="350"/>
      <c r="Z103" s="350"/>
      <c r="AA103" s="350"/>
      <c r="AB103" s="350"/>
      <c r="AC103" s="350"/>
      <c r="AD103" s="350"/>
      <c r="AE103" s="350"/>
      <c r="AF103" s="350"/>
      <c r="AG103" s="350"/>
      <c r="AH103" s="350"/>
      <c r="AI103" s="350"/>
      <c r="AJ103" s="350"/>
      <c r="AK103" s="350"/>
      <c r="AL103" s="350"/>
      <c r="AM103" s="350"/>
      <c r="AN103" s="350"/>
      <c r="AO103" s="350"/>
      <c r="AP103" s="350"/>
      <c r="AQ103" s="350"/>
      <c r="AR103" s="350"/>
      <c r="AS103" s="350"/>
      <c r="AT103" s="350"/>
      <c r="AU103" s="350"/>
      <c r="AV103" s="350"/>
      <c r="AW103" s="350"/>
      <c r="AX103" s="350"/>
      <c r="AY103" s="350"/>
      <c r="AZ103" s="350"/>
      <c r="BA103" s="350"/>
      <c r="BB103" s="350"/>
      <c r="BC103" s="350"/>
      <c r="BD103" s="350"/>
      <c r="BE103" s="350"/>
      <c r="BF103" s="350"/>
      <c r="BG103" s="350"/>
      <c r="BH103" s="350"/>
      <c r="BI103" s="350"/>
      <c r="BJ103" s="350"/>
      <c r="BK103" s="350"/>
      <c r="BL103" s="350"/>
      <c r="BM103" s="350"/>
      <c r="BN103" s="350"/>
      <c r="BO103" s="350"/>
      <c r="BP103" s="350"/>
      <c r="BQ103" s="350"/>
      <c r="BR103" s="350"/>
      <c r="BS103" s="350"/>
      <c r="BT103" s="350"/>
    </row>
    <row r="104" spans="1:72" s="458" customFormat="1" ht="12.75" customHeight="1" x14ac:dyDescent="0.2">
      <c r="A104" s="377"/>
      <c r="B104" s="378"/>
      <c r="C104" s="379"/>
      <c r="D104" s="366"/>
      <c r="E104" s="366"/>
      <c r="F104" s="368"/>
      <c r="G104" s="380"/>
      <c r="H104" s="350"/>
      <c r="I104" s="350"/>
      <c r="J104" s="350"/>
      <c r="K104" s="350"/>
      <c r="L104" s="350"/>
      <c r="M104" s="350"/>
      <c r="N104" s="350"/>
      <c r="O104" s="350"/>
      <c r="P104" s="350"/>
      <c r="Q104" s="350"/>
      <c r="R104" s="350"/>
      <c r="S104" s="350"/>
      <c r="T104" s="350"/>
      <c r="U104" s="350"/>
      <c r="V104" s="350"/>
      <c r="W104" s="350"/>
      <c r="X104" s="350"/>
      <c r="Y104" s="350"/>
      <c r="Z104" s="350"/>
      <c r="AA104" s="350"/>
      <c r="AB104" s="350"/>
      <c r="AC104" s="350"/>
      <c r="AD104" s="350"/>
      <c r="AE104" s="350"/>
      <c r="AF104" s="350"/>
      <c r="AG104" s="350"/>
      <c r="AH104" s="350"/>
      <c r="AI104" s="350"/>
      <c r="AJ104" s="350"/>
      <c r="AK104" s="350"/>
      <c r="AL104" s="350"/>
      <c r="AM104" s="350"/>
      <c r="AN104" s="350"/>
      <c r="AO104" s="350"/>
      <c r="AP104" s="350"/>
      <c r="AQ104" s="350"/>
      <c r="AR104" s="350"/>
      <c r="AS104" s="350"/>
      <c r="AT104" s="350"/>
      <c r="AU104" s="350"/>
      <c r="AV104" s="350"/>
      <c r="AW104" s="350"/>
      <c r="AX104" s="350"/>
      <c r="AY104" s="350"/>
      <c r="AZ104" s="350"/>
      <c r="BA104" s="350"/>
      <c r="BB104" s="350"/>
      <c r="BC104" s="350"/>
      <c r="BD104" s="350"/>
      <c r="BE104" s="350"/>
      <c r="BF104" s="350"/>
      <c r="BG104" s="350"/>
      <c r="BH104" s="350"/>
      <c r="BI104" s="350"/>
      <c r="BJ104" s="350"/>
      <c r="BK104" s="350"/>
      <c r="BL104" s="350"/>
      <c r="BM104" s="350"/>
      <c r="BN104" s="350"/>
      <c r="BO104" s="350"/>
      <c r="BP104" s="350"/>
      <c r="BQ104" s="350"/>
      <c r="BR104" s="350"/>
      <c r="BS104" s="350"/>
      <c r="BT104" s="350"/>
    </row>
    <row r="105" spans="1:72" s="458" customFormat="1" ht="15.75" customHeight="1" x14ac:dyDescent="0.2">
      <c r="A105" s="363"/>
      <c r="B105" s="364"/>
      <c r="C105" s="365"/>
      <c r="D105" s="365"/>
      <c r="E105" s="366" t="s">
        <v>25</v>
      </c>
      <c r="F105" s="367">
        <f>193360+150000+300000+1504+122160+1824+289960+50000+4384</f>
        <v>1113192</v>
      </c>
      <c r="G105" s="368" t="s">
        <v>474</v>
      </c>
      <c r="H105" s="350"/>
      <c r="I105" s="350"/>
      <c r="J105" s="350"/>
      <c r="K105" s="350"/>
      <c r="L105" s="350"/>
      <c r="M105" s="350"/>
      <c r="N105" s="350"/>
      <c r="O105" s="350"/>
      <c r="P105" s="350"/>
      <c r="Q105" s="350"/>
      <c r="R105" s="350"/>
      <c r="S105" s="350"/>
      <c r="T105" s="350"/>
      <c r="U105" s="350"/>
      <c r="V105" s="350"/>
      <c r="W105" s="350"/>
      <c r="X105" s="350"/>
      <c r="Y105" s="350"/>
      <c r="Z105" s="350"/>
      <c r="AA105" s="350"/>
      <c r="AB105" s="350"/>
      <c r="AC105" s="350"/>
      <c r="AD105" s="350"/>
      <c r="AE105" s="350"/>
      <c r="AF105" s="350"/>
      <c r="AG105" s="350"/>
      <c r="AH105" s="350"/>
      <c r="AI105" s="350"/>
      <c r="AJ105" s="350"/>
      <c r="AK105" s="350"/>
      <c r="AL105" s="350"/>
      <c r="AM105" s="350"/>
      <c r="AN105" s="350"/>
      <c r="AO105" s="350"/>
      <c r="AP105" s="350"/>
      <c r="AQ105" s="350"/>
      <c r="AR105" s="350"/>
      <c r="AS105" s="350"/>
      <c r="AT105" s="350"/>
      <c r="AU105" s="350"/>
      <c r="AV105" s="350"/>
      <c r="AW105" s="350"/>
      <c r="AX105" s="350"/>
      <c r="AY105" s="350"/>
      <c r="AZ105" s="350"/>
      <c r="BA105" s="350"/>
      <c r="BB105" s="350"/>
      <c r="BC105" s="350"/>
      <c r="BD105" s="350"/>
      <c r="BE105" s="350"/>
      <c r="BF105" s="350"/>
      <c r="BG105" s="350"/>
      <c r="BH105" s="350"/>
      <c r="BI105" s="350"/>
      <c r="BJ105" s="350"/>
      <c r="BK105" s="350"/>
      <c r="BL105" s="350"/>
      <c r="BM105" s="350"/>
      <c r="BN105" s="350"/>
      <c r="BO105" s="350"/>
      <c r="BP105" s="350"/>
      <c r="BQ105" s="350"/>
      <c r="BR105" s="350"/>
      <c r="BS105" s="350"/>
      <c r="BT105" s="350"/>
    </row>
    <row r="106" spans="1:72" s="458" customFormat="1" ht="25.5" customHeight="1" x14ac:dyDescent="0.2">
      <c r="A106" s="369" t="s">
        <v>456</v>
      </c>
      <c r="B106" s="370" t="s">
        <v>503</v>
      </c>
      <c r="C106" s="365" t="s">
        <v>504</v>
      </c>
      <c r="D106" s="365" t="s">
        <v>505</v>
      </c>
      <c r="E106" s="371" t="s">
        <v>474</v>
      </c>
      <c r="F106" s="372" t="s">
        <v>474</v>
      </c>
      <c r="G106" s="373">
        <f>SUM(G108)</f>
        <v>1113192</v>
      </c>
      <c r="H106" s="350"/>
      <c r="I106" s="350"/>
      <c r="J106" s="350"/>
      <c r="K106" s="350"/>
      <c r="L106" s="350"/>
      <c r="M106" s="350"/>
      <c r="N106" s="350"/>
      <c r="O106" s="350"/>
      <c r="P106" s="350"/>
      <c r="Q106" s="350"/>
      <c r="R106" s="350"/>
      <c r="S106" s="350"/>
      <c r="T106" s="350"/>
      <c r="U106" s="350"/>
      <c r="V106" s="350"/>
      <c r="W106" s="350"/>
      <c r="X106" s="350"/>
      <c r="Y106" s="350"/>
      <c r="Z106" s="350"/>
      <c r="AA106" s="350"/>
      <c r="AB106" s="350"/>
      <c r="AC106" s="350"/>
      <c r="AD106" s="350"/>
      <c r="AE106" s="350"/>
      <c r="AF106" s="350"/>
      <c r="AG106" s="350"/>
      <c r="AH106" s="350"/>
      <c r="AI106" s="350"/>
      <c r="AJ106" s="350"/>
      <c r="AK106" s="350"/>
      <c r="AL106" s="350"/>
      <c r="AM106" s="350"/>
      <c r="AN106" s="350"/>
      <c r="AO106" s="350"/>
      <c r="AP106" s="350"/>
      <c r="AQ106" s="350"/>
      <c r="AR106" s="350"/>
      <c r="AS106" s="350"/>
      <c r="AT106" s="350"/>
      <c r="AU106" s="350"/>
      <c r="AV106" s="350"/>
      <c r="AW106" s="350"/>
      <c r="AX106" s="350"/>
      <c r="AY106" s="350"/>
      <c r="AZ106" s="350"/>
      <c r="BA106" s="350"/>
      <c r="BB106" s="350"/>
      <c r="BC106" s="350"/>
      <c r="BD106" s="350"/>
      <c r="BE106" s="350"/>
      <c r="BF106" s="350"/>
      <c r="BG106" s="350"/>
      <c r="BH106" s="350"/>
      <c r="BI106" s="350"/>
      <c r="BJ106" s="350"/>
      <c r="BK106" s="350"/>
      <c r="BL106" s="350"/>
      <c r="BM106" s="350"/>
      <c r="BN106" s="350"/>
      <c r="BO106" s="350"/>
      <c r="BP106" s="350"/>
      <c r="BQ106" s="350"/>
      <c r="BR106" s="350"/>
      <c r="BS106" s="350"/>
      <c r="BT106" s="350"/>
    </row>
    <row r="107" spans="1:72" s="458" customFormat="1" ht="10.5" customHeight="1" x14ac:dyDescent="0.2">
      <c r="A107" s="363"/>
      <c r="B107" s="374"/>
      <c r="C107" s="365"/>
      <c r="D107" s="365"/>
      <c r="E107" s="365"/>
      <c r="F107" s="375"/>
      <c r="G107" s="459"/>
      <c r="H107" s="350"/>
      <c r="I107" s="350"/>
      <c r="J107" s="350"/>
      <c r="K107" s="350"/>
      <c r="L107" s="350"/>
      <c r="M107" s="350"/>
      <c r="N107" s="350"/>
      <c r="O107" s="350"/>
      <c r="P107" s="350"/>
      <c r="Q107" s="350"/>
      <c r="R107" s="350"/>
      <c r="S107" s="350"/>
      <c r="T107" s="350"/>
      <c r="U107" s="350"/>
      <c r="V107" s="350"/>
      <c r="W107" s="350"/>
      <c r="X107" s="350"/>
      <c r="Y107" s="350"/>
      <c r="Z107" s="350"/>
      <c r="AA107" s="350"/>
      <c r="AB107" s="350"/>
      <c r="AC107" s="350"/>
      <c r="AD107" s="350"/>
      <c r="AE107" s="350"/>
      <c r="AF107" s="350"/>
      <c r="AG107" s="350"/>
      <c r="AH107" s="350"/>
      <c r="AI107" s="350"/>
      <c r="AJ107" s="350"/>
      <c r="AK107" s="350"/>
      <c r="AL107" s="350"/>
      <c r="AM107" s="350"/>
      <c r="AN107" s="350"/>
      <c r="AO107" s="350"/>
      <c r="AP107" s="350"/>
      <c r="AQ107" s="350"/>
      <c r="AR107" s="350"/>
      <c r="AS107" s="350"/>
      <c r="AT107" s="350"/>
      <c r="AU107" s="350"/>
      <c r="AV107" s="350"/>
      <c r="AW107" s="350"/>
      <c r="AX107" s="350"/>
      <c r="AY107" s="350"/>
      <c r="AZ107" s="350"/>
      <c r="BA107" s="350"/>
      <c r="BB107" s="350"/>
      <c r="BC107" s="350"/>
      <c r="BD107" s="350"/>
      <c r="BE107" s="350"/>
      <c r="BF107" s="350"/>
      <c r="BG107" s="350"/>
      <c r="BH107" s="350"/>
      <c r="BI107" s="350"/>
      <c r="BJ107" s="350"/>
      <c r="BK107" s="350"/>
      <c r="BL107" s="350"/>
      <c r="BM107" s="350"/>
      <c r="BN107" s="350"/>
      <c r="BO107" s="350"/>
      <c r="BP107" s="350"/>
      <c r="BQ107" s="350"/>
      <c r="BR107" s="350"/>
      <c r="BS107" s="350"/>
      <c r="BT107" s="350"/>
    </row>
    <row r="108" spans="1:72" s="458" customFormat="1" ht="15.75" customHeight="1" x14ac:dyDescent="0.2">
      <c r="A108" s="363"/>
      <c r="B108" s="460" t="s">
        <v>177</v>
      </c>
      <c r="C108" s="365"/>
      <c r="D108" s="365"/>
      <c r="E108" s="365"/>
      <c r="F108" s="375"/>
      <c r="G108" s="459">
        <f>SUM(G109:G111)</f>
        <v>1113192</v>
      </c>
      <c r="H108" s="350"/>
      <c r="I108" s="350"/>
      <c r="J108" s="350"/>
      <c r="K108" s="350"/>
      <c r="L108" s="350"/>
      <c r="M108" s="350"/>
      <c r="N108" s="350"/>
      <c r="O108" s="350"/>
      <c r="P108" s="350"/>
      <c r="Q108" s="350"/>
      <c r="R108" s="350"/>
      <c r="S108" s="350"/>
      <c r="T108" s="350"/>
      <c r="U108" s="350"/>
      <c r="V108" s="350"/>
      <c r="W108" s="350"/>
      <c r="X108" s="350"/>
      <c r="Y108" s="350"/>
      <c r="Z108" s="350"/>
      <c r="AA108" s="350"/>
      <c r="AB108" s="350"/>
      <c r="AC108" s="350"/>
      <c r="AD108" s="350"/>
      <c r="AE108" s="350"/>
      <c r="AF108" s="350"/>
      <c r="AG108" s="350"/>
      <c r="AH108" s="350"/>
      <c r="AI108" s="350"/>
      <c r="AJ108" s="350"/>
      <c r="AK108" s="350"/>
      <c r="AL108" s="350"/>
      <c r="AM108" s="350"/>
      <c r="AN108" s="350"/>
      <c r="AO108" s="350"/>
      <c r="AP108" s="350"/>
      <c r="AQ108" s="350"/>
      <c r="AR108" s="350"/>
      <c r="AS108" s="350"/>
      <c r="AT108" s="350"/>
      <c r="AU108" s="350"/>
      <c r="AV108" s="350"/>
      <c r="AW108" s="350"/>
      <c r="AX108" s="350"/>
      <c r="AY108" s="350"/>
      <c r="AZ108" s="350"/>
      <c r="BA108" s="350"/>
      <c r="BB108" s="350"/>
      <c r="BC108" s="350"/>
      <c r="BD108" s="350"/>
      <c r="BE108" s="350"/>
      <c r="BF108" s="350"/>
      <c r="BG108" s="350"/>
      <c r="BH108" s="350"/>
      <c r="BI108" s="350"/>
      <c r="BJ108" s="350"/>
      <c r="BK108" s="350"/>
      <c r="BL108" s="350"/>
      <c r="BM108" s="350"/>
      <c r="BN108" s="350"/>
      <c r="BO108" s="350"/>
      <c r="BP108" s="350"/>
      <c r="BQ108" s="350"/>
      <c r="BR108" s="350"/>
      <c r="BS108" s="350"/>
      <c r="BT108" s="350"/>
    </row>
    <row r="109" spans="1:72" s="458" customFormat="1" ht="15.75" customHeight="1" x14ac:dyDescent="0.2">
      <c r="A109" s="363"/>
      <c r="B109" s="364"/>
      <c r="C109" s="382"/>
      <c r="D109" s="365"/>
      <c r="E109" s="365" t="s">
        <v>506</v>
      </c>
      <c r="F109" s="375" t="s">
        <v>474</v>
      </c>
      <c r="G109" s="376">
        <f>1055480+50000</f>
        <v>1105480</v>
      </c>
      <c r="H109" s="350"/>
      <c r="I109" s="350"/>
      <c r="J109" s="350"/>
      <c r="K109" s="350"/>
      <c r="L109" s="350"/>
      <c r="M109" s="350"/>
      <c r="N109" s="350"/>
      <c r="O109" s="350"/>
      <c r="P109" s="350"/>
      <c r="Q109" s="350"/>
      <c r="R109" s="350"/>
      <c r="S109" s="350"/>
      <c r="T109" s="350"/>
      <c r="U109" s="350"/>
      <c r="V109" s="350"/>
      <c r="W109" s="350"/>
      <c r="X109" s="350"/>
      <c r="Y109" s="350"/>
      <c r="Z109" s="350"/>
      <c r="AA109" s="350"/>
      <c r="AB109" s="350"/>
      <c r="AC109" s="350"/>
      <c r="AD109" s="350"/>
      <c r="AE109" s="350"/>
      <c r="AF109" s="350"/>
      <c r="AG109" s="350"/>
      <c r="AH109" s="350"/>
      <c r="AI109" s="350"/>
      <c r="AJ109" s="350"/>
      <c r="AK109" s="350"/>
      <c r="AL109" s="350"/>
      <c r="AM109" s="350"/>
      <c r="AN109" s="350"/>
      <c r="AO109" s="350"/>
      <c r="AP109" s="350"/>
      <c r="AQ109" s="350"/>
      <c r="AR109" s="350"/>
      <c r="AS109" s="350"/>
      <c r="AT109" s="350"/>
      <c r="AU109" s="350"/>
      <c r="AV109" s="350"/>
      <c r="AW109" s="350"/>
      <c r="AX109" s="350"/>
      <c r="AY109" s="350"/>
      <c r="AZ109" s="350"/>
      <c r="BA109" s="350"/>
      <c r="BB109" s="350"/>
      <c r="BC109" s="350"/>
      <c r="BD109" s="350"/>
      <c r="BE109" s="350"/>
      <c r="BF109" s="350"/>
      <c r="BG109" s="350"/>
      <c r="BH109" s="350"/>
      <c r="BI109" s="350"/>
      <c r="BJ109" s="350"/>
      <c r="BK109" s="350"/>
      <c r="BL109" s="350"/>
      <c r="BM109" s="350"/>
      <c r="BN109" s="350"/>
      <c r="BO109" s="350"/>
      <c r="BP109" s="350"/>
      <c r="BQ109" s="350"/>
      <c r="BR109" s="350"/>
      <c r="BS109" s="350"/>
      <c r="BT109" s="350"/>
    </row>
    <row r="110" spans="1:72" s="458" customFormat="1" ht="15.75" customHeight="1" x14ac:dyDescent="0.2">
      <c r="A110" s="363"/>
      <c r="B110" s="364"/>
      <c r="C110" s="382"/>
      <c r="D110" s="365"/>
      <c r="E110" s="365" t="s">
        <v>482</v>
      </c>
      <c r="F110" s="375" t="s">
        <v>474</v>
      </c>
      <c r="G110" s="384">
        <f>2774+3656</f>
        <v>6430</v>
      </c>
      <c r="H110" s="350"/>
      <c r="I110" s="350"/>
      <c r="J110" s="350"/>
      <c r="K110" s="350"/>
      <c r="L110" s="350"/>
      <c r="M110" s="350"/>
      <c r="N110" s="350"/>
      <c r="O110" s="350"/>
      <c r="P110" s="350"/>
      <c r="Q110" s="350"/>
      <c r="R110" s="350"/>
      <c r="S110" s="350"/>
      <c r="T110" s="350"/>
      <c r="U110" s="350"/>
      <c r="V110" s="350"/>
      <c r="W110" s="350"/>
      <c r="X110" s="350"/>
      <c r="Y110" s="350"/>
      <c r="Z110" s="350"/>
      <c r="AA110" s="350"/>
      <c r="AB110" s="350"/>
      <c r="AC110" s="350"/>
      <c r="AD110" s="350"/>
      <c r="AE110" s="350"/>
      <c r="AF110" s="350"/>
      <c r="AG110" s="350"/>
      <c r="AH110" s="350"/>
      <c r="AI110" s="350"/>
      <c r="AJ110" s="350"/>
      <c r="AK110" s="350"/>
      <c r="AL110" s="350"/>
      <c r="AM110" s="350"/>
      <c r="AN110" s="350"/>
      <c r="AO110" s="350"/>
      <c r="AP110" s="350"/>
      <c r="AQ110" s="350"/>
      <c r="AR110" s="350"/>
      <c r="AS110" s="350"/>
      <c r="AT110" s="350"/>
      <c r="AU110" s="350"/>
      <c r="AV110" s="350"/>
      <c r="AW110" s="350"/>
      <c r="AX110" s="350"/>
      <c r="AY110" s="350"/>
      <c r="AZ110" s="350"/>
      <c r="BA110" s="350"/>
      <c r="BB110" s="350"/>
      <c r="BC110" s="350"/>
      <c r="BD110" s="350"/>
      <c r="BE110" s="350"/>
      <c r="BF110" s="350"/>
      <c r="BG110" s="350"/>
      <c r="BH110" s="350"/>
      <c r="BI110" s="350"/>
      <c r="BJ110" s="350"/>
      <c r="BK110" s="350"/>
      <c r="BL110" s="350"/>
      <c r="BM110" s="350"/>
      <c r="BN110" s="350"/>
      <c r="BO110" s="350"/>
      <c r="BP110" s="350"/>
      <c r="BQ110" s="350"/>
      <c r="BR110" s="350"/>
      <c r="BS110" s="350"/>
      <c r="BT110" s="350"/>
    </row>
    <row r="111" spans="1:72" s="458" customFormat="1" ht="15.75" customHeight="1" x14ac:dyDescent="0.2">
      <c r="A111" s="363"/>
      <c r="B111" s="364"/>
      <c r="C111" s="382"/>
      <c r="D111" s="365"/>
      <c r="E111" s="365" t="s">
        <v>483</v>
      </c>
      <c r="F111" s="375" t="s">
        <v>474</v>
      </c>
      <c r="G111" s="376">
        <f>485+69+728</f>
        <v>1282</v>
      </c>
      <c r="H111" s="350"/>
      <c r="I111" s="350"/>
      <c r="J111" s="350"/>
      <c r="K111" s="350"/>
      <c r="L111" s="350"/>
      <c r="M111" s="350"/>
      <c r="N111" s="350"/>
      <c r="O111" s="350"/>
      <c r="P111" s="350"/>
      <c r="Q111" s="350"/>
      <c r="R111" s="350"/>
      <c r="S111" s="350"/>
      <c r="T111" s="350"/>
      <c r="U111" s="350"/>
      <c r="V111" s="350"/>
      <c r="W111" s="350"/>
      <c r="X111" s="350"/>
      <c r="Y111" s="350"/>
      <c r="Z111" s="350"/>
      <c r="AA111" s="350"/>
      <c r="AB111" s="350"/>
      <c r="AC111" s="350"/>
      <c r="AD111" s="350"/>
      <c r="AE111" s="350"/>
      <c r="AF111" s="350"/>
      <c r="AG111" s="350"/>
      <c r="AH111" s="350"/>
      <c r="AI111" s="350"/>
      <c r="AJ111" s="350"/>
      <c r="AK111" s="350"/>
      <c r="AL111" s="350"/>
      <c r="AM111" s="350"/>
      <c r="AN111" s="350"/>
      <c r="AO111" s="350"/>
      <c r="AP111" s="350"/>
      <c r="AQ111" s="350"/>
      <c r="AR111" s="350"/>
      <c r="AS111" s="350"/>
      <c r="AT111" s="350"/>
      <c r="AU111" s="350"/>
      <c r="AV111" s="350"/>
      <c r="AW111" s="350"/>
      <c r="AX111" s="350"/>
      <c r="AY111" s="350"/>
      <c r="AZ111" s="350"/>
      <c r="BA111" s="350"/>
      <c r="BB111" s="350"/>
      <c r="BC111" s="350"/>
      <c r="BD111" s="350"/>
      <c r="BE111" s="350"/>
      <c r="BF111" s="350"/>
      <c r="BG111" s="350"/>
      <c r="BH111" s="350"/>
      <c r="BI111" s="350"/>
      <c r="BJ111" s="350"/>
      <c r="BK111" s="350"/>
      <c r="BL111" s="350"/>
      <c r="BM111" s="350"/>
      <c r="BN111" s="350"/>
      <c r="BO111" s="350"/>
      <c r="BP111" s="350"/>
      <c r="BQ111" s="350"/>
      <c r="BR111" s="350"/>
      <c r="BS111" s="350"/>
      <c r="BT111" s="350"/>
    </row>
    <row r="112" spans="1:72" s="458" customFormat="1" ht="15.75" customHeight="1" x14ac:dyDescent="0.2">
      <c r="A112" s="377"/>
      <c r="B112" s="378"/>
      <c r="C112" s="379"/>
      <c r="D112" s="366"/>
      <c r="E112" s="366"/>
      <c r="F112" s="368"/>
      <c r="G112" s="380"/>
      <c r="H112" s="350"/>
      <c r="I112" s="350"/>
      <c r="J112" s="350"/>
      <c r="K112" s="350"/>
      <c r="L112" s="350"/>
      <c r="M112" s="350"/>
      <c r="N112" s="350"/>
      <c r="O112" s="350"/>
      <c r="P112" s="350"/>
      <c r="Q112" s="350"/>
      <c r="R112" s="350"/>
      <c r="S112" s="350"/>
      <c r="T112" s="350"/>
      <c r="U112" s="350"/>
      <c r="V112" s="350"/>
      <c r="W112" s="350"/>
      <c r="X112" s="350"/>
      <c r="Y112" s="350"/>
      <c r="Z112" s="350"/>
      <c r="AA112" s="350"/>
      <c r="AB112" s="350"/>
      <c r="AC112" s="350"/>
      <c r="AD112" s="350"/>
      <c r="AE112" s="350"/>
      <c r="AF112" s="350"/>
      <c r="AG112" s="350"/>
      <c r="AH112" s="350"/>
      <c r="AI112" s="350"/>
      <c r="AJ112" s="350"/>
      <c r="AK112" s="350"/>
      <c r="AL112" s="350"/>
      <c r="AM112" s="350"/>
      <c r="AN112" s="350"/>
      <c r="AO112" s="350"/>
      <c r="AP112" s="350"/>
      <c r="AQ112" s="350"/>
      <c r="AR112" s="350"/>
      <c r="AS112" s="350"/>
      <c r="AT112" s="350"/>
      <c r="AU112" s="350"/>
      <c r="AV112" s="350"/>
      <c r="AW112" s="350"/>
      <c r="AX112" s="350"/>
      <c r="AY112" s="350"/>
      <c r="AZ112" s="350"/>
      <c r="BA112" s="350"/>
      <c r="BB112" s="350"/>
      <c r="BC112" s="350"/>
      <c r="BD112" s="350"/>
      <c r="BE112" s="350"/>
      <c r="BF112" s="350"/>
      <c r="BG112" s="350"/>
      <c r="BH112" s="350"/>
      <c r="BI112" s="350"/>
      <c r="BJ112" s="350"/>
      <c r="BK112" s="350"/>
      <c r="BL112" s="350"/>
      <c r="BM112" s="350"/>
      <c r="BN112" s="350"/>
      <c r="BO112" s="350"/>
      <c r="BP112" s="350"/>
      <c r="BQ112" s="350"/>
      <c r="BR112" s="350"/>
      <c r="BS112" s="350"/>
      <c r="BT112" s="350"/>
    </row>
    <row r="113" spans="1:72" s="458" customFormat="1" ht="15.75" customHeight="1" x14ac:dyDescent="0.2">
      <c r="A113" s="363"/>
      <c r="B113" s="364"/>
      <c r="C113" s="365"/>
      <c r="D113" s="365"/>
      <c r="E113" s="366" t="s">
        <v>25</v>
      </c>
      <c r="F113" s="367">
        <f>195780+264660+288000+244500</f>
        <v>992940</v>
      </c>
      <c r="G113" s="368" t="s">
        <v>474</v>
      </c>
      <c r="H113" s="350"/>
      <c r="I113" s="350"/>
      <c r="J113" s="350"/>
      <c r="K113" s="350"/>
      <c r="L113" s="350"/>
      <c r="M113" s="350"/>
      <c r="N113" s="350"/>
      <c r="O113" s="350"/>
      <c r="P113" s="350"/>
      <c r="Q113" s="350"/>
      <c r="R113" s="350"/>
      <c r="S113" s="350"/>
      <c r="T113" s="350"/>
      <c r="U113" s="350"/>
      <c r="V113" s="350"/>
      <c r="W113" s="350"/>
      <c r="X113" s="350"/>
      <c r="Y113" s="350"/>
      <c r="Z113" s="350"/>
      <c r="AA113" s="350"/>
      <c r="AB113" s="350"/>
      <c r="AC113" s="350"/>
      <c r="AD113" s="350"/>
      <c r="AE113" s="350"/>
      <c r="AF113" s="350"/>
      <c r="AG113" s="350"/>
      <c r="AH113" s="350"/>
      <c r="AI113" s="350"/>
      <c r="AJ113" s="350"/>
      <c r="AK113" s="350"/>
      <c r="AL113" s="350"/>
      <c r="AM113" s="350"/>
      <c r="AN113" s="350"/>
      <c r="AO113" s="350"/>
      <c r="AP113" s="350"/>
      <c r="AQ113" s="350"/>
      <c r="AR113" s="350"/>
      <c r="AS113" s="350"/>
      <c r="AT113" s="350"/>
      <c r="AU113" s="350"/>
      <c r="AV113" s="350"/>
      <c r="AW113" s="350"/>
      <c r="AX113" s="350"/>
      <c r="AY113" s="350"/>
      <c r="AZ113" s="350"/>
      <c r="BA113" s="350"/>
      <c r="BB113" s="350"/>
      <c r="BC113" s="350"/>
      <c r="BD113" s="350"/>
      <c r="BE113" s="350"/>
      <c r="BF113" s="350"/>
      <c r="BG113" s="350"/>
      <c r="BH113" s="350"/>
      <c r="BI113" s="350"/>
      <c r="BJ113" s="350"/>
      <c r="BK113" s="350"/>
      <c r="BL113" s="350"/>
      <c r="BM113" s="350"/>
      <c r="BN113" s="350"/>
      <c r="BO113" s="350"/>
      <c r="BP113" s="350"/>
      <c r="BQ113" s="350"/>
      <c r="BR113" s="350"/>
      <c r="BS113" s="350"/>
      <c r="BT113" s="350"/>
    </row>
    <row r="114" spans="1:72" s="458" customFormat="1" ht="23.25" customHeight="1" x14ac:dyDescent="0.2">
      <c r="A114" s="369" t="s">
        <v>458</v>
      </c>
      <c r="B114" s="370" t="s">
        <v>507</v>
      </c>
      <c r="C114" s="365" t="s">
        <v>504</v>
      </c>
      <c r="D114" s="365" t="s">
        <v>505</v>
      </c>
      <c r="E114" s="371" t="s">
        <v>474</v>
      </c>
      <c r="F114" s="372" t="s">
        <v>474</v>
      </c>
      <c r="G114" s="373">
        <f>SUM(G116,G119,G124)</f>
        <v>992939.99999999977</v>
      </c>
      <c r="H114" s="350"/>
      <c r="I114" s="350"/>
      <c r="J114" s="350"/>
      <c r="K114" s="350"/>
      <c r="L114" s="350"/>
      <c r="M114" s="350"/>
      <c r="N114" s="350"/>
      <c r="O114" s="350"/>
      <c r="P114" s="350"/>
      <c r="Q114" s="350"/>
      <c r="R114" s="350"/>
      <c r="S114" s="350"/>
      <c r="T114" s="350"/>
      <c r="U114" s="350"/>
      <c r="V114" s="350"/>
      <c r="W114" s="350"/>
      <c r="X114" s="350"/>
      <c r="Y114" s="350"/>
      <c r="Z114" s="350"/>
      <c r="AA114" s="350"/>
      <c r="AB114" s="350"/>
      <c r="AC114" s="350"/>
      <c r="AD114" s="350"/>
      <c r="AE114" s="350"/>
      <c r="AF114" s="350"/>
      <c r="AG114" s="350"/>
      <c r="AH114" s="350"/>
      <c r="AI114" s="350"/>
      <c r="AJ114" s="350"/>
      <c r="AK114" s="350"/>
      <c r="AL114" s="350"/>
      <c r="AM114" s="350"/>
      <c r="AN114" s="350"/>
      <c r="AO114" s="350"/>
      <c r="AP114" s="350"/>
      <c r="AQ114" s="350"/>
      <c r="AR114" s="350"/>
      <c r="AS114" s="350"/>
      <c r="AT114" s="350"/>
      <c r="AU114" s="350"/>
      <c r="AV114" s="350"/>
      <c r="AW114" s="350"/>
      <c r="AX114" s="350"/>
      <c r="AY114" s="350"/>
      <c r="AZ114" s="350"/>
      <c r="BA114" s="350"/>
      <c r="BB114" s="350"/>
      <c r="BC114" s="350"/>
      <c r="BD114" s="350"/>
      <c r="BE114" s="350"/>
      <c r="BF114" s="350"/>
      <c r="BG114" s="350"/>
      <c r="BH114" s="350"/>
      <c r="BI114" s="350"/>
      <c r="BJ114" s="350"/>
      <c r="BK114" s="350"/>
      <c r="BL114" s="350"/>
      <c r="BM114" s="350"/>
      <c r="BN114" s="350"/>
      <c r="BO114" s="350"/>
      <c r="BP114" s="350"/>
      <c r="BQ114" s="350"/>
      <c r="BR114" s="350"/>
      <c r="BS114" s="350"/>
      <c r="BT114" s="350"/>
    </row>
    <row r="115" spans="1:72" s="458" customFormat="1" ht="9.75" customHeight="1" x14ac:dyDescent="0.2">
      <c r="A115" s="363"/>
      <c r="B115" s="374"/>
      <c r="C115" s="365"/>
      <c r="D115" s="365"/>
      <c r="E115" s="365"/>
      <c r="F115" s="375"/>
      <c r="G115" s="459"/>
      <c r="H115" s="350"/>
      <c r="I115" s="350"/>
      <c r="J115" s="350"/>
      <c r="K115" s="350"/>
      <c r="L115" s="350"/>
      <c r="M115" s="350"/>
      <c r="N115" s="350"/>
      <c r="O115" s="350"/>
      <c r="P115" s="350"/>
      <c r="Q115" s="350"/>
      <c r="R115" s="350"/>
      <c r="S115" s="350"/>
      <c r="T115" s="350"/>
      <c r="U115" s="350"/>
      <c r="V115" s="350"/>
      <c r="W115" s="350"/>
      <c r="X115" s="350"/>
      <c r="Y115" s="350"/>
      <c r="Z115" s="350"/>
      <c r="AA115" s="350"/>
      <c r="AB115" s="350"/>
      <c r="AC115" s="350"/>
      <c r="AD115" s="350"/>
      <c r="AE115" s="350"/>
      <c r="AF115" s="350"/>
      <c r="AG115" s="350"/>
      <c r="AH115" s="350"/>
      <c r="AI115" s="350"/>
      <c r="AJ115" s="350"/>
      <c r="AK115" s="350"/>
      <c r="AL115" s="350"/>
      <c r="AM115" s="350"/>
      <c r="AN115" s="350"/>
      <c r="AO115" s="350"/>
      <c r="AP115" s="350"/>
      <c r="AQ115" s="350"/>
      <c r="AR115" s="350"/>
      <c r="AS115" s="350"/>
      <c r="AT115" s="350"/>
      <c r="AU115" s="350"/>
      <c r="AV115" s="350"/>
      <c r="AW115" s="350"/>
      <c r="AX115" s="350"/>
      <c r="AY115" s="350"/>
      <c r="AZ115" s="350"/>
      <c r="BA115" s="350"/>
      <c r="BB115" s="350"/>
      <c r="BC115" s="350"/>
      <c r="BD115" s="350"/>
      <c r="BE115" s="350"/>
      <c r="BF115" s="350"/>
      <c r="BG115" s="350"/>
      <c r="BH115" s="350"/>
      <c r="BI115" s="350"/>
      <c r="BJ115" s="350"/>
      <c r="BK115" s="350"/>
      <c r="BL115" s="350"/>
      <c r="BM115" s="350"/>
      <c r="BN115" s="350"/>
      <c r="BO115" s="350"/>
      <c r="BP115" s="350"/>
      <c r="BQ115" s="350"/>
      <c r="BR115" s="350"/>
      <c r="BS115" s="350"/>
      <c r="BT115" s="350"/>
    </row>
    <row r="116" spans="1:72" s="458" customFormat="1" ht="25.5" customHeight="1" x14ac:dyDescent="0.2">
      <c r="A116" s="363"/>
      <c r="B116" s="461" t="s">
        <v>114</v>
      </c>
      <c r="C116" s="365"/>
      <c r="D116" s="365"/>
      <c r="E116" s="365"/>
      <c r="F116" s="375"/>
      <c r="G116" s="459">
        <f>SUM(G117:G117)</f>
        <v>900364.33999999985</v>
      </c>
      <c r="H116" s="350"/>
      <c r="I116" s="350"/>
      <c r="J116" s="350"/>
      <c r="K116" s="350"/>
      <c r="L116" s="350"/>
      <c r="M116" s="350"/>
      <c r="N116" s="350"/>
      <c r="O116" s="350"/>
      <c r="P116" s="350"/>
      <c r="Q116" s="350"/>
      <c r="R116" s="350"/>
      <c r="S116" s="350"/>
      <c r="T116" s="350"/>
      <c r="U116" s="350"/>
      <c r="V116" s="350"/>
      <c r="W116" s="350"/>
      <c r="X116" s="350"/>
      <c r="Y116" s="350"/>
      <c r="Z116" s="350"/>
      <c r="AA116" s="350"/>
      <c r="AB116" s="350"/>
      <c r="AC116" s="350"/>
      <c r="AD116" s="350"/>
      <c r="AE116" s="350"/>
      <c r="AF116" s="350"/>
      <c r="AG116" s="350"/>
      <c r="AH116" s="350"/>
      <c r="AI116" s="350"/>
      <c r="AJ116" s="350"/>
      <c r="AK116" s="350"/>
      <c r="AL116" s="350"/>
      <c r="AM116" s="350"/>
      <c r="AN116" s="350"/>
      <c r="AO116" s="350"/>
      <c r="AP116" s="350"/>
      <c r="AQ116" s="350"/>
      <c r="AR116" s="350"/>
      <c r="AS116" s="350"/>
      <c r="AT116" s="350"/>
      <c r="AU116" s="350"/>
      <c r="AV116" s="350"/>
      <c r="AW116" s="350"/>
      <c r="AX116" s="350"/>
      <c r="AY116" s="350"/>
      <c r="AZ116" s="350"/>
      <c r="BA116" s="350"/>
      <c r="BB116" s="350"/>
      <c r="BC116" s="350"/>
      <c r="BD116" s="350"/>
      <c r="BE116" s="350"/>
      <c r="BF116" s="350"/>
      <c r="BG116" s="350"/>
      <c r="BH116" s="350"/>
      <c r="BI116" s="350"/>
      <c r="BJ116" s="350"/>
      <c r="BK116" s="350"/>
      <c r="BL116" s="350"/>
      <c r="BM116" s="350"/>
      <c r="BN116" s="350"/>
      <c r="BO116" s="350"/>
      <c r="BP116" s="350"/>
      <c r="BQ116" s="350"/>
      <c r="BR116" s="350"/>
      <c r="BS116" s="350"/>
      <c r="BT116" s="350"/>
    </row>
    <row r="117" spans="1:72" s="458" customFormat="1" ht="15.75" customHeight="1" x14ac:dyDescent="0.2">
      <c r="A117" s="363"/>
      <c r="B117" s="364"/>
      <c r="C117" s="382"/>
      <c r="D117" s="365"/>
      <c r="E117" s="365" t="s">
        <v>478</v>
      </c>
      <c r="F117" s="375" t="s">
        <v>474</v>
      </c>
      <c r="G117" s="376">
        <f>288000+431742.16-40114.41+244500-23763.41</f>
        <v>900364.33999999985</v>
      </c>
      <c r="H117" s="350"/>
      <c r="I117" s="350"/>
      <c r="J117" s="350"/>
      <c r="K117" s="350"/>
      <c r="L117" s="350"/>
      <c r="M117" s="350"/>
      <c r="N117" s="350"/>
      <c r="O117" s="350"/>
      <c r="P117" s="350"/>
      <c r="Q117" s="350"/>
      <c r="R117" s="350"/>
      <c r="S117" s="350"/>
      <c r="T117" s="350"/>
      <c r="U117" s="350"/>
      <c r="V117" s="350"/>
      <c r="W117" s="350"/>
      <c r="X117" s="350"/>
      <c r="Y117" s="350"/>
      <c r="Z117" s="350"/>
      <c r="AA117" s="350"/>
      <c r="AB117" s="350"/>
      <c r="AC117" s="350"/>
      <c r="AD117" s="350"/>
      <c r="AE117" s="350"/>
      <c r="AF117" s="350"/>
      <c r="AG117" s="350"/>
      <c r="AH117" s="350"/>
      <c r="AI117" s="350"/>
      <c r="AJ117" s="350"/>
      <c r="AK117" s="350"/>
      <c r="AL117" s="350"/>
      <c r="AM117" s="350"/>
      <c r="AN117" s="350"/>
      <c r="AO117" s="350"/>
      <c r="AP117" s="350"/>
      <c r="AQ117" s="350"/>
      <c r="AR117" s="350"/>
      <c r="AS117" s="350"/>
      <c r="AT117" s="350"/>
      <c r="AU117" s="350"/>
      <c r="AV117" s="350"/>
      <c r="AW117" s="350"/>
      <c r="AX117" s="350"/>
      <c r="AY117" s="350"/>
      <c r="AZ117" s="350"/>
      <c r="BA117" s="350"/>
      <c r="BB117" s="350"/>
      <c r="BC117" s="350"/>
      <c r="BD117" s="350"/>
      <c r="BE117" s="350"/>
      <c r="BF117" s="350"/>
      <c r="BG117" s="350"/>
      <c r="BH117" s="350"/>
      <c r="BI117" s="350"/>
      <c r="BJ117" s="350"/>
      <c r="BK117" s="350"/>
      <c r="BL117" s="350"/>
      <c r="BM117" s="350"/>
      <c r="BN117" s="350"/>
      <c r="BO117" s="350"/>
      <c r="BP117" s="350"/>
      <c r="BQ117" s="350"/>
      <c r="BR117" s="350"/>
      <c r="BS117" s="350"/>
      <c r="BT117" s="350"/>
    </row>
    <row r="118" spans="1:72" s="458" customFormat="1" ht="15.75" customHeight="1" x14ac:dyDescent="0.2">
      <c r="A118" s="363"/>
      <c r="B118" s="364"/>
      <c r="C118" s="382"/>
      <c r="D118" s="365"/>
      <c r="E118" s="365"/>
      <c r="F118" s="375"/>
      <c r="G118" s="376"/>
      <c r="H118" s="350"/>
      <c r="I118" s="350"/>
      <c r="J118" s="350"/>
      <c r="K118" s="350"/>
      <c r="L118" s="350"/>
      <c r="M118" s="350"/>
      <c r="N118" s="350"/>
      <c r="O118" s="350"/>
      <c r="P118" s="350"/>
      <c r="Q118" s="350"/>
      <c r="R118" s="350"/>
      <c r="S118" s="350"/>
      <c r="T118" s="350"/>
      <c r="U118" s="350"/>
      <c r="V118" s="350"/>
      <c r="W118" s="350"/>
      <c r="X118" s="350"/>
      <c r="Y118" s="350"/>
      <c r="Z118" s="350"/>
      <c r="AA118" s="350"/>
      <c r="AB118" s="350"/>
      <c r="AC118" s="350"/>
      <c r="AD118" s="350"/>
      <c r="AE118" s="350"/>
      <c r="AF118" s="350"/>
      <c r="AG118" s="350"/>
      <c r="AH118" s="350"/>
      <c r="AI118" s="350"/>
      <c r="AJ118" s="350"/>
      <c r="AK118" s="350"/>
      <c r="AL118" s="350"/>
      <c r="AM118" s="350"/>
      <c r="AN118" s="350"/>
      <c r="AO118" s="350"/>
      <c r="AP118" s="350"/>
      <c r="AQ118" s="350"/>
      <c r="AR118" s="350"/>
      <c r="AS118" s="350"/>
      <c r="AT118" s="350"/>
      <c r="AU118" s="350"/>
      <c r="AV118" s="350"/>
      <c r="AW118" s="350"/>
      <c r="AX118" s="350"/>
      <c r="AY118" s="350"/>
      <c r="AZ118" s="350"/>
      <c r="BA118" s="350"/>
      <c r="BB118" s="350"/>
      <c r="BC118" s="350"/>
      <c r="BD118" s="350"/>
      <c r="BE118" s="350"/>
      <c r="BF118" s="350"/>
      <c r="BG118" s="350"/>
      <c r="BH118" s="350"/>
      <c r="BI118" s="350"/>
      <c r="BJ118" s="350"/>
      <c r="BK118" s="350"/>
      <c r="BL118" s="350"/>
      <c r="BM118" s="350"/>
      <c r="BN118" s="350"/>
      <c r="BO118" s="350"/>
      <c r="BP118" s="350"/>
      <c r="BQ118" s="350"/>
      <c r="BR118" s="350"/>
      <c r="BS118" s="350"/>
      <c r="BT118" s="350"/>
    </row>
    <row r="119" spans="1:72" s="458" customFormat="1" ht="15.75" customHeight="1" x14ac:dyDescent="0.2">
      <c r="A119" s="363"/>
      <c r="B119" s="460" t="s">
        <v>96</v>
      </c>
      <c r="C119" s="365"/>
      <c r="D119" s="365"/>
      <c r="E119" s="365"/>
      <c r="F119" s="375"/>
      <c r="G119" s="459">
        <f>SUM(G120:G122)</f>
        <v>92261.97</v>
      </c>
      <c r="H119" s="350"/>
      <c r="I119" s="350"/>
      <c r="J119" s="350"/>
      <c r="K119" s="350"/>
      <c r="L119" s="350"/>
      <c r="M119" s="350"/>
      <c r="N119" s="350"/>
      <c r="O119" s="350"/>
      <c r="P119" s="350"/>
      <c r="Q119" s="350"/>
      <c r="R119" s="350"/>
      <c r="S119" s="350"/>
      <c r="T119" s="350"/>
      <c r="U119" s="350"/>
      <c r="V119" s="350"/>
      <c r="W119" s="350"/>
      <c r="X119" s="350"/>
      <c r="Y119" s="350"/>
      <c r="Z119" s="350"/>
      <c r="AA119" s="350"/>
      <c r="AB119" s="350"/>
      <c r="AC119" s="350"/>
      <c r="AD119" s="350"/>
      <c r="AE119" s="350"/>
      <c r="AF119" s="350"/>
      <c r="AG119" s="350"/>
      <c r="AH119" s="350"/>
      <c r="AI119" s="350"/>
      <c r="AJ119" s="350"/>
      <c r="AK119" s="350"/>
      <c r="AL119" s="350"/>
      <c r="AM119" s="350"/>
      <c r="AN119" s="350"/>
      <c r="AO119" s="350"/>
      <c r="AP119" s="350"/>
      <c r="AQ119" s="350"/>
      <c r="AR119" s="350"/>
      <c r="AS119" s="350"/>
      <c r="AT119" s="350"/>
      <c r="AU119" s="350"/>
      <c r="AV119" s="350"/>
      <c r="AW119" s="350"/>
      <c r="AX119" s="350"/>
      <c r="AY119" s="350"/>
      <c r="AZ119" s="350"/>
      <c r="BA119" s="350"/>
      <c r="BB119" s="350"/>
      <c r="BC119" s="350"/>
      <c r="BD119" s="350"/>
      <c r="BE119" s="350"/>
      <c r="BF119" s="350"/>
      <c r="BG119" s="350"/>
      <c r="BH119" s="350"/>
      <c r="BI119" s="350"/>
      <c r="BJ119" s="350"/>
      <c r="BK119" s="350"/>
      <c r="BL119" s="350"/>
      <c r="BM119" s="350"/>
      <c r="BN119" s="350"/>
      <c r="BO119" s="350"/>
      <c r="BP119" s="350"/>
      <c r="BQ119" s="350"/>
      <c r="BR119" s="350"/>
      <c r="BS119" s="350"/>
      <c r="BT119" s="350"/>
    </row>
    <row r="120" spans="1:72" s="458" customFormat="1" ht="15.75" customHeight="1" x14ac:dyDescent="0.2">
      <c r="A120" s="363"/>
      <c r="B120" s="460"/>
      <c r="C120" s="382"/>
      <c r="D120" s="365"/>
      <c r="E120" s="365" t="s">
        <v>117</v>
      </c>
      <c r="F120" s="375" t="s">
        <v>474</v>
      </c>
      <c r="G120" s="376">
        <v>386.17</v>
      </c>
      <c r="H120" s="350"/>
      <c r="I120" s="350"/>
      <c r="J120" s="350"/>
      <c r="K120" s="350"/>
      <c r="L120" s="350"/>
      <c r="M120" s="350"/>
      <c r="N120" s="350"/>
      <c r="O120" s="350"/>
      <c r="P120" s="350"/>
      <c r="Q120" s="350"/>
      <c r="R120" s="350"/>
      <c r="S120" s="350"/>
      <c r="T120" s="350"/>
      <c r="U120" s="350"/>
      <c r="V120" s="350"/>
      <c r="W120" s="350"/>
      <c r="X120" s="350"/>
      <c r="Y120" s="350"/>
      <c r="Z120" s="350"/>
      <c r="AA120" s="350"/>
      <c r="AB120" s="350"/>
      <c r="AC120" s="350"/>
      <c r="AD120" s="350"/>
      <c r="AE120" s="350"/>
      <c r="AF120" s="350"/>
      <c r="AG120" s="350"/>
      <c r="AH120" s="350"/>
      <c r="AI120" s="350"/>
      <c r="AJ120" s="350"/>
      <c r="AK120" s="350"/>
      <c r="AL120" s="350"/>
      <c r="AM120" s="350"/>
      <c r="AN120" s="350"/>
      <c r="AO120" s="350"/>
      <c r="AP120" s="350"/>
      <c r="AQ120" s="350"/>
      <c r="AR120" s="350"/>
      <c r="AS120" s="350"/>
      <c r="AT120" s="350"/>
      <c r="AU120" s="350"/>
      <c r="AV120" s="350"/>
      <c r="AW120" s="350"/>
      <c r="AX120" s="350"/>
      <c r="AY120" s="350"/>
      <c r="AZ120" s="350"/>
      <c r="BA120" s="350"/>
      <c r="BB120" s="350"/>
      <c r="BC120" s="350"/>
      <c r="BD120" s="350"/>
      <c r="BE120" s="350"/>
      <c r="BF120" s="350"/>
      <c r="BG120" s="350"/>
      <c r="BH120" s="350"/>
      <c r="BI120" s="350"/>
      <c r="BJ120" s="350"/>
      <c r="BK120" s="350"/>
      <c r="BL120" s="350"/>
      <c r="BM120" s="350"/>
      <c r="BN120" s="350"/>
      <c r="BO120" s="350"/>
      <c r="BP120" s="350"/>
      <c r="BQ120" s="350"/>
      <c r="BR120" s="350"/>
      <c r="BS120" s="350"/>
      <c r="BT120" s="350"/>
    </row>
    <row r="121" spans="1:72" s="458" customFormat="1" ht="15.75" customHeight="1" x14ac:dyDescent="0.2">
      <c r="A121" s="363"/>
      <c r="B121" s="364"/>
      <c r="C121" s="382"/>
      <c r="D121" s="365"/>
      <c r="E121" s="365" t="s">
        <v>478</v>
      </c>
      <c r="F121" s="375" t="s">
        <v>474</v>
      </c>
      <c r="G121" s="376">
        <f>2056.23+12473.87+3535.72</f>
        <v>18065.82</v>
      </c>
      <c r="H121" s="350"/>
      <c r="I121" s="350"/>
      <c r="J121" s="350"/>
      <c r="K121" s="350"/>
      <c r="L121" s="350"/>
      <c r="M121" s="350"/>
      <c r="N121" s="350"/>
      <c r="O121" s="350"/>
      <c r="P121" s="350"/>
      <c r="Q121" s="350"/>
      <c r="R121" s="350"/>
      <c r="S121" s="350"/>
      <c r="T121" s="350"/>
      <c r="U121" s="350"/>
      <c r="V121" s="350"/>
      <c r="W121" s="350"/>
      <c r="X121" s="350"/>
      <c r="Y121" s="350"/>
      <c r="Z121" s="350"/>
      <c r="AA121" s="350"/>
      <c r="AB121" s="350"/>
      <c r="AC121" s="350"/>
      <c r="AD121" s="350"/>
      <c r="AE121" s="350"/>
      <c r="AF121" s="350"/>
      <c r="AG121" s="350"/>
      <c r="AH121" s="350"/>
      <c r="AI121" s="350"/>
      <c r="AJ121" s="350"/>
      <c r="AK121" s="350"/>
      <c r="AL121" s="350"/>
      <c r="AM121" s="350"/>
      <c r="AN121" s="350"/>
      <c r="AO121" s="350"/>
      <c r="AP121" s="350"/>
      <c r="AQ121" s="350"/>
      <c r="AR121" s="350"/>
      <c r="AS121" s="350"/>
      <c r="AT121" s="350"/>
      <c r="AU121" s="350"/>
      <c r="AV121" s="350"/>
      <c r="AW121" s="350"/>
      <c r="AX121" s="350"/>
      <c r="AY121" s="350"/>
      <c r="AZ121" s="350"/>
      <c r="BA121" s="350"/>
      <c r="BB121" s="350"/>
      <c r="BC121" s="350"/>
      <c r="BD121" s="350"/>
      <c r="BE121" s="350"/>
      <c r="BF121" s="350"/>
      <c r="BG121" s="350"/>
      <c r="BH121" s="350"/>
      <c r="BI121" s="350"/>
      <c r="BJ121" s="350"/>
      <c r="BK121" s="350"/>
      <c r="BL121" s="350"/>
      <c r="BM121" s="350"/>
      <c r="BN121" s="350"/>
      <c r="BO121" s="350"/>
      <c r="BP121" s="350"/>
      <c r="BQ121" s="350"/>
      <c r="BR121" s="350"/>
      <c r="BS121" s="350"/>
      <c r="BT121" s="350"/>
    </row>
    <row r="122" spans="1:72" s="458" customFormat="1" ht="15.75" customHeight="1" x14ac:dyDescent="0.2">
      <c r="A122" s="363"/>
      <c r="B122" s="364"/>
      <c r="C122" s="382"/>
      <c r="D122" s="365"/>
      <c r="E122" s="365" t="s">
        <v>508</v>
      </c>
      <c r="F122" s="375" t="s">
        <v>474</v>
      </c>
      <c r="G122" s="376">
        <f>26641.61+27326.85+19841.52</f>
        <v>73809.98</v>
      </c>
      <c r="H122" s="350"/>
      <c r="I122" s="350"/>
      <c r="J122" s="350"/>
      <c r="K122" s="350"/>
      <c r="L122" s="350"/>
      <c r="M122" s="350"/>
      <c r="N122" s="350"/>
      <c r="O122" s="350"/>
      <c r="P122" s="350"/>
      <c r="Q122" s="350"/>
      <c r="R122" s="350"/>
      <c r="S122" s="350"/>
      <c r="T122" s="350"/>
      <c r="U122" s="350"/>
      <c r="V122" s="350"/>
      <c r="W122" s="350"/>
      <c r="X122" s="350"/>
      <c r="Y122" s="350"/>
      <c r="Z122" s="350"/>
      <c r="AA122" s="350"/>
      <c r="AB122" s="350"/>
      <c r="AC122" s="350"/>
      <c r="AD122" s="350"/>
      <c r="AE122" s="350"/>
      <c r="AF122" s="350"/>
      <c r="AG122" s="350"/>
      <c r="AH122" s="350"/>
      <c r="AI122" s="350"/>
      <c r="AJ122" s="350"/>
      <c r="AK122" s="350"/>
      <c r="AL122" s="350"/>
      <c r="AM122" s="350"/>
      <c r="AN122" s="350"/>
      <c r="AO122" s="350"/>
      <c r="AP122" s="350"/>
      <c r="AQ122" s="350"/>
      <c r="AR122" s="350"/>
      <c r="AS122" s="350"/>
      <c r="AT122" s="350"/>
      <c r="AU122" s="350"/>
      <c r="AV122" s="350"/>
      <c r="AW122" s="350"/>
      <c r="AX122" s="350"/>
      <c r="AY122" s="350"/>
      <c r="AZ122" s="350"/>
      <c r="BA122" s="350"/>
      <c r="BB122" s="350"/>
      <c r="BC122" s="350"/>
      <c r="BD122" s="350"/>
      <c r="BE122" s="350"/>
      <c r="BF122" s="350"/>
      <c r="BG122" s="350"/>
      <c r="BH122" s="350"/>
      <c r="BI122" s="350"/>
      <c r="BJ122" s="350"/>
      <c r="BK122" s="350"/>
      <c r="BL122" s="350"/>
      <c r="BM122" s="350"/>
      <c r="BN122" s="350"/>
      <c r="BO122" s="350"/>
      <c r="BP122" s="350"/>
      <c r="BQ122" s="350"/>
      <c r="BR122" s="350"/>
      <c r="BS122" s="350"/>
      <c r="BT122" s="350"/>
    </row>
    <row r="123" spans="1:72" s="458" customFormat="1" ht="15.75" customHeight="1" x14ac:dyDescent="0.2">
      <c r="A123" s="363"/>
      <c r="B123" s="364"/>
      <c r="C123" s="382"/>
      <c r="D123" s="365"/>
      <c r="E123" s="365"/>
      <c r="F123" s="375"/>
      <c r="G123" s="376"/>
      <c r="H123" s="350"/>
      <c r="I123" s="350"/>
      <c r="J123" s="350"/>
      <c r="K123" s="350"/>
      <c r="L123" s="350"/>
      <c r="M123" s="350"/>
      <c r="N123" s="350"/>
      <c r="O123" s="350"/>
      <c r="P123" s="350"/>
      <c r="Q123" s="350"/>
      <c r="R123" s="350"/>
      <c r="S123" s="350"/>
      <c r="T123" s="350"/>
      <c r="U123" s="350"/>
      <c r="V123" s="350"/>
      <c r="W123" s="350"/>
      <c r="X123" s="350"/>
      <c r="Y123" s="350"/>
      <c r="Z123" s="350"/>
      <c r="AA123" s="350"/>
      <c r="AB123" s="350"/>
      <c r="AC123" s="350"/>
      <c r="AD123" s="350"/>
      <c r="AE123" s="350"/>
      <c r="AF123" s="350"/>
      <c r="AG123" s="350"/>
      <c r="AH123" s="350"/>
      <c r="AI123" s="350"/>
      <c r="AJ123" s="350"/>
      <c r="AK123" s="350"/>
      <c r="AL123" s="350"/>
      <c r="AM123" s="350"/>
      <c r="AN123" s="350"/>
      <c r="AO123" s="350"/>
      <c r="AP123" s="350"/>
      <c r="AQ123" s="350"/>
      <c r="AR123" s="350"/>
      <c r="AS123" s="350"/>
      <c r="AT123" s="350"/>
      <c r="AU123" s="350"/>
      <c r="AV123" s="350"/>
      <c r="AW123" s="350"/>
      <c r="AX123" s="350"/>
      <c r="AY123" s="350"/>
      <c r="AZ123" s="350"/>
      <c r="BA123" s="350"/>
      <c r="BB123" s="350"/>
      <c r="BC123" s="350"/>
      <c r="BD123" s="350"/>
      <c r="BE123" s="350"/>
      <c r="BF123" s="350"/>
      <c r="BG123" s="350"/>
      <c r="BH123" s="350"/>
      <c r="BI123" s="350"/>
      <c r="BJ123" s="350"/>
      <c r="BK123" s="350"/>
      <c r="BL123" s="350"/>
      <c r="BM123" s="350"/>
      <c r="BN123" s="350"/>
      <c r="BO123" s="350"/>
      <c r="BP123" s="350"/>
      <c r="BQ123" s="350"/>
      <c r="BR123" s="350"/>
      <c r="BS123" s="350"/>
      <c r="BT123" s="350"/>
    </row>
    <row r="124" spans="1:72" s="458" customFormat="1" ht="25.5" customHeight="1" x14ac:dyDescent="0.2">
      <c r="A124" s="363"/>
      <c r="B124" s="461" t="s">
        <v>121</v>
      </c>
      <c r="C124" s="365"/>
      <c r="D124" s="365"/>
      <c r="E124" s="365"/>
      <c r="F124" s="375"/>
      <c r="G124" s="459">
        <f>SUM(G125:G125)</f>
        <v>313.69</v>
      </c>
      <c r="H124" s="350"/>
      <c r="I124" s="350"/>
      <c r="J124" s="350"/>
      <c r="K124" s="350"/>
      <c r="L124" s="350"/>
      <c r="M124" s="350"/>
      <c r="N124" s="350"/>
      <c r="O124" s="350"/>
      <c r="P124" s="350"/>
      <c r="Q124" s="350"/>
      <c r="R124" s="350"/>
      <c r="S124" s="350"/>
      <c r="T124" s="350"/>
      <c r="U124" s="350"/>
      <c r="V124" s="350"/>
      <c r="W124" s="350"/>
      <c r="X124" s="350"/>
      <c r="Y124" s="350"/>
      <c r="Z124" s="350"/>
      <c r="AA124" s="350"/>
      <c r="AB124" s="350"/>
      <c r="AC124" s="350"/>
      <c r="AD124" s="350"/>
      <c r="AE124" s="350"/>
      <c r="AF124" s="350"/>
      <c r="AG124" s="350"/>
      <c r="AH124" s="350"/>
      <c r="AI124" s="350"/>
      <c r="AJ124" s="350"/>
      <c r="AK124" s="350"/>
      <c r="AL124" s="350"/>
      <c r="AM124" s="350"/>
      <c r="AN124" s="350"/>
      <c r="AO124" s="350"/>
      <c r="AP124" s="350"/>
      <c r="AQ124" s="350"/>
      <c r="AR124" s="350"/>
      <c r="AS124" s="350"/>
      <c r="AT124" s="350"/>
      <c r="AU124" s="350"/>
      <c r="AV124" s="350"/>
      <c r="AW124" s="350"/>
      <c r="AX124" s="350"/>
      <c r="AY124" s="350"/>
      <c r="AZ124" s="350"/>
      <c r="BA124" s="350"/>
      <c r="BB124" s="350"/>
      <c r="BC124" s="350"/>
      <c r="BD124" s="350"/>
      <c r="BE124" s="350"/>
      <c r="BF124" s="350"/>
      <c r="BG124" s="350"/>
      <c r="BH124" s="350"/>
      <c r="BI124" s="350"/>
      <c r="BJ124" s="350"/>
      <c r="BK124" s="350"/>
      <c r="BL124" s="350"/>
      <c r="BM124" s="350"/>
      <c r="BN124" s="350"/>
      <c r="BO124" s="350"/>
      <c r="BP124" s="350"/>
      <c r="BQ124" s="350"/>
      <c r="BR124" s="350"/>
      <c r="BS124" s="350"/>
      <c r="BT124" s="350"/>
    </row>
    <row r="125" spans="1:72" s="458" customFormat="1" ht="15.75" customHeight="1" x14ac:dyDescent="0.2">
      <c r="A125" s="363"/>
      <c r="B125" s="364"/>
      <c r="C125" s="382"/>
      <c r="D125" s="365"/>
      <c r="E125" s="365" t="s">
        <v>117</v>
      </c>
      <c r="F125" s="375" t="s">
        <v>474</v>
      </c>
      <c r="G125" s="376">
        <v>313.69</v>
      </c>
      <c r="H125" s="350"/>
      <c r="I125" s="350"/>
      <c r="J125" s="350"/>
      <c r="K125" s="350"/>
      <c r="L125" s="350"/>
      <c r="M125" s="350"/>
      <c r="N125" s="350"/>
      <c r="O125" s="350"/>
      <c r="P125" s="350"/>
      <c r="Q125" s="350"/>
      <c r="R125" s="350"/>
      <c r="S125" s="350"/>
      <c r="T125" s="350"/>
      <c r="U125" s="350"/>
      <c r="V125" s="350"/>
      <c r="W125" s="350"/>
      <c r="X125" s="350"/>
      <c r="Y125" s="350"/>
      <c r="Z125" s="350"/>
      <c r="AA125" s="350"/>
      <c r="AB125" s="350"/>
      <c r="AC125" s="350"/>
      <c r="AD125" s="350"/>
      <c r="AE125" s="350"/>
      <c r="AF125" s="350"/>
      <c r="AG125" s="350"/>
      <c r="AH125" s="350"/>
      <c r="AI125" s="350"/>
      <c r="AJ125" s="350"/>
      <c r="AK125" s="350"/>
      <c r="AL125" s="350"/>
      <c r="AM125" s="350"/>
      <c r="AN125" s="350"/>
      <c r="AO125" s="350"/>
      <c r="AP125" s="350"/>
      <c r="AQ125" s="350"/>
      <c r="AR125" s="350"/>
      <c r="AS125" s="350"/>
      <c r="AT125" s="350"/>
      <c r="AU125" s="350"/>
      <c r="AV125" s="350"/>
      <c r="AW125" s="350"/>
      <c r="AX125" s="350"/>
      <c r="AY125" s="350"/>
      <c r="AZ125" s="350"/>
      <c r="BA125" s="350"/>
      <c r="BB125" s="350"/>
      <c r="BC125" s="350"/>
      <c r="BD125" s="350"/>
      <c r="BE125" s="350"/>
      <c r="BF125" s="350"/>
      <c r="BG125" s="350"/>
      <c r="BH125" s="350"/>
      <c r="BI125" s="350"/>
      <c r="BJ125" s="350"/>
      <c r="BK125" s="350"/>
      <c r="BL125" s="350"/>
      <c r="BM125" s="350"/>
      <c r="BN125" s="350"/>
      <c r="BO125" s="350"/>
      <c r="BP125" s="350"/>
      <c r="BQ125" s="350"/>
      <c r="BR125" s="350"/>
      <c r="BS125" s="350"/>
      <c r="BT125" s="350"/>
    </row>
    <row r="126" spans="1:72" s="458" customFormat="1" ht="15.75" customHeight="1" x14ac:dyDescent="0.2">
      <c r="A126" s="377"/>
      <c r="B126" s="378"/>
      <c r="C126" s="379"/>
      <c r="D126" s="366"/>
      <c r="E126" s="366"/>
      <c r="F126" s="368"/>
      <c r="G126" s="380"/>
      <c r="H126" s="350"/>
      <c r="I126" s="350"/>
      <c r="J126" s="350"/>
      <c r="K126" s="350"/>
      <c r="L126" s="350"/>
      <c r="M126" s="350"/>
      <c r="N126" s="350"/>
      <c r="O126" s="350"/>
      <c r="P126" s="350"/>
      <c r="Q126" s="350"/>
      <c r="R126" s="350"/>
      <c r="S126" s="350"/>
      <c r="T126" s="350"/>
      <c r="U126" s="350"/>
      <c r="V126" s="350"/>
      <c r="W126" s="350"/>
      <c r="X126" s="350"/>
      <c r="Y126" s="350"/>
      <c r="Z126" s="350"/>
      <c r="AA126" s="350"/>
      <c r="AB126" s="350"/>
      <c r="AC126" s="350"/>
      <c r="AD126" s="350"/>
      <c r="AE126" s="350"/>
      <c r="AF126" s="350"/>
      <c r="AG126" s="350"/>
      <c r="AH126" s="350"/>
      <c r="AI126" s="350"/>
      <c r="AJ126" s="350"/>
      <c r="AK126" s="350"/>
      <c r="AL126" s="350"/>
      <c r="AM126" s="350"/>
      <c r="AN126" s="350"/>
      <c r="AO126" s="350"/>
      <c r="AP126" s="350"/>
      <c r="AQ126" s="350"/>
      <c r="AR126" s="350"/>
      <c r="AS126" s="350"/>
      <c r="AT126" s="350"/>
      <c r="AU126" s="350"/>
      <c r="AV126" s="350"/>
      <c r="AW126" s="350"/>
      <c r="AX126" s="350"/>
      <c r="AY126" s="350"/>
      <c r="AZ126" s="350"/>
      <c r="BA126" s="350"/>
      <c r="BB126" s="350"/>
      <c r="BC126" s="350"/>
      <c r="BD126" s="350"/>
      <c r="BE126" s="350"/>
      <c r="BF126" s="350"/>
      <c r="BG126" s="350"/>
      <c r="BH126" s="350"/>
      <c r="BI126" s="350"/>
      <c r="BJ126" s="350"/>
      <c r="BK126" s="350"/>
      <c r="BL126" s="350"/>
      <c r="BM126" s="350"/>
      <c r="BN126" s="350"/>
      <c r="BO126" s="350"/>
      <c r="BP126" s="350"/>
      <c r="BQ126" s="350"/>
      <c r="BR126" s="350"/>
      <c r="BS126" s="350"/>
      <c r="BT126" s="350"/>
    </row>
    <row r="127" spans="1:72" s="458" customFormat="1" ht="15.75" customHeight="1" x14ac:dyDescent="0.2">
      <c r="A127" s="363"/>
      <c r="B127" s="364"/>
      <c r="C127" s="365"/>
      <c r="D127" s="365"/>
      <c r="E127" s="366" t="s">
        <v>25</v>
      </c>
      <c r="F127" s="367">
        <v>295.87</v>
      </c>
      <c r="G127" s="368" t="s">
        <v>474</v>
      </c>
      <c r="H127" s="350"/>
      <c r="I127" s="350"/>
      <c r="J127" s="350"/>
      <c r="K127" s="350"/>
      <c r="L127" s="350"/>
      <c r="M127" s="350"/>
      <c r="N127" s="350"/>
      <c r="O127" s="350"/>
      <c r="P127" s="350"/>
      <c r="Q127" s="350"/>
      <c r="R127" s="350"/>
      <c r="S127" s="350"/>
      <c r="T127" s="350"/>
      <c r="U127" s="350"/>
      <c r="V127" s="350"/>
      <c r="W127" s="350"/>
      <c r="X127" s="350"/>
      <c r="Y127" s="350"/>
      <c r="Z127" s="350"/>
      <c r="AA127" s="350"/>
      <c r="AB127" s="350"/>
      <c r="AC127" s="350"/>
      <c r="AD127" s="350"/>
      <c r="AE127" s="350"/>
      <c r="AF127" s="350"/>
      <c r="AG127" s="350"/>
      <c r="AH127" s="350"/>
      <c r="AI127" s="350"/>
      <c r="AJ127" s="350"/>
      <c r="AK127" s="350"/>
      <c r="AL127" s="350"/>
      <c r="AM127" s="350"/>
      <c r="AN127" s="350"/>
      <c r="AO127" s="350"/>
      <c r="AP127" s="350"/>
      <c r="AQ127" s="350"/>
      <c r="AR127" s="350"/>
      <c r="AS127" s="350"/>
      <c r="AT127" s="350"/>
      <c r="AU127" s="350"/>
      <c r="AV127" s="350"/>
      <c r="AW127" s="350"/>
      <c r="AX127" s="350"/>
      <c r="AY127" s="350"/>
      <c r="AZ127" s="350"/>
      <c r="BA127" s="350"/>
      <c r="BB127" s="350"/>
      <c r="BC127" s="350"/>
      <c r="BD127" s="350"/>
      <c r="BE127" s="350"/>
      <c r="BF127" s="350"/>
      <c r="BG127" s="350"/>
      <c r="BH127" s="350"/>
      <c r="BI127" s="350"/>
      <c r="BJ127" s="350"/>
      <c r="BK127" s="350"/>
      <c r="BL127" s="350"/>
      <c r="BM127" s="350"/>
      <c r="BN127" s="350"/>
      <c r="BO127" s="350"/>
      <c r="BP127" s="350"/>
      <c r="BQ127" s="350"/>
      <c r="BR127" s="350"/>
      <c r="BS127" s="350"/>
      <c r="BT127" s="350"/>
    </row>
    <row r="128" spans="1:72" s="458" customFormat="1" ht="24" customHeight="1" x14ac:dyDescent="0.2">
      <c r="A128" s="369" t="s">
        <v>459</v>
      </c>
      <c r="B128" s="370" t="s">
        <v>509</v>
      </c>
      <c r="C128" s="365" t="s">
        <v>510</v>
      </c>
      <c r="D128" s="365" t="s">
        <v>511</v>
      </c>
      <c r="E128" s="371" t="s">
        <v>474</v>
      </c>
      <c r="F128" s="372" t="s">
        <v>474</v>
      </c>
      <c r="G128" s="373">
        <f>SUM(G130)</f>
        <v>295.87</v>
      </c>
      <c r="H128" s="350"/>
      <c r="I128" s="350"/>
      <c r="J128" s="350"/>
      <c r="K128" s="350"/>
      <c r="L128" s="350"/>
      <c r="M128" s="350"/>
      <c r="N128" s="350"/>
      <c r="O128" s="350"/>
      <c r="P128" s="350"/>
      <c r="Q128" s="350"/>
      <c r="R128" s="350"/>
      <c r="S128" s="350"/>
      <c r="T128" s="350"/>
      <c r="U128" s="350"/>
      <c r="V128" s="350"/>
      <c r="W128" s="350"/>
      <c r="X128" s="350"/>
      <c r="Y128" s="350"/>
      <c r="Z128" s="350"/>
      <c r="AA128" s="350"/>
      <c r="AB128" s="350"/>
      <c r="AC128" s="350"/>
      <c r="AD128" s="350"/>
      <c r="AE128" s="350"/>
      <c r="AF128" s="350"/>
      <c r="AG128" s="350"/>
      <c r="AH128" s="350"/>
      <c r="AI128" s="350"/>
      <c r="AJ128" s="350"/>
      <c r="AK128" s="350"/>
      <c r="AL128" s="350"/>
      <c r="AM128" s="350"/>
      <c r="AN128" s="350"/>
      <c r="AO128" s="350"/>
      <c r="AP128" s="350"/>
      <c r="AQ128" s="350"/>
      <c r="AR128" s="350"/>
      <c r="AS128" s="350"/>
      <c r="AT128" s="350"/>
      <c r="AU128" s="350"/>
      <c r="AV128" s="350"/>
      <c r="AW128" s="350"/>
      <c r="AX128" s="350"/>
      <c r="AY128" s="350"/>
      <c r="AZ128" s="350"/>
      <c r="BA128" s="350"/>
      <c r="BB128" s="350"/>
      <c r="BC128" s="350"/>
      <c r="BD128" s="350"/>
      <c r="BE128" s="350"/>
      <c r="BF128" s="350"/>
      <c r="BG128" s="350"/>
      <c r="BH128" s="350"/>
      <c r="BI128" s="350"/>
      <c r="BJ128" s="350"/>
      <c r="BK128" s="350"/>
      <c r="BL128" s="350"/>
      <c r="BM128" s="350"/>
      <c r="BN128" s="350"/>
      <c r="BO128" s="350"/>
      <c r="BP128" s="350"/>
      <c r="BQ128" s="350"/>
      <c r="BR128" s="350"/>
      <c r="BS128" s="350"/>
      <c r="BT128" s="350"/>
    </row>
    <row r="129" spans="1:72" s="458" customFormat="1" ht="15.75" customHeight="1" x14ac:dyDescent="0.2">
      <c r="A129" s="363"/>
      <c r="B129" s="374"/>
      <c r="C129" s="365"/>
      <c r="D129" s="365"/>
      <c r="E129" s="365"/>
      <c r="F129" s="375"/>
      <c r="G129" s="459"/>
      <c r="H129" s="350"/>
      <c r="I129" s="350"/>
      <c r="J129" s="350"/>
      <c r="K129" s="350"/>
      <c r="L129" s="350"/>
      <c r="M129" s="350"/>
      <c r="N129" s="350"/>
      <c r="O129" s="350"/>
      <c r="P129" s="350"/>
      <c r="Q129" s="350"/>
      <c r="R129" s="350"/>
      <c r="S129" s="350"/>
      <c r="T129" s="350"/>
      <c r="U129" s="350"/>
      <c r="V129" s="350"/>
      <c r="W129" s="350"/>
      <c r="X129" s="350"/>
      <c r="Y129" s="350"/>
      <c r="Z129" s="350"/>
      <c r="AA129" s="350"/>
      <c r="AB129" s="350"/>
      <c r="AC129" s="350"/>
      <c r="AD129" s="350"/>
      <c r="AE129" s="350"/>
      <c r="AF129" s="350"/>
      <c r="AG129" s="350"/>
      <c r="AH129" s="350"/>
      <c r="AI129" s="350"/>
      <c r="AJ129" s="350"/>
      <c r="AK129" s="350"/>
      <c r="AL129" s="350"/>
      <c r="AM129" s="350"/>
      <c r="AN129" s="350"/>
      <c r="AO129" s="350"/>
      <c r="AP129" s="350"/>
      <c r="AQ129" s="350"/>
      <c r="AR129" s="350"/>
      <c r="AS129" s="350"/>
      <c r="AT129" s="350"/>
      <c r="AU129" s="350"/>
      <c r="AV129" s="350"/>
      <c r="AW129" s="350"/>
      <c r="AX129" s="350"/>
      <c r="AY129" s="350"/>
      <c r="AZ129" s="350"/>
      <c r="BA129" s="350"/>
      <c r="BB129" s="350"/>
      <c r="BC129" s="350"/>
      <c r="BD129" s="350"/>
      <c r="BE129" s="350"/>
      <c r="BF129" s="350"/>
      <c r="BG129" s="350"/>
      <c r="BH129" s="350"/>
      <c r="BI129" s="350"/>
      <c r="BJ129" s="350"/>
      <c r="BK129" s="350"/>
      <c r="BL129" s="350"/>
      <c r="BM129" s="350"/>
      <c r="BN129" s="350"/>
      <c r="BO129" s="350"/>
      <c r="BP129" s="350"/>
      <c r="BQ129" s="350"/>
      <c r="BR129" s="350"/>
      <c r="BS129" s="350"/>
      <c r="BT129" s="350"/>
    </row>
    <row r="130" spans="1:72" s="458" customFormat="1" ht="15.75" customHeight="1" x14ac:dyDescent="0.2">
      <c r="A130" s="363"/>
      <c r="B130" s="461" t="s">
        <v>512</v>
      </c>
      <c r="C130" s="365"/>
      <c r="D130" s="365"/>
      <c r="E130" s="365"/>
      <c r="F130" s="375"/>
      <c r="G130" s="459">
        <f>SUM(G131:G131)</f>
        <v>295.87</v>
      </c>
      <c r="H130" s="350"/>
      <c r="I130" s="350"/>
      <c r="J130" s="350"/>
      <c r="K130" s="350"/>
      <c r="L130" s="350"/>
      <c r="M130" s="350"/>
      <c r="N130" s="350"/>
      <c r="O130" s="350"/>
      <c r="P130" s="350"/>
      <c r="Q130" s="350"/>
      <c r="R130" s="350"/>
      <c r="S130" s="350"/>
      <c r="T130" s="350"/>
      <c r="U130" s="350"/>
      <c r="V130" s="350"/>
      <c r="W130" s="350"/>
      <c r="X130" s="350"/>
      <c r="Y130" s="350"/>
      <c r="Z130" s="350"/>
      <c r="AA130" s="350"/>
      <c r="AB130" s="350"/>
      <c r="AC130" s="350"/>
      <c r="AD130" s="350"/>
      <c r="AE130" s="350"/>
      <c r="AF130" s="350"/>
      <c r="AG130" s="350"/>
      <c r="AH130" s="350"/>
      <c r="AI130" s="350"/>
      <c r="AJ130" s="350"/>
      <c r="AK130" s="350"/>
      <c r="AL130" s="350"/>
      <c r="AM130" s="350"/>
      <c r="AN130" s="350"/>
      <c r="AO130" s="350"/>
      <c r="AP130" s="350"/>
      <c r="AQ130" s="350"/>
      <c r="AR130" s="350"/>
      <c r="AS130" s="350"/>
      <c r="AT130" s="350"/>
      <c r="AU130" s="350"/>
      <c r="AV130" s="350"/>
      <c r="AW130" s="350"/>
      <c r="AX130" s="350"/>
      <c r="AY130" s="350"/>
      <c r="AZ130" s="350"/>
      <c r="BA130" s="350"/>
      <c r="BB130" s="350"/>
      <c r="BC130" s="350"/>
      <c r="BD130" s="350"/>
      <c r="BE130" s="350"/>
      <c r="BF130" s="350"/>
      <c r="BG130" s="350"/>
      <c r="BH130" s="350"/>
      <c r="BI130" s="350"/>
      <c r="BJ130" s="350"/>
      <c r="BK130" s="350"/>
      <c r="BL130" s="350"/>
      <c r="BM130" s="350"/>
      <c r="BN130" s="350"/>
      <c r="BO130" s="350"/>
      <c r="BP130" s="350"/>
      <c r="BQ130" s="350"/>
      <c r="BR130" s="350"/>
      <c r="BS130" s="350"/>
      <c r="BT130" s="350"/>
    </row>
    <row r="131" spans="1:72" s="458" customFormat="1" ht="15.75" customHeight="1" x14ac:dyDescent="0.2">
      <c r="A131" s="363"/>
      <c r="B131" s="364"/>
      <c r="C131" s="365"/>
      <c r="D131" s="365"/>
      <c r="E131" s="365" t="s">
        <v>85</v>
      </c>
      <c r="F131" s="375" t="s">
        <v>474</v>
      </c>
      <c r="G131" s="376">
        <v>295.87</v>
      </c>
      <c r="H131" s="350"/>
      <c r="I131" s="350"/>
      <c r="J131" s="350"/>
      <c r="K131" s="350"/>
      <c r="L131" s="350"/>
      <c r="M131" s="350"/>
      <c r="N131" s="350"/>
      <c r="O131" s="350"/>
      <c r="P131" s="350"/>
      <c r="Q131" s="350"/>
      <c r="R131" s="350"/>
      <c r="S131" s="350"/>
      <c r="T131" s="350"/>
      <c r="U131" s="350"/>
      <c r="V131" s="350"/>
      <c r="W131" s="350"/>
      <c r="X131" s="350"/>
      <c r="Y131" s="350"/>
      <c r="Z131" s="350"/>
      <c r="AA131" s="350"/>
      <c r="AB131" s="350"/>
      <c r="AC131" s="350"/>
      <c r="AD131" s="350"/>
      <c r="AE131" s="350"/>
      <c r="AF131" s="350"/>
      <c r="AG131" s="350"/>
      <c r="AH131" s="350"/>
      <c r="AI131" s="350"/>
      <c r="AJ131" s="350"/>
      <c r="AK131" s="350"/>
      <c r="AL131" s="350"/>
      <c r="AM131" s="350"/>
      <c r="AN131" s="350"/>
      <c r="AO131" s="350"/>
      <c r="AP131" s="350"/>
      <c r="AQ131" s="350"/>
      <c r="AR131" s="350"/>
      <c r="AS131" s="350"/>
      <c r="AT131" s="350"/>
      <c r="AU131" s="350"/>
      <c r="AV131" s="350"/>
      <c r="AW131" s="350"/>
      <c r="AX131" s="350"/>
      <c r="AY131" s="350"/>
      <c r="AZ131" s="350"/>
      <c r="BA131" s="350"/>
      <c r="BB131" s="350"/>
      <c r="BC131" s="350"/>
      <c r="BD131" s="350"/>
      <c r="BE131" s="350"/>
      <c r="BF131" s="350"/>
      <c r="BG131" s="350"/>
      <c r="BH131" s="350"/>
      <c r="BI131" s="350"/>
      <c r="BJ131" s="350"/>
      <c r="BK131" s="350"/>
      <c r="BL131" s="350"/>
      <c r="BM131" s="350"/>
      <c r="BN131" s="350"/>
      <c r="BO131" s="350"/>
      <c r="BP131" s="350"/>
      <c r="BQ131" s="350"/>
      <c r="BR131" s="350"/>
      <c r="BS131" s="350"/>
      <c r="BT131" s="350"/>
    </row>
    <row r="132" spans="1:72" s="359" customFormat="1" ht="15.75" customHeight="1" x14ac:dyDescent="0.2">
      <c r="A132" s="377"/>
      <c r="B132" s="378"/>
      <c r="C132" s="382"/>
      <c r="D132" s="365"/>
      <c r="E132" s="366"/>
      <c r="F132" s="380"/>
      <c r="G132" s="380"/>
      <c r="H132" s="358"/>
      <c r="I132" s="358"/>
      <c r="J132" s="358"/>
      <c r="K132" s="358"/>
      <c r="L132" s="358"/>
      <c r="M132" s="358"/>
      <c r="N132" s="358"/>
      <c r="O132" s="358"/>
      <c r="P132" s="358"/>
      <c r="Q132" s="358"/>
      <c r="R132" s="358"/>
      <c r="S132" s="358"/>
      <c r="T132" s="358"/>
      <c r="U132" s="358"/>
      <c r="V132" s="358"/>
      <c r="W132" s="358"/>
      <c r="X132" s="358"/>
      <c r="Y132" s="358"/>
      <c r="Z132" s="358"/>
      <c r="AA132" s="358"/>
      <c r="AB132" s="358"/>
      <c r="AC132" s="358"/>
      <c r="AD132" s="358"/>
      <c r="AE132" s="358"/>
      <c r="AF132" s="358"/>
      <c r="AG132" s="358"/>
      <c r="AH132" s="358"/>
      <c r="AI132" s="358"/>
      <c r="AJ132" s="358"/>
      <c r="AK132" s="358"/>
      <c r="AL132" s="358"/>
      <c r="AM132" s="358"/>
      <c r="AN132" s="358"/>
      <c r="AO132" s="358"/>
      <c r="AP132" s="358"/>
      <c r="AQ132" s="358"/>
      <c r="AR132" s="358"/>
      <c r="AS132" s="358"/>
      <c r="AT132" s="358"/>
      <c r="AU132" s="358"/>
      <c r="AV132" s="358"/>
      <c r="AW132" s="358"/>
      <c r="AX132" s="358"/>
      <c r="AY132" s="358"/>
      <c r="AZ132" s="358"/>
      <c r="BA132" s="358"/>
      <c r="BB132" s="358"/>
      <c r="BC132" s="358"/>
      <c r="BD132" s="358"/>
      <c r="BE132" s="358"/>
      <c r="BF132" s="358"/>
      <c r="BG132" s="358"/>
      <c r="BH132" s="358"/>
      <c r="BI132" s="358"/>
      <c r="BJ132" s="358"/>
      <c r="BK132" s="358"/>
      <c r="BL132" s="358"/>
      <c r="BM132" s="358"/>
      <c r="BN132" s="358"/>
      <c r="BO132" s="358"/>
      <c r="BP132" s="358"/>
      <c r="BQ132" s="358"/>
      <c r="BR132" s="358"/>
      <c r="BS132" s="358"/>
      <c r="BT132" s="358"/>
    </row>
    <row r="133" spans="1:72" s="359" customFormat="1" ht="27" customHeight="1" x14ac:dyDescent="0.2">
      <c r="A133" s="462"/>
      <c r="B133" s="463" t="s">
        <v>310</v>
      </c>
      <c r="C133" s="464"/>
      <c r="D133" s="465"/>
      <c r="E133" s="466"/>
      <c r="F133" s="466">
        <f>SUM(F12,F19,F28,F36,F98,F105,F113,F127)</f>
        <v>3565173.76</v>
      </c>
      <c r="G133" s="466">
        <f>SUM(G13,G20,G29,G37,G99,G106,G114,G128)</f>
        <v>3565173.76</v>
      </c>
      <c r="H133" s="358"/>
      <c r="I133" s="358"/>
      <c r="J133" s="358"/>
      <c r="K133" s="358"/>
      <c r="L133" s="358"/>
      <c r="M133" s="358"/>
      <c r="N133" s="358"/>
      <c r="O133" s="358"/>
      <c r="P133" s="358"/>
      <c r="Q133" s="358"/>
      <c r="R133" s="358"/>
      <c r="S133" s="358"/>
      <c r="T133" s="358"/>
      <c r="U133" s="358"/>
      <c r="V133" s="358"/>
      <c r="W133" s="358"/>
      <c r="X133" s="358"/>
      <c r="Y133" s="358"/>
      <c r="Z133" s="358"/>
      <c r="AA133" s="358"/>
      <c r="AB133" s="358"/>
      <c r="AC133" s="358"/>
      <c r="AD133" s="358"/>
      <c r="AE133" s="358"/>
      <c r="AF133" s="358"/>
      <c r="AG133" s="358"/>
      <c r="AH133" s="358"/>
      <c r="AI133" s="358"/>
      <c r="AJ133" s="358"/>
      <c r="AK133" s="358"/>
      <c r="AL133" s="358"/>
      <c r="AM133" s="358"/>
      <c r="AN133" s="358"/>
      <c r="AO133" s="358"/>
      <c r="AP133" s="358"/>
      <c r="AQ133" s="358"/>
      <c r="AR133" s="358"/>
      <c r="AS133" s="358"/>
      <c r="AT133" s="358"/>
      <c r="AU133" s="358"/>
      <c r="AV133" s="358"/>
      <c r="AW133" s="358"/>
      <c r="AX133" s="358"/>
      <c r="AY133" s="358"/>
      <c r="AZ133" s="358"/>
      <c r="BA133" s="358"/>
      <c r="BB133" s="358"/>
      <c r="BC133" s="358"/>
      <c r="BD133" s="358"/>
      <c r="BE133" s="358"/>
      <c r="BF133" s="358"/>
      <c r="BG133" s="358"/>
      <c r="BH133" s="358"/>
      <c r="BI133" s="358"/>
      <c r="BJ133" s="358"/>
      <c r="BK133" s="358"/>
      <c r="BL133" s="358"/>
      <c r="BM133" s="358"/>
      <c r="BN133" s="358"/>
      <c r="BO133" s="358"/>
      <c r="BP133" s="358"/>
      <c r="BQ133" s="358"/>
      <c r="BR133" s="358"/>
      <c r="BS133" s="358"/>
      <c r="BT133" s="358"/>
    </row>
    <row r="135" spans="1:72" x14ac:dyDescent="0.25">
      <c r="A135" s="467"/>
      <c r="I135" s="16"/>
    </row>
    <row r="136" spans="1:72" x14ac:dyDescent="0.25">
      <c r="F136" s="468"/>
      <c r="G136" s="16"/>
    </row>
    <row r="137" spans="1:72" x14ac:dyDescent="0.25">
      <c r="F137" s="468"/>
    </row>
  </sheetData>
  <pageMargins left="0.51181102362204722" right="0.51181102362204722" top="0.74803149606299213" bottom="0.74803149606299213" header="0.31496062992125984" footer="0.31496062992125984"/>
  <pageSetup paperSize="9" orientation="portrait" r:id="rId1"/>
  <headerFooter>
    <oddFooter>&amp;C&amp;"Arial,Pogrubiony"&amp;8&amp;P</oddFooter>
  </headerFooter>
  <rowBreaks count="2" manualBreakCount="2">
    <brk id="47" max="16383" man="1"/>
    <brk id="9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7</vt:i4>
      </vt:variant>
      <vt:variant>
        <vt:lpstr>Nazwane zakresy</vt:lpstr>
      </vt:variant>
      <vt:variant>
        <vt:i4>4</vt:i4>
      </vt:variant>
    </vt:vector>
  </HeadingPairs>
  <TitlesOfParts>
    <vt:vector size="11" baseType="lpstr">
      <vt:lpstr>Zał.Nr1</vt:lpstr>
      <vt:lpstr>Zał.Nr2</vt:lpstr>
      <vt:lpstr>Zał.Nr3</vt:lpstr>
      <vt:lpstr>Zał.Nr4</vt:lpstr>
      <vt:lpstr>Zał.Nr5</vt:lpstr>
      <vt:lpstr>Zał.Nr6</vt:lpstr>
      <vt:lpstr>Zał.Nr7</vt:lpstr>
      <vt:lpstr>Zał.Nr1!Tytuły_wydruku</vt:lpstr>
      <vt:lpstr>Zał.Nr4!Tytuły_wydruku</vt:lpstr>
      <vt:lpstr>Zał.Nr5!Tytuły_wydruku</vt:lpstr>
      <vt:lpstr>Zał.Nr7!Tytuły_wydruku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Zarządzenie nr 313/2022 Prezydenta Miasta Włocławek z dn. 31 sierpnia 2022 r.</dc:title>
  <dc:creator>Beata Duszeńska</dc:creator>
  <cp:keywords>Zarządzenie Prezydenta Miasta Włocławek</cp:keywords>
  <cp:lastModifiedBy>Karolina Budziszewska</cp:lastModifiedBy>
  <cp:lastPrinted>2022-09-06T12:23:31Z</cp:lastPrinted>
  <dcterms:created xsi:type="dcterms:W3CDTF">2022-09-06T12:02:25Z</dcterms:created>
  <dcterms:modified xsi:type="dcterms:W3CDTF">2022-09-06T12:50:15Z</dcterms:modified>
</cp:coreProperties>
</file>