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1E80BFFC-685B-4BC1-851D-0085BFB8E680}" xr6:coauthVersionLast="45" xr6:coauthVersionMax="47" xr10:uidLastSave="{00000000-0000-0000-0000-000000000000}"/>
  <bookViews>
    <workbookView xWindow="-120" yWindow="-120" windowWidth="29040" windowHeight="15840" xr2:uid="{782AD0B0-74D2-49A8-8666-27316D0ACC22}"/>
  </bookViews>
  <sheets>
    <sheet name="Zał.Nr1" sheetId="2" r:id="rId1"/>
    <sheet name="Zał.Nr2" sheetId="3" r:id="rId2"/>
  </sheets>
  <definedNames>
    <definedName name="_xlnm.Print_Titles" localSheetId="0">Zał.Nr1!$7:$9</definedName>
    <definedName name="_xlnm.Print_Titles" localSheetId="1">Zał.Nr2!$10:$11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3" l="1"/>
  <c r="G136" i="3"/>
  <c r="G134" i="3" s="1"/>
  <c r="G130" i="3"/>
  <c r="G128" i="3" s="1"/>
  <c r="G124" i="3"/>
  <c r="G122" i="3"/>
  <c r="G121" i="3"/>
  <c r="G119" i="3" s="1"/>
  <c r="G117" i="3"/>
  <c r="G116" i="3" s="1"/>
  <c r="G114" i="3" s="1"/>
  <c r="F113" i="3"/>
  <c r="G111" i="3"/>
  <c r="G110" i="3"/>
  <c r="G109" i="3"/>
  <c r="G108" i="3" s="1"/>
  <c r="G106" i="3" s="1"/>
  <c r="F105" i="3"/>
  <c r="G103" i="3"/>
  <c r="G102" i="3"/>
  <c r="G101" i="3" s="1"/>
  <c r="G99" i="3" s="1"/>
  <c r="F98" i="3"/>
  <c r="G96" i="3"/>
  <c r="G95" i="3"/>
  <c r="G94" i="3" s="1"/>
  <c r="G92" i="3" s="1"/>
  <c r="G90" i="3"/>
  <c r="G89" i="3"/>
  <c r="G88" i="3"/>
  <c r="G87" i="3"/>
  <c r="G85" i="3" s="1"/>
  <c r="G83" i="3"/>
  <c r="G82" i="3"/>
  <c r="G81" i="3"/>
  <c r="G80" i="3" s="1"/>
  <c r="G78" i="3" s="1"/>
  <c r="G76" i="3"/>
  <c r="G75" i="3"/>
  <c r="G73" i="3" s="1"/>
  <c r="G71" i="3" s="1"/>
  <c r="G69" i="3"/>
  <c r="G68" i="3"/>
  <c r="G67" i="3"/>
  <c r="G66" i="3" s="1"/>
  <c r="G64" i="3" s="1"/>
  <c r="G62" i="3"/>
  <c r="G60" i="3"/>
  <c r="G59" i="3"/>
  <c r="G58" i="3" s="1"/>
  <c r="G56" i="3" s="1"/>
  <c r="G54" i="3"/>
  <c r="G53" i="3"/>
  <c r="G52" i="3"/>
  <c r="G51" i="3"/>
  <c r="G50" i="3" s="1"/>
  <c r="G48" i="3" s="1"/>
  <c r="G46" i="3"/>
  <c r="G45" i="3"/>
  <c r="G44" i="3"/>
  <c r="G43" i="3"/>
  <c r="G42" i="3" s="1"/>
  <c r="G40" i="3" s="1"/>
  <c r="F36" i="3"/>
  <c r="G34" i="3"/>
  <c r="G33" i="3"/>
  <c r="G32" i="3"/>
  <c r="G31" i="3" s="1"/>
  <c r="G29" i="3" s="1"/>
  <c r="F28" i="3"/>
  <c r="G26" i="3"/>
  <c r="G25" i="3"/>
  <c r="G23" i="3"/>
  <c r="G22" i="3" s="1"/>
  <c r="G20" i="3" s="1"/>
  <c r="F19" i="3"/>
  <c r="G17" i="3"/>
  <c r="F12" i="3"/>
  <c r="G37" i="3" l="1"/>
  <c r="G15" i="3"/>
  <c r="G13" i="3" s="1"/>
  <c r="G139" i="3" l="1"/>
  <c r="H100" i="2" l="1"/>
  <c r="G99" i="2"/>
  <c r="F99" i="2"/>
  <c r="H99" i="2" s="1"/>
  <c r="H98" i="2"/>
  <c r="H97" i="2"/>
  <c r="G97" i="2"/>
  <c r="F97" i="2"/>
  <c r="H96" i="2"/>
  <c r="H95" i="2"/>
  <c r="H94" i="2"/>
  <c r="G93" i="2"/>
  <c r="F93" i="2"/>
  <c r="H93" i="2" s="1"/>
  <c r="G92" i="2"/>
  <c r="G91" i="2" s="1"/>
  <c r="F92" i="2"/>
  <c r="F91" i="2" s="1"/>
  <c r="H91" i="2" s="1"/>
  <c r="H90" i="2"/>
  <c r="G89" i="2"/>
  <c r="G88" i="2" s="1"/>
  <c r="G87" i="2" s="1"/>
  <c r="F89" i="2"/>
  <c r="H85" i="2"/>
  <c r="H84" i="2"/>
  <c r="H83" i="2"/>
  <c r="G82" i="2"/>
  <c r="F82" i="2"/>
  <c r="H82" i="2" s="1"/>
  <c r="G81" i="2"/>
  <c r="G80" i="2" s="1"/>
  <c r="H79" i="2"/>
  <c r="H78" i="2"/>
  <c r="H77" i="2"/>
  <c r="G76" i="2"/>
  <c r="F76" i="2"/>
  <c r="H76" i="2" s="1"/>
  <c r="G75" i="2"/>
  <c r="G74" i="2" s="1"/>
  <c r="F75" i="2"/>
  <c r="H72" i="2"/>
  <c r="H71" i="2"/>
  <c r="G70" i="2"/>
  <c r="G69" i="2" s="1"/>
  <c r="G68" i="2" s="1"/>
  <c r="F70" i="2"/>
  <c r="H67" i="2"/>
  <c r="H66" i="2"/>
  <c r="G65" i="2"/>
  <c r="G64" i="2" s="1"/>
  <c r="F65" i="2"/>
  <c r="H65" i="2" s="1"/>
  <c r="H61" i="2"/>
  <c r="G60" i="2"/>
  <c r="F60" i="2"/>
  <c r="H60" i="2" s="1"/>
  <c r="H59" i="2"/>
  <c r="G58" i="2"/>
  <c r="G57" i="2" s="1"/>
  <c r="G56" i="2" s="1"/>
  <c r="F58" i="2"/>
  <c r="H55" i="2"/>
  <c r="H54" i="2"/>
  <c r="H53" i="2"/>
  <c r="G52" i="2"/>
  <c r="G51" i="2" s="1"/>
  <c r="G50" i="2" s="1"/>
  <c r="F52" i="2"/>
  <c r="F51" i="2" s="1"/>
  <c r="H49" i="2"/>
  <c r="H48" i="2"/>
  <c r="G47" i="2"/>
  <c r="G46" i="2" s="1"/>
  <c r="G45" i="2" s="1"/>
  <c r="F47" i="2"/>
  <c r="F46" i="2" s="1"/>
  <c r="H42" i="2"/>
  <c r="G41" i="2"/>
  <c r="H41" i="2" s="1"/>
  <c r="F41" i="2"/>
  <c r="F40" i="2" s="1"/>
  <c r="F39" i="2" s="1"/>
  <c r="H38" i="2"/>
  <c r="G37" i="2"/>
  <c r="G36" i="2" s="1"/>
  <c r="G35" i="2" s="1"/>
  <c r="F37" i="2"/>
  <c r="H33" i="2"/>
  <c r="G32" i="2"/>
  <c r="H32" i="2" s="1"/>
  <c r="F32" i="2"/>
  <c r="F31" i="2"/>
  <c r="F30" i="2" s="1"/>
  <c r="F29" i="2"/>
  <c r="F28" i="2" s="1"/>
  <c r="F27" i="2" s="1"/>
  <c r="G28" i="2"/>
  <c r="G27" i="2"/>
  <c r="G26" i="2" s="1"/>
  <c r="H24" i="2"/>
  <c r="G23" i="2"/>
  <c r="F23" i="2"/>
  <c r="H23" i="2" s="1"/>
  <c r="G22" i="2"/>
  <c r="G21" i="2"/>
  <c r="H19" i="2"/>
  <c r="G18" i="2"/>
  <c r="G17" i="2" s="1"/>
  <c r="G16" i="2" s="1"/>
  <c r="F18" i="2"/>
  <c r="F17" i="2"/>
  <c r="H17" i="2" s="1"/>
  <c r="H15" i="2"/>
  <c r="G14" i="2"/>
  <c r="H14" i="2" s="1"/>
  <c r="F14" i="2"/>
  <c r="F13" i="2"/>
  <c r="F12" i="2" s="1"/>
  <c r="H37" i="2" l="1"/>
  <c r="H58" i="2"/>
  <c r="H70" i="2"/>
  <c r="H29" i="2"/>
  <c r="H75" i="2"/>
  <c r="H89" i="2"/>
  <c r="G86" i="2"/>
  <c r="F64" i="2"/>
  <c r="F63" i="2" s="1"/>
  <c r="H46" i="2"/>
  <c r="F45" i="2"/>
  <c r="H51" i="2"/>
  <c r="F50" i="2"/>
  <c r="H27" i="2"/>
  <c r="F26" i="2"/>
  <c r="H26" i="2" s="1"/>
  <c r="G44" i="2"/>
  <c r="G13" i="2"/>
  <c r="G12" i="2" s="1"/>
  <c r="G11" i="2" s="1"/>
  <c r="F16" i="2"/>
  <c r="H16" i="2" s="1"/>
  <c r="H18" i="2"/>
  <c r="G31" i="2"/>
  <c r="G30" i="2" s="1"/>
  <c r="H30" i="2" s="1"/>
  <c r="F57" i="2"/>
  <c r="G63" i="2"/>
  <c r="G62" i="2" s="1"/>
  <c r="F22" i="2"/>
  <c r="H28" i="2"/>
  <c r="H31" i="2"/>
  <c r="F36" i="2"/>
  <c r="H40" i="2"/>
  <c r="H52" i="2"/>
  <c r="F69" i="2"/>
  <c r="F74" i="2"/>
  <c r="H74" i="2" s="1"/>
  <c r="F81" i="2"/>
  <c r="F88" i="2"/>
  <c r="H92" i="2"/>
  <c r="G40" i="2"/>
  <c r="G39" i="2" s="1"/>
  <c r="G34" i="2" s="1"/>
  <c r="H47" i="2"/>
  <c r="G10" i="2" l="1"/>
  <c r="H12" i="2"/>
  <c r="G20" i="2"/>
  <c r="H64" i="2"/>
  <c r="H88" i="2"/>
  <c r="F87" i="2"/>
  <c r="H57" i="2"/>
  <c r="F56" i="2"/>
  <c r="H56" i="2" s="1"/>
  <c r="H50" i="2"/>
  <c r="H81" i="2"/>
  <c r="F80" i="2"/>
  <c r="H80" i="2" s="1"/>
  <c r="F21" i="2"/>
  <c r="H22" i="2"/>
  <c r="G43" i="2"/>
  <c r="H63" i="2"/>
  <c r="H69" i="2"/>
  <c r="F68" i="2"/>
  <c r="H36" i="2"/>
  <c r="F35" i="2"/>
  <c r="H13" i="2"/>
  <c r="F11" i="2"/>
  <c r="H45" i="2"/>
  <c r="H39" i="2"/>
  <c r="F34" i="2" l="1"/>
  <c r="H35" i="2"/>
  <c r="F44" i="2"/>
  <c r="H11" i="2"/>
  <c r="F62" i="2"/>
  <c r="H68" i="2"/>
  <c r="F86" i="2"/>
  <c r="H87" i="2"/>
  <c r="F20" i="2"/>
  <c r="H21" i="2"/>
  <c r="H20" i="2" l="1"/>
  <c r="H62" i="2"/>
  <c r="F43" i="2"/>
  <c r="H44" i="2"/>
  <c r="H86" i="2"/>
  <c r="F10" i="2"/>
  <c r="H34" i="2"/>
  <c r="H10" i="2" l="1"/>
  <c r="H43" i="2"/>
</calcChain>
</file>

<file path=xl/sharedStrings.xml><?xml version="1.0" encoding="utf-8"?>
<sst xmlns="http://schemas.openxmlformats.org/spreadsheetml/2006/main" count="351" uniqueCount="142">
  <si>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</si>
  <si>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</si>
  <si>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</si>
  <si>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</si>
  <si>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</si>
  <si>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</si>
  <si>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</si>
  <si>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</si>
  <si>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</si>
  <si>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</si>
  <si>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</si>
  <si>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</si>
  <si>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</si>
  <si>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</si>
  <si>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</si>
  <si>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Pomoc społeczna</t>
  </si>
  <si>
    <t>Ośrodki pomocy społecznej</t>
  </si>
  <si>
    <t>Organ</t>
  </si>
  <si>
    <t>2030</t>
  </si>
  <si>
    <t>dotacja celowa otrzymana z budżetu państwa na realizację własnych zadań bieżących gmin (związków gmin, związków powiatowo-gminnych)</t>
  </si>
  <si>
    <t>Edukacyjna opieka wychowawcza</t>
  </si>
  <si>
    <t>Pomoc materialna dla uczniów o charakterze socjalnym</t>
  </si>
  <si>
    <t>2040</t>
  </si>
  <si>
    <t>dotacja celowa otrzymana z budżetu państwa na realizację zadań bieżących gmin z zakresu edukacyjnej opieki wychowawczej finansowanych w całości przez budżet państwa w ramach programów rządowych</t>
  </si>
  <si>
    <t>Dochody na zadania zlecone:</t>
  </si>
  <si>
    <t>Administracja publiczna</t>
  </si>
  <si>
    <t>Urzędy wojewódzkie</t>
  </si>
  <si>
    <t>Organ - Fundusz Pomocy (nadanie numeru PESEL)</t>
  </si>
  <si>
    <t>2100</t>
  </si>
  <si>
    <t>środki z Funduszu Pomocy na finansowanie lub dofinansowanie zadań bieżących w zakresie pomocy obywatelom Ukrainy</t>
  </si>
  <si>
    <t xml:space="preserve">Bezpieczeństwo publiczne i ochrona </t>
  </si>
  <si>
    <t>przeciwpożarowa</t>
  </si>
  <si>
    <t>Pozostała działalność</t>
  </si>
  <si>
    <t>Organ - Fundusz Pomocy (świadczenie pieniężne - 40 zł za osobę dziennie)</t>
  </si>
  <si>
    <t>Pozostałe zadania w zakresie polityki społecznej</t>
  </si>
  <si>
    <t>Organ - Fundusz Pomocy (świadczenie pieniężne w wysokości 300 zł)</t>
  </si>
  <si>
    <t>Dochody na zadania rządowe:</t>
  </si>
  <si>
    <t>710</t>
  </si>
  <si>
    <t>Działalność usługowa</t>
  </si>
  <si>
    <t>Zadania z zakresu geodezji i kartografii</t>
  </si>
  <si>
    <t>dotacje celowe otrzymane z budżetu państwa na zadania bieżące z zakresu administracji rządowej oraz inne zadania zlecone ustawami realizowane przez powiat</t>
  </si>
  <si>
    <t>Zespoły do spraw orzekania o niepełnosprawności</t>
  </si>
  <si>
    <t>Organ - Fundusz Pomocy (realizacja zadań przez Miejski Zespół do Spraw Orzekania o Niepełnosprawności na rzecz obywateli Ukrainy)</t>
  </si>
  <si>
    <t>WYDATKI OGÓŁEM:</t>
  </si>
  <si>
    <t>Wydatki na zadania własne:</t>
  </si>
  <si>
    <t>71095</t>
  </si>
  <si>
    <t>Wydział Geodezji i Kartografii</t>
  </si>
  <si>
    <t>zakup usług pozostałych</t>
  </si>
  <si>
    <t xml:space="preserve">szkolenia pracowników  niebędących członkami korpusu służby cywilnej </t>
  </si>
  <si>
    <t>852</t>
  </si>
  <si>
    <t>Miejski Ośrodek Pomocy Rodzinie</t>
  </si>
  <si>
    <t>wynagrodzenia osobowe pracowników</t>
  </si>
  <si>
    <t xml:space="preserve">składki na ubezpieczenia społeczne </t>
  </si>
  <si>
    <t xml:space="preserve">składki na Fundusz Pracy oraz Fundusz Solidarnościowy </t>
  </si>
  <si>
    <t>Jednostki oświatowe zbiorczo</t>
  </si>
  <si>
    <t>Inne formy pomocy dla uczniów</t>
  </si>
  <si>
    <t>Wydział Edukacji</t>
  </si>
  <si>
    <t>Wydatki na zadania zlecone:</t>
  </si>
  <si>
    <t>Transport i łączność</t>
  </si>
  <si>
    <t>Straż Miejska - Fundusz Pomocy (zapewnienie transportu obywatelom Ukrainy)</t>
  </si>
  <si>
    <t>4210</t>
  </si>
  <si>
    <t>zakup materiałów i wyposażenia</t>
  </si>
  <si>
    <t>4350</t>
  </si>
  <si>
    <t>zakup towarów (w szczególności materiałów, leków, żywności) w związku z pomocą obywatelom Ukrainy</t>
  </si>
  <si>
    <t>Wydział Organizacyjno - Prawny i Kadr - Fundusz Pomocy (nadanie numeru PESEL)</t>
  </si>
  <si>
    <t>wynagrodzenia i uposażenia wypłacane w związku z pomocą obywatelom Ukrainy</t>
  </si>
  <si>
    <t>składki i inne pochodne od wynagrodzeń pracowników wypłacanych w związku z pomocą obywatelom Ukrainy</t>
  </si>
  <si>
    <t>Miejski Ośrodek Pomocy Rodzinie - Fundusz Pomocy (świadczenie pieniężne - 40 zł za osobę dziennie)</t>
  </si>
  <si>
    <t>świadczenia związane z udzielaniem pomocy obywatelom Ukrainy</t>
  </si>
  <si>
    <t>Miejski Ośrodek Pomocy Rodzinie - Fundusz Pomocy (świadczenie pieniężne w wysokości 300 zł)</t>
  </si>
  <si>
    <t>świadczenia społeczne wypłacane obywatelom Ukrainy przebywającym na terytorium RP</t>
  </si>
  <si>
    <t>Wydatki na zadania rządowe:</t>
  </si>
  <si>
    <t>Wydział Organizacyjno - Prawny i Kadr</t>
  </si>
  <si>
    <t>składki na Fundusz Pracy oraz Fundusz Solidarnościowy</t>
  </si>
  <si>
    <t>Miejski Zespół do Spraw Orzekania o Niepełnosprawności</t>
  </si>
  <si>
    <t>Miejski Zespół do Spraw Orzekania o Niepełnosprawności - Fundusz Pomocy (realizacja zadań przez Miejski Zespół do Spraw Orzekania o Niepełnosprawności na rzecz obywateli Ukrainy)</t>
  </si>
  <si>
    <t>do Zarządzenia NR 323/2022</t>
  </si>
  <si>
    <t>z dnia 15 września 2022 r.</t>
  </si>
  <si>
    <t>Załącznik Nr 2</t>
  </si>
  <si>
    <t>Plan dochodów i wydatków na wydzielonym rachunku Funduszu Pomocy</t>
  </si>
  <si>
    <t>dotyczącym realizacji zadań na rzecz pomocy Ukrainie</t>
  </si>
  <si>
    <t>Lp.</t>
  </si>
  <si>
    <t>Nazwa zadania</t>
  </si>
  <si>
    <t xml:space="preserve">Dział </t>
  </si>
  <si>
    <t>Rozdział</t>
  </si>
  <si>
    <t>Dochody na 2022 rok</t>
  </si>
  <si>
    <t>Wydatki na 2022 rok</t>
  </si>
  <si>
    <t>x</t>
  </si>
  <si>
    <t>1.</t>
  </si>
  <si>
    <t>Zapewnienie posiłku dzieciom i młodzieży</t>
  </si>
  <si>
    <t>85230</t>
  </si>
  <si>
    <t>3290</t>
  </si>
  <si>
    <t>4370</t>
  </si>
  <si>
    <t>2.</t>
  </si>
  <si>
    <t>Świadczenia rodzinne</t>
  </si>
  <si>
    <t>855</t>
  </si>
  <si>
    <t>85502</t>
  </si>
  <si>
    <t>4740</t>
  </si>
  <si>
    <t>4850</t>
  </si>
  <si>
    <t>3.</t>
  </si>
  <si>
    <t>Świadczenie pieniężne w wysokości          300 zł</t>
  </si>
  <si>
    <t>853</t>
  </si>
  <si>
    <t>85395</t>
  </si>
  <si>
    <t>758</t>
  </si>
  <si>
    <t>75814</t>
  </si>
  <si>
    <t>4.</t>
  </si>
  <si>
    <t>Realizacja dodatkowych zadań oświatowych</t>
  </si>
  <si>
    <t>801</t>
  </si>
  <si>
    <t>80101</t>
  </si>
  <si>
    <t>4750</t>
  </si>
  <si>
    <t>80102</t>
  </si>
  <si>
    <t>80104</t>
  </si>
  <si>
    <t>80105</t>
  </si>
  <si>
    <t>80115</t>
  </si>
  <si>
    <t>80117</t>
  </si>
  <si>
    <t>80120</t>
  </si>
  <si>
    <t>80132</t>
  </si>
  <si>
    <t>5.</t>
  </si>
  <si>
    <t>Nadanie numeru PESEL</t>
  </si>
  <si>
    <t>750</t>
  </si>
  <si>
    <t>75011</t>
  </si>
  <si>
    <t>6.</t>
  </si>
  <si>
    <t>Świadczenie pieniężne - 40 zł za osobę dziennie</t>
  </si>
  <si>
    <t>754</t>
  </si>
  <si>
    <t>75495</t>
  </si>
  <si>
    <t>3280</t>
  </si>
  <si>
    <t>7.</t>
  </si>
  <si>
    <t>Zapewnienie zakwaterowania i wyżywienia obywatelom Ukrainy</t>
  </si>
  <si>
    <t>Wydział Zarządzania Kryzysowego i Bezpieczeństwa</t>
  </si>
  <si>
    <t>Administracja Zasobów Komunalnych</t>
  </si>
  <si>
    <t>4860</t>
  </si>
  <si>
    <t>Miejski Zakład Zieleni i Usług Komunalnych</t>
  </si>
  <si>
    <t>8.</t>
  </si>
  <si>
    <t>Zapewnienie transportu obywatelom Ukrainy</t>
  </si>
  <si>
    <t>600</t>
  </si>
  <si>
    <t>60095</t>
  </si>
  <si>
    <t>Straż Miejska</t>
  </si>
  <si>
    <t>9.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</si>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</sst>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8" xfId="0" applyNumberFormat="1" applyFont="1" applyBorder="1"/>
    <xf numFmtId="0" fontId="4" fillId="0" borderId="9" xfId="0" applyFont="1" applyBorder="1"/>
    <xf numFmtId="4" fontId="4" fillId="0" borderId="10" xfId="0" applyNumberFormat="1" applyFont="1" applyBorder="1"/>
    <xf numFmtId="3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/>
    <xf numFmtId="4" fontId="4" fillId="0" borderId="10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6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4" fontId="7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3" fontId="4" fillId="0" borderId="5" xfId="0" applyNumberFormat="1" applyFont="1" applyBorder="1"/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0" borderId="4" xfId="0" applyFont="1" applyBorder="1"/>
    <xf numFmtId="4" fontId="7" fillId="0" borderId="3" xfId="0" applyNumberFormat="1" applyFont="1" applyBorder="1"/>
    <xf numFmtId="0" fontId="7" fillId="0" borderId="4" xfId="0" applyFont="1" applyBorder="1" applyAlignment="1">
      <alignment wrapText="1"/>
    </xf>
    <xf numFmtId="3" fontId="7" fillId="0" borderId="6" xfId="0" applyNumberFormat="1" applyFont="1" applyBorder="1"/>
    <xf numFmtId="4" fontId="7" fillId="0" borderId="5" xfId="0" applyNumberFormat="1" applyFont="1" applyBorder="1"/>
    <xf numFmtId="0" fontId="7" fillId="0" borderId="3" xfId="0" applyFont="1" applyBorder="1"/>
    <xf numFmtId="0" fontId="7" fillId="0" borderId="4" xfId="0" applyFont="1" applyBorder="1"/>
    <xf numFmtId="3" fontId="7" fillId="0" borderId="3" xfId="0" applyNumberFormat="1" applyFont="1" applyBorder="1"/>
    <xf numFmtId="49" fontId="7" fillId="0" borderId="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 vertical="top"/>
    </xf>
    <xf numFmtId="49" fontId="4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wrapText="1"/>
    </xf>
    <xf numFmtId="49" fontId="4" fillId="0" borderId="3" xfId="0" applyNumberFormat="1" applyFont="1" applyBorder="1"/>
    <xf numFmtId="3" fontId="8" fillId="0" borderId="3" xfId="0" applyNumberFormat="1" applyFont="1" applyBorder="1"/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49" fontId="13" fillId="0" borderId="14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0" fontId="15" fillId="0" borderId="0" xfId="0" applyFont="1"/>
    <xf numFmtId="4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9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49" fontId="13" fillId="0" borderId="16" xfId="0" applyNumberFormat="1" applyFont="1" applyBorder="1" applyAlignment="1">
      <alignment horizontal="center" vertical="center"/>
    </xf>
    <xf numFmtId="4" fontId="16" fillId="0" borderId="0" xfId="0" applyNumberFormat="1" applyFont="1"/>
    <xf numFmtId="4" fontId="13" fillId="0" borderId="3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0" applyFont="1" applyBorder="1" applyAlignment="1">
      <alignment vertical="center" wrapText="1"/>
    </xf>
    <xf numFmtId="4" fontId="7" fillId="0" borderId="11" xfId="0" applyNumberFormat="1" applyFont="1" applyBorder="1"/>
    <xf numFmtId="4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4" fontId="1" fillId="0" borderId="11" xfId="0" applyNumberFormat="1" applyFont="1" applyBorder="1"/>
    <xf numFmtId="0" fontId="1" fillId="0" borderId="12" xfId="0" applyFont="1" applyBorder="1"/>
    <xf numFmtId="0" fontId="7" fillId="0" borderId="12" xfId="0" applyFont="1" applyBorder="1"/>
    <xf numFmtId="4" fontId="1" fillId="0" borderId="11" xfId="0" applyNumberFormat="1" applyFont="1" applyBorder="1" applyAlignment="1">
      <alignment horizontal="right"/>
    </xf>
    <xf numFmtId="4" fontId="7" fillId="0" borderId="13" xfId="0" applyNumberFormat="1" applyFont="1" applyBorder="1"/>
    <xf numFmtId="0" fontId="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4" fontId="18" fillId="0" borderId="3" xfId="0" applyNumberFormat="1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9A28-B945-4ACD-B539-86B3EC4F3953}">
  <dimension ref="A1:H357"/>
  <sheetViews>
    <sheetView tabSelected="1" zoomScale="150" zoomScaleNormal="150" workbookViewId="0"/>
  </sheetViews>
  <sheetFormatPr defaultRowHeight="15" x14ac:dyDescent="0.25"/>
  <cols>
    <col min="1" max="1" width="4.140625" style="112" customWidth="1"/>
    <col min="2" max="2" width="6" style="112" customWidth="1"/>
    <col min="3" max="3" width="5" style="112" customWidth="1"/>
    <col min="4" max="4" width="39.5703125" style="112" customWidth="1"/>
    <col min="5" max="5" width="13" style="112" customWidth="1"/>
    <col min="6" max="6" width="10.5703125" style="112" customWidth="1"/>
    <col min="7" max="7" width="10.28515625" style="112" customWidth="1"/>
    <col min="8" max="8" width="13" style="112" customWidth="1"/>
    <col min="9" max="9" width="10.28515625" style="112" customWidth="1"/>
    <col min="10" max="16384" width="9.140625" style="112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76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77</v>
      </c>
      <c r="G4" s="1"/>
      <c r="H4" s="1"/>
    </row>
    <row r="5" spans="1:8" ht="19.5" customHeight="1" x14ac:dyDescent="0.25">
      <c r="A5" s="4" t="s">
        <v>2</v>
      </c>
      <c r="B5" s="113"/>
      <c r="C5" s="5"/>
      <c r="D5" s="5"/>
      <c r="E5" s="113"/>
      <c r="F5" s="113"/>
      <c r="G5" s="6"/>
      <c r="H5" s="113"/>
    </row>
    <row r="6" spans="1:8" ht="1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21" customHeight="1" thickBot="1" x14ac:dyDescent="0.25">
      <c r="A10" s="26"/>
      <c r="B10" s="26"/>
      <c r="C10" s="27"/>
      <c r="D10" s="28" t="s">
        <v>13</v>
      </c>
      <c r="E10" s="29">
        <v>811912055.79999971</v>
      </c>
      <c r="F10" s="29">
        <f>SUM(F11,F20,F34)</f>
        <v>456391.36</v>
      </c>
      <c r="G10" s="29">
        <f>SUM(G11,G20,G34)</f>
        <v>0</v>
      </c>
      <c r="H10" s="29">
        <f t="shared" ref="H10:H12" si="0">SUM(E10+F10-G10)</f>
        <v>812368447.15999973</v>
      </c>
    </row>
    <row r="11" spans="1:8" s="17" customFormat="1" ht="21.75" customHeight="1" thickBot="1" x14ac:dyDescent="0.25">
      <c r="A11" s="26"/>
      <c r="B11" s="26"/>
      <c r="C11" s="27"/>
      <c r="D11" s="30" t="s">
        <v>14</v>
      </c>
      <c r="E11" s="31">
        <v>706887713.9799999</v>
      </c>
      <c r="F11" s="31">
        <f>SUM(F12,F16)</f>
        <v>342608</v>
      </c>
      <c r="G11" s="31">
        <f>SUM(G12,G16)</f>
        <v>0</v>
      </c>
      <c r="H11" s="31">
        <f t="shared" si="0"/>
        <v>707230321.9799999</v>
      </c>
    </row>
    <row r="12" spans="1:8" s="17" customFormat="1" ht="17.25" customHeight="1" thickTop="1" thickBot="1" x14ac:dyDescent="0.25">
      <c r="A12" s="32">
        <v>852</v>
      </c>
      <c r="B12" s="32"/>
      <c r="C12" s="33"/>
      <c r="D12" s="34" t="s">
        <v>15</v>
      </c>
      <c r="E12" s="31">
        <v>23957305.02</v>
      </c>
      <c r="F12" s="35">
        <f>SUM(F13)</f>
        <v>271208</v>
      </c>
      <c r="G12" s="35">
        <f>SUM(G13)</f>
        <v>0</v>
      </c>
      <c r="H12" s="31">
        <f t="shared" si="0"/>
        <v>24228513.02</v>
      </c>
    </row>
    <row r="13" spans="1:8" s="17" customFormat="1" ht="12" customHeight="1" thickTop="1" x14ac:dyDescent="0.2">
      <c r="A13" s="32"/>
      <c r="B13" s="36">
        <v>85219</v>
      </c>
      <c r="C13" s="27"/>
      <c r="D13" s="37" t="s">
        <v>16</v>
      </c>
      <c r="E13" s="38">
        <v>1480155</v>
      </c>
      <c r="F13" s="39">
        <f t="shared" ref="F13:G13" si="1">SUM(F14)</f>
        <v>271208</v>
      </c>
      <c r="G13" s="39">
        <f t="shared" si="1"/>
        <v>0</v>
      </c>
      <c r="H13" s="38">
        <f>SUM(E13+F13-G13)</f>
        <v>1751363</v>
      </c>
    </row>
    <row r="14" spans="1:8" s="17" customFormat="1" ht="12.75" customHeight="1" x14ac:dyDescent="0.2">
      <c r="A14" s="32"/>
      <c r="B14" s="32"/>
      <c r="C14" s="66"/>
      <c r="D14" s="114" t="s">
        <v>17</v>
      </c>
      <c r="E14" s="115">
        <v>1435800</v>
      </c>
      <c r="F14" s="116">
        <f>SUM(F15:F15)</f>
        <v>271208</v>
      </c>
      <c r="G14" s="116">
        <f>SUM(G15:G15)</f>
        <v>0</v>
      </c>
      <c r="H14" s="115">
        <f t="shared" ref="H14:H15" si="2">SUM(E14+F14-G14)</f>
        <v>1707008</v>
      </c>
    </row>
    <row r="15" spans="1:8" s="17" customFormat="1" ht="33" customHeight="1" x14ac:dyDescent="0.2">
      <c r="A15" s="32"/>
      <c r="B15" s="32"/>
      <c r="C15" s="40" t="s">
        <v>18</v>
      </c>
      <c r="D15" s="41" t="s">
        <v>19</v>
      </c>
      <c r="E15" s="42">
        <v>1435800</v>
      </c>
      <c r="F15" s="42">
        <v>271208</v>
      </c>
      <c r="G15" s="43"/>
      <c r="H15" s="42">
        <f t="shared" si="2"/>
        <v>1707008</v>
      </c>
    </row>
    <row r="16" spans="1:8" s="17" customFormat="1" ht="12" customHeight="1" thickBot="1" x14ac:dyDescent="0.25">
      <c r="A16" s="44">
        <v>854</v>
      </c>
      <c r="B16" s="32"/>
      <c r="C16" s="33"/>
      <c r="D16" s="34" t="s">
        <v>20</v>
      </c>
      <c r="E16" s="35">
        <v>1031266.5700000001</v>
      </c>
      <c r="F16" s="35">
        <f>SUM(F17)</f>
        <v>71400</v>
      </c>
      <c r="G16" s="35">
        <f>SUM(G17)</f>
        <v>0</v>
      </c>
      <c r="H16" s="35">
        <f>SUM(E16+F16-G16)</f>
        <v>1102666.57</v>
      </c>
    </row>
    <row r="17" spans="1:8" s="17" customFormat="1" ht="12" customHeight="1" thickTop="1" x14ac:dyDescent="0.2">
      <c r="A17" s="44"/>
      <c r="B17" s="36">
        <v>85415</v>
      </c>
      <c r="C17" s="27"/>
      <c r="D17" s="37" t="s">
        <v>21</v>
      </c>
      <c r="E17" s="38">
        <v>705400</v>
      </c>
      <c r="F17" s="39">
        <f t="shared" ref="F17:G17" si="3">SUM(F18)</f>
        <v>71400</v>
      </c>
      <c r="G17" s="39">
        <f t="shared" si="3"/>
        <v>0</v>
      </c>
      <c r="H17" s="38">
        <f>SUM(E17+F17-G17)</f>
        <v>776800</v>
      </c>
    </row>
    <row r="18" spans="1:8" s="17" customFormat="1" ht="12" customHeight="1" x14ac:dyDescent="0.2">
      <c r="A18" s="44"/>
      <c r="B18" s="36"/>
      <c r="C18" s="27"/>
      <c r="D18" s="117" t="s">
        <v>17</v>
      </c>
      <c r="E18" s="115">
        <v>705400</v>
      </c>
      <c r="F18" s="116">
        <f>SUM(F19)</f>
        <v>71400</v>
      </c>
      <c r="G18" s="116">
        <f>SUM(G19)</f>
        <v>0</v>
      </c>
      <c r="H18" s="115">
        <f>SUM(E18+F18-G18)</f>
        <v>776800</v>
      </c>
    </row>
    <row r="19" spans="1:8" s="17" customFormat="1" ht="45.75" customHeight="1" x14ac:dyDescent="0.2">
      <c r="A19" s="45"/>
      <c r="B19" s="32"/>
      <c r="C19" s="40" t="s">
        <v>22</v>
      </c>
      <c r="D19" s="41" t="s">
        <v>23</v>
      </c>
      <c r="E19" s="42">
        <v>0</v>
      </c>
      <c r="F19" s="42">
        <v>71400</v>
      </c>
      <c r="G19" s="43"/>
      <c r="H19" s="42">
        <f t="shared" ref="H19:H44" si="4">SUM(E19+F19-G19)</f>
        <v>71400</v>
      </c>
    </row>
    <row r="20" spans="1:8" s="17" customFormat="1" ht="21" customHeight="1" thickBot="1" x14ac:dyDescent="0.25">
      <c r="A20" s="26"/>
      <c r="B20" s="26"/>
      <c r="C20" s="27"/>
      <c r="D20" s="30" t="s">
        <v>24</v>
      </c>
      <c r="E20" s="31">
        <v>84691308.299999997</v>
      </c>
      <c r="F20" s="35">
        <f>SUM(F21,F26,F30)</f>
        <v>110233.36</v>
      </c>
      <c r="G20" s="35">
        <f>SUM(G21,G26,G30)</f>
        <v>0</v>
      </c>
      <c r="H20" s="31">
        <f t="shared" si="4"/>
        <v>84801541.659999996</v>
      </c>
    </row>
    <row r="21" spans="1:8" s="17" customFormat="1" ht="17.25" customHeight="1" thickTop="1" thickBot="1" x14ac:dyDescent="0.25">
      <c r="A21" s="32">
        <v>750</v>
      </c>
      <c r="B21" s="32"/>
      <c r="C21" s="33"/>
      <c r="D21" s="34" t="s">
        <v>25</v>
      </c>
      <c r="E21" s="35">
        <v>1677049.8899999997</v>
      </c>
      <c r="F21" s="35">
        <f t="shared" ref="F21:G22" si="5">SUM(F22)</f>
        <v>991.36</v>
      </c>
      <c r="G21" s="35">
        <f t="shared" si="5"/>
        <v>0</v>
      </c>
      <c r="H21" s="35">
        <f t="shared" si="4"/>
        <v>1678041.2499999998</v>
      </c>
    </row>
    <row r="22" spans="1:8" s="17" customFormat="1" ht="12" customHeight="1" thickTop="1" x14ac:dyDescent="0.2">
      <c r="A22" s="32"/>
      <c r="B22" s="46">
        <v>75011</v>
      </c>
      <c r="C22" s="46"/>
      <c r="D22" s="47" t="s">
        <v>26</v>
      </c>
      <c r="E22" s="38">
        <v>1677049.8899999997</v>
      </c>
      <c r="F22" s="39">
        <f t="shared" si="5"/>
        <v>991.36</v>
      </c>
      <c r="G22" s="39">
        <f t="shared" si="5"/>
        <v>0</v>
      </c>
      <c r="H22" s="38">
        <f t="shared" si="4"/>
        <v>1678041.2499999998</v>
      </c>
    </row>
    <row r="23" spans="1:8" s="17" customFormat="1" ht="12" customHeight="1" x14ac:dyDescent="0.2">
      <c r="A23" s="32"/>
      <c r="B23" s="36"/>
      <c r="C23" s="27"/>
      <c r="D23" s="114" t="s">
        <v>27</v>
      </c>
      <c r="E23" s="115">
        <v>14649.89</v>
      </c>
      <c r="F23" s="116">
        <f>SUM(F24:F24)</f>
        <v>991.36</v>
      </c>
      <c r="G23" s="116">
        <f>SUM(G24:G24)</f>
        <v>0</v>
      </c>
      <c r="H23" s="115">
        <f t="shared" si="4"/>
        <v>15641.25</v>
      </c>
    </row>
    <row r="24" spans="1:8" s="17" customFormat="1" ht="32.25" customHeight="1" x14ac:dyDescent="0.2">
      <c r="A24" s="32"/>
      <c r="B24" s="36"/>
      <c r="C24" s="40" t="s">
        <v>28</v>
      </c>
      <c r="D24" s="41" t="s">
        <v>29</v>
      </c>
      <c r="E24" s="42">
        <v>14649.89</v>
      </c>
      <c r="F24" s="42">
        <v>991.36</v>
      </c>
      <c r="G24" s="43"/>
      <c r="H24" s="42">
        <f t="shared" si="4"/>
        <v>15641.25</v>
      </c>
    </row>
    <row r="25" spans="1:8" s="17" customFormat="1" ht="12" customHeight="1" x14ac:dyDescent="0.2">
      <c r="A25" s="32">
        <v>754</v>
      </c>
      <c r="B25" s="32"/>
      <c r="C25" s="33"/>
      <c r="D25" s="34" t="s">
        <v>30</v>
      </c>
      <c r="E25" s="48"/>
      <c r="F25" s="42"/>
      <c r="G25" s="42"/>
      <c r="H25" s="48"/>
    </row>
    <row r="26" spans="1:8" s="17" customFormat="1" ht="12" customHeight="1" thickBot="1" x14ac:dyDescent="0.25">
      <c r="A26" s="32"/>
      <c r="B26" s="32"/>
      <c r="C26" s="33"/>
      <c r="D26" s="34" t="s">
        <v>31</v>
      </c>
      <c r="E26" s="35">
        <v>2106132</v>
      </c>
      <c r="F26" s="35">
        <f>SUM(F27)</f>
        <v>102816</v>
      </c>
      <c r="G26" s="35">
        <f>SUM(G27)</f>
        <v>0</v>
      </c>
      <c r="H26" s="35">
        <f>SUM(E26+F26-G26)</f>
        <v>2208948</v>
      </c>
    </row>
    <row r="27" spans="1:8" s="17" customFormat="1" ht="12" customHeight="1" thickTop="1" x14ac:dyDescent="0.2">
      <c r="A27" s="36"/>
      <c r="B27" s="36">
        <v>75495</v>
      </c>
      <c r="C27" s="27"/>
      <c r="D27" s="37" t="s">
        <v>32</v>
      </c>
      <c r="E27" s="38">
        <v>2106132</v>
      </c>
      <c r="F27" s="39">
        <f>SUM(F28)</f>
        <v>102816</v>
      </c>
      <c r="G27" s="39">
        <f>SUM(G28)</f>
        <v>0</v>
      </c>
      <c r="H27" s="38">
        <f>SUM(E27+F27-G27)</f>
        <v>2208948</v>
      </c>
    </row>
    <row r="28" spans="1:8" s="17" customFormat="1" ht="21" customHeight="1" x14ac:dyDescent="0.2">
      <c r="A28" s="26"/>
      <c r="B28" s="26"/>
      <c r="C28" s="66"/>
      <c r="D28" s="114" t="s">
        <v>33</v>
      </c>
      <c r="E28" s="115">
        <v>1113192</v>
      </c>
      <c r="F28" s="116">
        <f>SUM(F29:F29)</f>
        <v>102816</v>
      </c>
      <c r="G28" s="116">
        <f>SUM(G29:G29)</f>
        <v>0</v>
      </c>
      <c r="H28" s="115">
        <f t="shared" ref="H28:H34" si="6">SUM(E28+F28-G28)</f>
        <v>1216008</v>
      </c>
    </row>
    <row r="29" spans="1:8" s="17" customFormat="1" ht="33.75" customHeight="1" x14ac:dyDescent="0.2">
      <c r="A29" s="26"/>
      <c r="B29" s="26"/>
      <c r="C29" s="40" t="s">
        <v>28</v>
      </c>
      <c r="D29" s="41" t="s">
        <v>29</v>
      </c>
      <c r="E29" s="42">
        <v>1113192</v>
      </c>
      <c r="F29" s="42">
        <f>100000+2816</f>
        <v>102816</v>
      </c>
      <c r="G29" s="43"/>
      <c r="H29" s="42">
        <f t="shared" si="6"/>
        <v>1216008</v>
      </c>
    </row>
    <row r="30" spans="1:8" s="17" customFormat="1" ht="12" customHeight="1" thickBot="1" x14ac:dyDescent="0.25">
      <c r="A30" s="32">
        <v>853</v>
      </c>
      <c r="B30" s="32"/>
      <c r="C30" s="33"/>
      <c r="D30" s="34" t="s">
        <v>34</v>
      </c>
      <c r="E30" s="35">
        <v>315486</v>
      </c>
      <c r="F30" s="35">
        <f>SUM(F31)</f>
        <v>6426</v>
      </c>
      <c r="G30" s="35">
        <f>SUM(G31)</f>
        <v>0</v>
      </c>
      <c r="H30" s="35">
        <f t="shared" si="6"/>
        <v>321912</v>
      </c>
    </row>
    <row r="31" spans="1:8" s="17" customFormat="1" ht="12" customHeight="1" thickTop="1" x14ac:dyDescent="0.2">
      <c r="A31" s="32"/>
      <c r="B31" s="36">
        <v>85395</v>
      </c>
      <c r="C31" s="27"/>
      <c r="D31" s="37" t="s">
        <v>32</v>
      </c>
      <c r="E31" s="38">
        <v>315486</v>
      </c>
      <c r="F31" s="39">
        <f t="shared" ref="F31:G31" si="7">SUM(F32)</f>
        <v>6426</v>
      </c>
      <c r="G31" s="39">
        <f t="shared" si="7"/>
        <v>0</v>
      </c>
      <c r="H31" s="38">
        <f t="shared" si="6"/>
        <v>321912</v>
      </c>
    </row>
    <row r="32" spans="1:8" s="17" customFormat="1" ht="19.5" customHeight="1" x14ac:dyDescent="0.2">
      <c r="A32" s="32"/>
      <c r="B32" s="36"/>
      <c r="C32" s="27"/>
      <c r="D32" s="118" t="s">
        <v>35</v>
      </c>
      <c r="E32" s="115">
        <v>315486</v>
      </c>
      <c r="F32" s="116">
        <f>SUM(F33:F33)</f>
        <v>6426</v>
      </c>
      <c r="G32" s="116">
        <f>SUM(G33:G33)</f>
        <v>0</v>
      </c>
      <c r="H32" s="115">
        <f t="shared" si="6"/>
        <v>321912</v>
      </c>
    </row>
    <row r="33" spans="1:8" s="17" customFormat="1" ht="33" customHeight="1" x14ac:dyDescent="0.2">
      <c r="A33" s="32"/>
      <c r="B33" s="36"/>
      <c r="C33" s="40" t="s">
        <v>28</v>
      </c>
      <c r="D33" s="41" t="s">
        <v>29</v>
      </c>
      <c r="E33" s="42">
        <v>315486</v>
      </c>
      <c r="F33" s="42">
        <v>6426</v>
      </c>
      <c r="G33" s="43"/>
      <c r="H33" s="42">
        <f t="shared" si="6"/>
        <v>321912</v>
      </c>
    </row>
    <row r="34" spans="1:8" s="17" customFormat="1" ht="17.25" customHeight="1" thickBot="1" x14ac:dyDescent="0.25">
      <c r="A34" s="26"/>
      <c r="B34" s="26"/>
      <c r="C34" s="27"/>
      <c r="D34" s="30" t="s">
        <v>36</v>
      </c>
      <c r="E34" s="31">
        <v>20333033.52</v>
      </c>
      <c r="F34" s="31">
        <f>SUM(F35,F39)</f>
        <v>3550</v>
      </c>
      <c r="G34" s="31">
        <f>SUM(G35,G39)</f>
        <v>0</v>
      </c>
      <c r="H34" s="31">
        <f t="shared" si="6"/>
        <v>20336583.52</v>
      </c>
    </row>
    <row r="35" spans="1:8" s="17" customFormat="1" ht="17.25" customHeight="1" thickTop="1" thickBot="1" x14ac:dyDescent="0.25">
      <c r="A35" s="33" t="s">
        <v>37</v>
      </c>
      <c r="B35" s="32"/>
      <c r="C35" s="33"/>
      <c r="D35" s="34" t="s">
        <v>38</v>
      </c>
      <c r="E35" s="31">
        <v>1015800</v>
      </c>
      <c r="F35" s="31">
        <f t="shared" ref="F35:G36" si="8">SUM(F36)</f>
        <v>2500</v>
      </c>
      <c r="G35" s="31">
        <f t="shared" si="8"/>
        <v>0</v>
      </c>
      <c r="H35" s="31">
        <f>SUM(E35+F35-G35)</f>
        <v>1018300</v>
      </c>
    </row>
    <row r="36" spans="1:8" s="17" customFormat="1" ht="12" customHeight="1" thickTop="1" x14ac:dyDescent="0.2">
      <c r="A36" s="33"/>
      <c r="B36" s="36">
        <v>71012</v>
      </c>
      <c r="C36" s="49"/>
      <c r="D36" s="37" t="s">
        <v>39</v>
      </c>
      <c r="E36" s="38">
        <v>332700</v>
      </c>
      <c r="F36" s="38">
        <f t="shared" si="8"/>
        <v>2500</v>
      </c>
      <c r="G36" s="38">
        <f t="shared" si="8"/>
        <v>0</v>
      </c>
      <c r="H36" s="38">
        <f>SUM(E36+F36-G36)</f>
        <v>335200</v>
      </c>
    </row>
    <row r="37" spans="1:8" s="17" customFormat="1" ht="12" customHeight="1" x14ac:dyDescent="0.2">
      <c r="A37" s="45"/>
      <c r="B37" s="36"/>
      <c r="C37" s="27"/>
      <c r="D37" s="117" t="s">
        <v>17</v>
      </c>
      <c r="E37" s="115">
        <v>332700</v>
      </c>
      <c r="F37" s="116">
        <f>SUM(F38)</f>
        <v>2500</v>
      </c>
      <c r="G37" s="116">
        <f>SUM(G38)</f>
        <v>0</v>
      </c>
      <c r="H37" s="115">
        <f>SUM(E37+F37-G37)</f>
        <v>335200</v>
      </c>
    </row>
    <row r="38" spans="1:8" s="17" customFormat="1" ht="32.25" customHeight="1" x14ac:dyDescent="0.2">
      <c r="A38" s="32"/>
      <c r="B38" s="26"/>
      <c r="C38" s="50">
        <v>2110</v>
      </c>
      <c r="D38" s="51" t="s">
        <v>40</v>
      </c>
      <c r="E38" s="48">
        <v>332700</v>
      </c>
      <c r="F38" s="42">
        <v>2500</v>
      </c>
      <c r="G38" s="42"/>
      <c r="H38" s="48">
        <f t="shared" ref="H38" si="9">SUM(E38+F38-G38)</f>
        <v>335200</v>
      </c>
    </row>
    <row r="39" spans="1:8" s="17" customFormat="1" ht="12.75" customHeight="1" thickBot="1" x14ac:dyDescent="0.25">
      <c r="A39" s="44">
        <v>853</v>
      </c>
      <c r="B39" s="32"/>
      <c r="C39" s="33"/>
      <c r="D39" s="34" t="s">
        <v>34</v>
      </c>
      <c r="E39" s="31">
        <v>485800</v>
      </c>
      <c r="F39" s="31">
        <f t="shared" ref="F39:G41" si="10">SUM(F40)</f>
        <v>1050</v>
      </c>
      <c r="G39" s="31">
        <f t="shared" si="10"/>
        <v>0</v>
      </c>
      <c r="H39" s="31">
        <f>SUM(E39+F39-G39)</f>
        <v>486850</v>
      </c>
    </row>
    <row r="40" spans="1:8" s="17" customFormat="1" ht="12.75" customHeight="1" thickTop="1" x14ac:dyDescent="0.2">
      <c r="A40" s="44"/>
      <c r="B40" s="36">
        <v>85321</v>
      </c>
      <c r="C40" s="27"/>
      <c r="D40" s="37" t="s">
        <v>41</v>
      </c>
      <c r="E40" s="38">
        <v>476560</v>
      </c>
      <c r="F40" s="38">
        <f t="shared" si="10"/>
        <v>1050</v>
      </c>
      <c r="G40" s="38">
        <f t="shared" si="10"/>
        <v>0</v>
      </c>
      <c r="H40" s="38">
        <f>SUM(E40+F40-G40)</f>
        <v>477610</v>
      </c>
    </row>
    <row r="41" spans="1:8" s="17" customFormat="1" ht="33.75" customHeight="1" x14ac:dyDescent="0.2">
      <c r="A41" s="26"/>
      <c r="B41" s="36"/>
      <c r="C41" s="27"/>
      <c r="D41" s="119" t="s">
        <v>42</v>
      </c>
      <c r="E41" s="115">
        <v>0</v>
      </c>
      <c r="F41" s="116">
        <f t="shared" si="10"/>
        <v>1050</v>
      </c>
      <c r="G41" s="116">
        <f t="shared" si="10"/>
        <v>0</v>
      </c>
      <c r="H41" s="115">
        <f>SUM(E41+F41-G41)</f>
        <v>1050</v>
      </c>
    </row>
    <row r="42" spans="1:8" s="17" customFormat="1" ht="33.75" customHeight="1" x14ac:dyDescent="0.2">
      <c r="A42" s="52"/>
      <c r="B42" s="53"/>
      <c r="C42" s="54" t="s">
        <v>28</v>
      </c>
      <c r="D42" s="55" t="s">
        <v>29</v>
      </c>
      <c r="E42" s="56">
        <v>0</v>
      </c>
      <c r="F42" s="38">
        <v>1050</v>
      </c>
      <c r="G42" s="38"/>
      <c r="H42" s="56">
        <f t="shared" ref="H42" si="11">SUM(E42+F42-G42)</f>
        <v>1050</v>
      </c>
    </row>
    <row r="43" spans="1:8" s="17" customFormat="1" ht="25.5" customHeight="1" thickBot="1" x14ac:dyDescent="0.25">
      <c r="A43" s="36"/>
      <c r="B43" s="36"/>
      <c r="C43" s="27"/>
      <c r="D43" s="28" t="s">
        <v>43</v>
      </c>
      <c r="E43" s="29">
        <v>944743896.03000021</v>
      </c>
      <c r="F43" s="29">
        <f>SUM(F44,F62,F86)</f>
        <v>469626.02999999997</v>
      </c>
      <c r="G43" s="29">
        <f>SUM(G44,G62,G86)</f>
        <v>13234.67</v>
      </c>
      <c r="H43" s="29">
        <f t="shared" si="4"/>
        <v>945200287.39000022</v>
      </c>
    </row>
    <row r="44" spans="1:8" s="17" customFormat="1" ht="17.25" customHeight="1" thickBot="1" x14ac:dyDescent="0.25">
      <c r="A44" s="36"/>
      <c r="B44" s="36"/>
      <c r="C44" s="27"/>
      <c r="D44" s="30" t="s">
        <v>44</v>
      </c>
      <c r="E44" s="31">
        <v>839719554.21000016</v>
      </c>
      <c r="F44" s="31">
        <f>SUM(F45,F50,F56)</f>
        <v>343796.8</v>
      </c>
      <c r="G44" s="31">
        <f>SUM(G45,G50,G56)</f>
        <v>1188.8</v>
      </c>
      <c r="H44" s="31">
        <f t="shared" si="4"/>
        <v>840062162.21000016</v>
      </c>
    </row>
    <row r="45" spans="1:8" s="17" customFormat="1" ht="17.25" customHeight="1" thickTop="1" thickBot="1" x14ac:dyDescent="0.25">
      <c r="A45" s="44">
        <v>710</v>
      </c>
      <c r="B45" s="32"/>
      <c r="C45" s="33"/>
      <c r="D45" s="34" t="s">
        <v>38</v>
      </c>
      <c r="E45" s="31">
        <v>3273171</v>
      </c>
      <c r="F45" s="35">
        <f>SUM(F46)</f>
        <v>1188.8</v>
      </c>
      <c r="G45" s="35">
        <f>SUM(G46)</f>
        <v>1188.8</v>
      </c>
      <c r="H45" s="31">
        <f>SUM(E45+F45-G45)</f>
        <v>3273171</v>
      </c>
    </row>
    <row r="46" spans="1:8" s="17" customFormat="1" ht="12" customHeight="1" thickTop="1" x14ac:dyDescent="0.2">
      <c r="A46" s="21"/>
      <c r="B46" s="27" t="s">
        <v>45</v>
      </c>
      <c r="C46" s="49"/>
      <c r="D46" s="37" t="s">
        <v>32</v>
      </c>
      <c r="E46" s="38">
        <v>268700</v>
      </c>
      <c r="F46" s="39">
        <f>SUM(F47)</f>
        <v>1188.8</v>
      </c>
      <c r="G46" s="39">
        <f>SUM(G47)</f>
        <v>1188.8</v>
      </c>
      <c r="H46" s="38">
        <f>SUM(E46+F46-G46)</f>
        <v>268700</v>
      </c>
    </row>
    <row r="47" spans="1:8" s="17" customFormat="1" ht="12" customHeight="1" x14ac:dyDescent="0.2">
      <c r="A47" s="44"/>
      <c r="B47" s="32"/>
      <c r="C47" s="57"/>
      <c r="D47" s="120" t="s">
        <v>46</v>
      </c>
      <c r="E47" s="121">
        <v>182500</v>
      </c>
      <c r="F47" s="116">
        <f>SUM(F48:F49)</f>
        <v>1188.8</v>
      </c>
      <c r="G47" s="116">
        <f>SUM(G48:G49)</f>
        <v>1188.8</v>
      </c>
      <c r="H47" s="115">
        <f>SUM(E47+F47-G47)</f>
        <v>182500</v>
      </c>
    </row>
    <row r="48" spans="1:8" s="17" customFormat="1" ht="12" customHeight="1" x14ac:dyDescent="0.2">
      <c r="A48" s="44"/>
      <c r="B48" s="32"/>
      <c r="C48" s="49">
        <v>4300</v>
      </c>
      <c r="D48" s="58" t="s">
        <v>47</v>
      </c>
      <c r="E48" s="59">
        <v>167000</v>
      </c>
      <c r="F48" s="48"/>
      <c r="G48" s="48">
        <v>1188.8</v>
      </c>
      <c r="H48" s="42">
        <f t="shared" ref="H48:H56" si="12">SUM(E48+F48-G48)</f>
        <v>165811.20000000001</v>
      </c>
    </row>
    <row r="49" spans="1:8" s="17" customFormat="1" ht="23.25" customHeight="1" x14ac:dyDescent="0.2">
      <c r="A49" s="32"/>
      <c r="B49" s="36"/>
      <c r="C49" s="50">
        <v>4700</v>
      </c>
      <c r="D49" s="60" t="s">
        <v>48</v>
      </c>
      <c r="E49" s="59">
        <v>0</v>
      </c>
      <c r="F49" s="48">
        <v>1188.8</v>
      </c>
      <c r="G49" s="48"/>
      <c r="H49" s="43">
        <f t="shared" si="12"/>
        <v>1188.8</v>
      </c>
    </row>
    <row r="50" spans="1:8" s="17" customFormat="1" ht="12" customHeight="1" thickBot="1" x14ac:dyDescent="0.25">
      <c r="A50" s="33" t="s">
        <v>49</v>
      </c>
      <c r="B50" s="32"/>
      <c r="C50" s="33"/>
      <c r="D50" s="34" t="s">
        <v>15</v>
      </c>
      <c r="E50" s="31">
        <v>65673763.07</v>
      </c>
      <c r="F50" s="35">
        <f>SUM(F51)</f>
        <v>271208</v>
      </c>
      <c r="G50" s="35">
        <f>SUM(G51)</f>
        <v>0</v>
      </c>
      <c r="H50" s="31">
        <f t="shared" si="12"/>
        <v>65944971.07</v>
      </c>
    </row>
    <row r="51" spans="1:8" s="17" customFormat="1" ht="12" customHeight="1" thickTop="1" x14ac:dyDescent="0.2">
      <c r="A51" s="33"/>
      <c r="B51" s="36">
        <v>85219</v>
      </c>
      <c r="C51" s="27"/>
      <c r="D51" s="61" t="s">
        <v>16</v>
      </c>
      <c r="E51" s="62">
        <v>14618417</v>
      </c>
      <c r="F51" s="39">
        <f>SUM(F52)</f>
        <v>271208</v>
      </c>
      <c r="G51" s="39">
        <f>SUM(G52)</f>
        <v>0</v>
      </c>
      <c r="H51" s="38">
        <f t="shared" si="12"/>
        <v>14889625</v>
      </c>
    </row>
    <row r="52" spans="1:8" s="17" customFormat="1" ht="12" customHeight="1" x14ac:dyDescent="0.2">
      <c r="A52" s="33"/>
      <c r="B52" s="32"/>
      <c r="C52" s="27"/>
      <c r="D52" s="122" t="s">
        <v>50</v>
      </c>
      <c r="E52" s="115">
        <v>14618417</v>
      </c>
      <c r="F52" s="116">
        <f>SUM(F53:F55)</f>
        <v>271208</v>
      </c>
      <c r="G52" s="116">
        <f>SUM(G53:G55)</f>
        <v>0</v>
      </c>
      <c r="H52" s="115">
        <f>SUM(E52+F52-G52)</f>
        <v>14889625</v>
      </c>
    </row>
    <row r="53" spans="1:8" s="17" customFormat="1" ht="12" customHeight="1" x14ac:dyDescent="0.2">
      <c r="A53" s="33"/>
      <c r="B53" s="36"/>
      <c r="C53" s="49">
        <v>4010</v>
      </c>
      <c r="D53" s="58" t="s">
        <v>51</v>
      </c>
      <c r="E53" s="59">
        <v>10322348</v>
      </c>
      <c r="F53" s="43">
        <v>226850</v>
      </c>
      <c r="G53" s="43"/>
      <c r="H53" s="43">
        <f t="shared" ref="H53:H55" si="13">SUM(E53+F53-G53)</f>
        <v>10549198</v>
      </c>
    </row>
    <row r="54" spans="1:8" s="17" customFormat="1" ht="12" customHeight="1" x14ac:dyDescent="0.2">
      <c r="A54" s="33"/>
      <c r="B54" s="36"/>
      <c r="C54" s="49">
        <v>4110</v>
      </c>
      <c r="D54" s="58" t="s">
        <v>52</v>
      </c>
      <c r="E54" s="59">
        <v>1831637</v>
      </c>
      <c r="F54" s="43">
        <v>39607</v>
      </c>
      <c r="G54" s="43"/>
      <c r="H54" s="43">
        <f t="shared" si="13"/>
        <v>1871244</v>
      </c>
    </row>
    <row r="55" spans="1:8" s="17" customFormat="1" ht="12" customHeight="1" x14ac:dyDescent="0.2">
      <c r="A55" s="33"/>
      <c r="B55" s="36"/>
      <c r="C55" s="49">
        <v>4120</v>
      </c>
      <c r="D55" s="58" t="s">
        <v>53</v>
      </c>
      <c r="E55" s="59">
        <v>211300</v>
      </c>
      <c r="F55" s="43">
        <v>4751</v>
      </c>
      <c r="G55" s="43"/>
      <c r="H55" s="43">
        <f t="shared" si="13"/>
        <v>216051</v>
      </c>
    </row>
    <row r="56" spans="1:8" s="17" customFormat="1" ht="12" customHeight="1" thickBot="1" x14ac:dyDescent="0.25">
      <c r="A56" s="32">
        <v>854</v>
      </c>
      <c r="B56" s="32"/>
      <c r="C56" s="33"/>
      <c r="D56" s="34" t="s">
        <v>20</v>
      </c>
      <c r="E56" s="31">
        <v>15337723</v>
      </c>
      <c r="F56" s="35">
        <f>SUM(F57)</f>
        <v>71400</v>
      </c>
      <c r="G56" s="35">
        <f>SUM(G57)</f>
        <v>0</v>
      </c>
      <c r="H56" s="31">
        <f t="shared" si="12"/>
        <v>15409123</v>
      </c>
    </row>
    <row r="57" spans="1:8" s="17" customFormat="1" ht="12" customHeight="1" thickTop="1" x14ac:dyDescent="0.2">
      <c r="A57" s="32"/>
      <c r="B57" s="49">
        <v>85415</v>
      </c>
      <c r="C57" s="36"/>
      <c r="D57" s="37" t="s">
        <v>21</v>
      </c>
      <c r="E57" s="62">
        <v>880400</v>
      </c>
      <c r="F57" s="38">
        <f>SUM(F58,F60)</f>
        <v>71400</v>
      </c>
      <c r="G57" s="38">
        <f>SUM(G58,G60)</f>
        <v>0</v>
      </c>
      <c r="H57" s="62">
        <f>SUM(E57+F57-G57)</f>
        <v>951800</v>
      </c>
    </row>
    <row r="58" spans="1:8" s="17" customFormat="1" ht="12" customHeight="1" x14ac:dyDescent="0.2">
      <c r="A58" s="32"/>
      <c r="B58" s="36"/>
      <c r="C58" s="27"/>
      <c r="D58" s="122" t="s">
        <v>54</v>
      </c>
      <c r="E58" s="121">
        <v>5400</v>
      </c>
      <c r="F58" s="121">
        <f>SUM(F59)</f>
        <v>71165</v>
      </c>
      <c r="G58" s="121">
        <f>SUM(G59)</f>
        <v>0</v>
      </c>
      <c r="H58" s="115">
        <f>SUM(E58+F58-G58)</f>
        <v>76565</v>
      </c>
    </row>
    <row r="59" spans="1:8" s="17" customFormat="1" ht="12" customHeight="1" x14ac:dyDescent="0.2">
      <c r="A59" s="32"/>
      <c r="B59" s="63"/>
      <c r="C59" s="57">
        <v>3260</v>
      </c>
      <c r="D59" s="64" t="s">
        <v>55</v>
      </c>
      <c r="E59" s="59">
        <v>0</v>
      </c>
      <c r="F59" s="59">
        <v>71165</v>
      </c>
      <c r="G59" s="59"/>
      <c r="H59" s="43">
        <f>SUM(E59+F59-G59)</f>
        <v>71165</v>
      </c>
    </row>
    <row r="60" spans="1:8" s="17" customFormat="1" ht="12" customHeight="1" x14ac:dyDescent="0.2">
      <c r="A60" s="32"/>
      <c r="B60" s="63"/>
      <c r="C60" s="66"/>
      <c r="D60" s="123" t="s">
        <v>56</v>
      </c>
      <c r="E60" s="115">
        <v>875000</v>
      </c>
      <c r="F60" s="115">
        <f>SUM(F61)</f>
        <v>235</v>
      </c>
      <c r="G60" s="115">
        <f>SUM(G61)</f>
        <v>0</v>
      </c>
      <c r="H60" s="124">
        <f t="shared" ref="H60:H61" si="14">SUM(E60+F60-G60)</f>
        <v>875235</v>
      </c>
    </row>
    <row r="61" spans="1:8" s="17" customFormat="1" ht="12" customHeight="1" x14ac:dyDescent="0.2">
      <c r="A61" s="32"/>
      <c r="B61" s="63"/>
      <c r="C61" s="57">
        <v>3260</v>
      </c>
      <c r="D61" s="64" t="s">
        <v>55</v>
      </c>
      <c r="E61" s="59">
        <v>50000</v>
      </c>
      <c r="F61" s="59">
        <v>235</v>
      </c>
      <c r="G61" s="59"/>
      <c r="H61" s="43">
        <f t="shared" si="14"/>
        <v>50235</v>
      </c>
    </row>
    <row r="62" spans="1:8" s="17" customFormat="1" ht="18.600000000000001" customHeight="1" thickBot="1" x14ac:dyDescent="0.25">
      <c r="A62" s="65"/>
      <c r="B62" s="36"/>
      <c r="C62" s="49"/>
      <c r="D62" s="30" t="s">
        <v>57</v>
      </c>
      <c r="E62" s="31">
        <v>84691308.299999997</v>
      </c>
      <c r="F62" s="31">
        <f>SUM(F63,F68,F74,F80)</f>
        <v>110529.23</v>
      </c>
      <c r="G62" s="31">
        <f>SUM(G63,G68,G74,G80)</f>
        <v>295.87</v>
      </c>
      <c r="H62" s="31">
        <f t="shared" ref="H62:H67" si="15">SUM(E62+F62-G62)</f>
        <v>84801541.659999996</v>
      </c>
    </row>
    <row r="63" spans="1:8" s="17" customFormat="1" ht="18.600000000000001" customHeight="1" thickTop="1" thickBot="1" x14ac:dyDescent="0.25">
      <c r="A63" s="32">
        <v>600</v>
      </c>
      <c r="B63" s="32"/>
      <c r="C63" s="33"/>
      <c r="D63" s="34" t="s">
        <v>58</v>
      </c>
      <c r="E63" s="35">
        <v>295.87</v>
      </c>
      <c r="F63" s="35">
        <f t="shared" ref="F63:G64" si="16">SUM(F64)</f>
        <v>295.87</v>
      </c>
      <c r="G63" s="35">
        <f t="shared" si="16"/>
        <v>295.87</v>
      </c>
      <c r="H63" s="35">
        <f t="shared" si="15"/>
        <v>295.87</v>
      </c>
    </row>
    <row r="64" spans="1:8" s="17" customFormat="1" ht="12" customHeight="1" thickTop="1" x14ac:dyDescent="0.2">
      <c r="A64" s="32"/>
      <c r="B64" s="46">
        <v>60095</v>
      </c>
      <c r="C64" s="46"/>
      <c r="D64" s="37" t="s">
        <v>32</v>
      </c>
      <c r="E64" s="38">
        <v>295.87</v>
      </c>
      <c r="F64" s="39">
        <f t="shared" si="16"/>
        <v>295.87</v>
      </c>
      <c r="G64" s="39">
        <f t="shared" si="16"/>
        <v>295.87</v>
      </c>
      <c r="H64" s="38">
        <f t="shared" si="15"/>
        <v>295.87</v>
      </c>
    </row>
    <row r="65" spans="1:8" s="17" customFormat="1" ht="20.25" customHeight="1" x14ac:dyDescent="0.2">
      <c r="A65" s="32"/>
      <c r="B65" s="36"/>
      <c r="C65" s="27"/>
      <c r="D65" s="114" t="s">
        <v>59</v>
      </c>
      <c r="E65" s="115">
        <v>295.87</v>
      </c>
      <c r="F65" s="116">
        <f>SUM(F66:F67)</f>
        <v>295.87</v>
      </c>
      <c r="G65" s="116">
        <f>SUM(G66:G67)</f>
        <v>295.87</v>
      </c>
      <c r="H65" s="115">
        <f t="shared" si="15"/>
        <v>295.87</v>
      </c>
    </row>
    <row r="66" spans="1:8" s="17" customFormat="1" ht="12" customHeight="1" x14ac:dyDescent="0.2">
      <c r="A66" s="32"/>
      <c r="B66" s="32"/>
      <c r="C66" s="66" t="s">
        <v>60</v>
      </c>
      <c r="D66" s="64" t="s">
        <v>61</v>
      </c>
      <c r="E66" s="48">
        <v>295.87</v>
      </c>
      <c r="F66" s="42"/>
      <c r="G66" s="42">
        <v>295.87</v>
      </c>
      <c r="H66" s="48">
        <f t="shared" si="15"/>
        <v>0</v>
      </c>
    </row>
    <row r="67" spans="1:8" s="17" customFormat="1" ht="21" customHeight="1" x14ac:dyDescent="0.2">
      <c r="A67" s="65"/>
      <c r="B67" s="36"/>
      <c r="C67" s="67" t="s">
        <v>62</v>
      </c>
      <c r="D67" s="60" t="s">
        <v>63</v>
      </c>
      <c r="E67" s="59">
        <v>0</v>
      </c>
      <c r="F67" s="59">
        <v>295.87</v>
      </c>
      <c r="G67" s="59"/>
      <c r="H67" s="48">
        <f t="shared" si="15"/>
        <v>295.87</v>
      </c>
    </row>
    <row r="68" spans="1:8" s="17" customFormat="1" ht="12" customHeight="1" thickBot="1" x14ac:dyDescent="0.25">
      <c r="A68" s="32">
        <v>750</v>
      </c>
      <c r="B68" s="32"/>
      <c r="C68" s="33"/>
      <c r="D68" s="34" t="s">
        <v>25</v>
      </c>
      <c r="E68" s="31">
        <v>1677049.8899999997</v>
      </c>
      <c r="F68" s="31">
        <f>SUM(F69)</f>
        <v>991.36</v>
      </c>
      <c r="G68" s="31">
        <f>SUM(G69)</f>
        <v>0</v>
      </c>
      <c r="H68" s="31">
        <f t="shared" ref="H68:H72" si="17">SUM(E68+F68-G68)</f>
        <v>1678041.2499999998</v>
      </c>
    </row>
    <row r="69" spans="1:8" s="17" customFormat="1" ht="12" customHeight="1" thickTop="1" x14ac:dyDescent="0.2">
      <c r="A69" s="32"/>
      <c r="B69" s="49">
        <v>75011</v>
      </c>
      <c r="C69" s="46"/>
      <c r="D69" s="47" t="s">
        <v>26</v>
      </c>
      <c r="E69" s="62">
        <v>1677049.8899999997</v>
      </c>
      <c r="F69" s="39">
        <f>SUM(F70)</f>
        <v>991.36</v>
      </c>
      <c r="G69" s="39">
        <f>SUM(G70)</f>
        <v>0</v>
      </c>
      <c r="H69" s="38">
        <f t="shared" si="17"/>
        <v>1678041.2499999998</v>
      </c>
    </row>
    <row r="70" spans="1:8" s="17" customFormat="1" ht="22.15" customHeight="1" x14ac:dyDescent="0.2">
      <c r="A70" s="32"/>
      <c r="B70" s="32"/>
      <c r="C70" s="27"/>
      <c r="D70" s="119" t="s">
        <v>64</v>
      </c>
      <c r="E70" s="125">
        <v>14649.89</v>
      </c>
      <c r="F70" s="124">
        <f>SUM(F71:F72)</f>
        <v>991.36</v>
      </c>
      <c r="G70" s="124">
        <f>SUM(G71:G72)</f>
        <v>0</v>
      </c>
      <c r="H70" s="121">
        <f t="shared" si="17"/>
        <v>15641.25</v>
      </c>
    </row>
    <row r="71" spans="1:8" s="17" customFormat="1" ht="20.25" customHeight="1" x14ac:dyDescent="0.2">
      <c r="A71" s="32"/>
      <c r="B71" s="32"/>
      <c r="C71" s="50">
        <v>4740</v>
      </c>
      <c r="D71" s="51" t="s">
        <v>65</v>
      </c>
      <c r="E71" s="48">
        <v>12244.98</v>
      </c>
      <c r="F71" s="48">
        <v>828.62</v>
      </c>
      <c r="G71" s="48"/>
      <c r="H71" s="43">
        <f t="shared" si="17"/>
        <v>13073.6</v>
      </c>
    </row>
    <row r="72" spans="1:8" s="17" customFormat="1" ht="20.45" customHeight="1" x14ac:dyDescent="0.2">
      <c r="A72" s="32"/>
      <c r="B72" s="32"/>
      <c r="C72" s="50">
        <v>4850</v>
      </c>
      <c r="D72" s="51" t="s">
        <v>66</v>
      </c>
      <c r="E72" s="48">
        <v>2404.91</v>
      </c>
      <c r="F72" s="48">
        <v>162.74</v>
      </c>
      <c r="G72" s="48"/>
      <c r="H72" s="43">
        <f t="shared" si="17"/>
        <v>2567.6499999999996</v>
      </c>
    </row>
    <row r="73" spans="1:8" s="17" customFormat="1" ht="12" customHeight="1" x14ac:dyDescent="0.2">
      <c r="A73" s="32">
        <v>754</v>
      </c>
      <c r="B73" s="32"/>
      <c r="C73" s="33"/>
      <c r="D73" s="34" t="s">
        <v>30</v>
      </c>
      <c r="E73" s="48"/>
      <c r="F73" s="42"/>
      <c r="G73" s="42"/>
      <c r="H73" s="48"/>
    </row>
    <row r="74" spans="1:8" s="17" customFormat="1" ht="12" customHeight="1" thickBot="1" x14ac:dyDescent="0.25">
      <c r="A74" s="32"/>
      <c r="B74" s="32"/>
      <c r="C74" s="33"/>
      <c r="D74" s="34" t="s">
        <v>31</v>
      </c>
      <c r="E74" s="35">
        <v>2106132</v>
      </c>
      <c r="F74" s="35">
        <f>SUM(F75)</f>
        <v>102816</v>
      </c>
      <c r="G74" s="35">
        <f>SUM(G75)</f>
        <v>0</v>
      </c>
      <c r="H74" s="35">
        <f>SUM(E74+F74-G74)</f>
        <v>2208948</v>
      </c>
    </row>
    <row r="75" spans="1:8" s="17" customFormat="1" ht="12" customHeight="1" thickTop="1" x14ac:dyDescent="0.2">
      <c r="A75" s="36"/>
      <c r="B75" s="36">
        <v>75495</v>
      </c>
      <c r="C75" s="27"/>
      <c r="D75" s="37" t="s">
        <v>32</v>
      </c>
      <c r="E75" s="38">
        <v>2106132</v>
      </c>
      <c r="F75" s="39">
        <f>SUM(F76)</f>
        <v>102816</v>
      </c>
      <c r="G75" s="39">
        <f>SUM(G76)</f>
        <v>0</v>
      </c>
      <c r="H75" s="38">
        <f>SUM(E75+F75-G75)</f>
        <v>2208948</v>
      </c>
    </row>
    <row r="76" spans="1:8" s="17" customFormat="1" ht="21.6" customHeight="1" x14ac:dyDescent="0.2">
      <c r="A76" s="36"/>
      <c r="B76" s="36"/>
      <c r="C76" s="66"/>
      <c r="D76" s="114" t="s">
        <v>67</v>
      </c>
      <c r="E76" s="115">
        <v>1113192</v>
      </c>
      <c r="F76" s="116">
        <f>SUM(F77:F79)</f>
        <v>102816</v>
      </c>
      <c r="G76" s="116">
        <f>SUM(G77:G79)</f>
        <v>0</v>
      </c>
      <c r="H76" s="115">
        <f t="shared" ref="H76:H81" si="18">SUM(E76+F76-G76)</f>
        <v>1216008</v>
      </c>
    </row>
    <row r="77" spans="1:8" s="17" customFormat="1" ht="22.5" x14ac:dyDescent="0.2">
      <c r="A77" s="36"/>
      <c r="B77" s="36"/>
      <c r="C77" s="50">
        <v>3280</v>
      </c>
      <c r="D77" s="51" t="s">
        <v>68</v>
      </c>
      <c r="E77" s="59">
        <v>1105480</v>
      </c>
      <c r="F77" s="48">
        <v>100000</v>
      </c>
      <c r="G77" s="48"/>
      <c r="H77" s="59">
        <f t="shared" si="18"/>
        <v>1205480</v>
      </c>
    </row>
    <row r="78" spans="1:8" s="17" customFormat="1" ht="22.5" customHeight="1" x14ac:dyDescent="0.2">
      <c r="A78" s="36"/>
      <c r="B78" s="36"/>
      <c r="C78" s="50">
        <v>4740</v>
      </c>
      <c r="D78" s="51" t="s">
        <v>65</v>
      </c>
      <c r="E78" s="48">
        <v>6430</v>
      </c>
      <c r="F78" s="59">
        <v>2348</v>
      </c>
      <c r="G78" s="48"/>
      <c r="H78" s="42">
        <f t="shared" si="18"/>
        <v>8778</v>
      </c>
    </row>
    <row r="79" spans="1:8" s="17" customFormat="1" ht="22.5" customHeight="1" x14ac:dyDescent="0.2">
      <c r="A79" s="36"/>
      <c r="B79" s="36"/>
      <c r="C79" s="50">
        <v>4850</v>
      </c>
      <c r="D79" s="51" t="s">
        <v>66</v>
      </c>
      <c r="E79" s="48">
        <v>1282</v>
      </c>
      <c r="F79" s="59">
        <v>468</v>
      </c>
      <c r="G79" s="48"/>
      <c r="H79" s="42">
        <f t="shared" si="18"/>
        <v>1750</v>
      </c>
    </row>
    <row r="80" spans="1:8" s="17" customFormat="1" ht="12" customHeight="1" thickBot="1" x14ac:dyDescent="0.25">
      <c r="A80" s="44">
        <v>853</v>
      </c>
      <c r="B80" s="32"/>
      <c r="C80" s="33"/>
      <c r="D80" s="34" t="s">
        <v>34</v>
      </c>
      <c r="E80" s="31">
        <v>315486</v>
      </c>
      <c r="F80" s="35">
        <f>SUM(F81)</f>
        <v>6426</v>
      </c>
      <c r="G80" s="35">
        <f>SUM(G81)</f>
        <v>0</v>
      </c>
      <c r="H80" s="31">
        <f t="shared" si="18"/>
        <v>321912</v>
      </c>
    </row>
    <row r="81" spans="1:8" s="17" customFormat="1" ht="12" customHeight="1" thickTop="1" x14ac:dyDescent="0.2">
      <c r="A81" s="33"/>
      <c r="B81" s="36">
        <v>85395</v>
      </c>
      <c r="C81" s="27"/>
      <c r="D81" s="37" t="s">
        <v>32</v>
      </c>
      <c r="E81" s="62">
        <v>315486</v>
      </c>
      <c r="F81" s="38">
        <f>SUM(F82)</f>
        <v>6426</v>
      </c>
      <c r="G81" s="38">
        <f>SUM(G82)</f>
        <v>0</v>
      </c>
      <c r="H81" s="38">
        <f t="shared" si="18"/>
        <v>321912</v>
      </c>
    </row>
    <row r="82" spans="1:8" s="17" customFormat="1" ht="21.6" customHeight="1" x14ac:dyDescent="0.2">
      <c r="A82" s="33"/>
      <c r="B82" s="36"/>
      <c r="C82" s="66"/>
      <c r="D82" s="126" t="s">
        <v>69</v>
      </c>
      <c r="E82" s="115">
        <v>315486</v>
      </c>
      <c r="F82" s="116">
        <f>SUM(F83:F85)</f>
        <v>6426</v>
      </c>
      <c r="G82" s="116">
        <f>SUM(G83:G85)</f>
        <v>0</v>
      </c>
      <c r="H82" s="115">
        <f>SUM(E82+F82-G82)</f>
        <v>321912</v>
      </c>
    </row>
    <row r="83" spans="1:8" s="17" customFormat="1" ht="21.75" customHeight="1" x14ac:dyDescent="0.2">
      <c r="A83" s="33"/>
      <c r="B83" s="36"/>
      <c r="C83" s="50">
        <v>3290</v>
      </c>
      <c r="D83" s="51" t="s">
        <v>70</v>
      </c>
      <c r="E83" s="42">
        <v>309300</v>
      </c>
      <c r="F83" s="43">
        <v>6300</v>
      </c>
      <c r="G83" s="43"/>
      <c r="H83" s="43">
        <f>SUM(E83+F83-G83)</f>
        <v>315600</v>
      </c>
    </row>
    <row r="84" spans="1:8" s="17" customFormat="1" ht="20.25" customHeight="1" x14ac:dyDescent="0.2">
      <c r="A84" s="33"/>
      <c r="B84" s="36"/>
      <c r="C84" s="50">
        <v>4740</v>
      </c>
      <c r="D84" s="51" t="s">
        <v>65</v>
      </c>
      <c r="E84" s="48">
        <v>5143</v>
      </c>
      <c r="F84" s="43">
        <v>105</v>
      </c>
      <c r="G84" s="43"/>
      <c r="H84" s="43">
        <f t="shared" ref="H84:H85" si="19">SUM(E84+F84-G84)</f>
        <v>5248</v>
      </c>
    </row>
    <row r="85" spans="1:8" s="17" customFormat="1" ht="21.6" customHeight="1" x14ac:dyDescent="0.2">
      <c r="A85" s="68"/>
      <c r="B85" s="69"/>
      <c r="C85" s="70">
        <v>4850</v>
      </c>
      <c r="D85" s="71" t="s">
        <v>66</v>
      </c>
      <c r="E85" s="56">
        <v>1043</v>
      </c>
      <c r="F85" s="39">
        <v>21</v>
      </c>
      <c r="G85" s="39"/>
      <c r="H85" s="39">
        <f t="shared" si="19"/>
        <v>1064</v>
      </c>
    </row>
    <row r="86" spans="1:8" s="17" customFormat="1" ht="18" customHeight="1" thickBot="1" x14ac:dyDescent="0.25">
      <c r="A86" s="72"/>
      <c r="B86" s="36"/>
      <c r="C86" s="49"/>
      <c r="D86" s="30" t="s">
        <v>71</v>
      </c>
      <c r="E86" s="31">
        <v>20333033.52</v>
      </c>
      <c r="F86" s="31">
        <f>SUM(F87,F91)</f>
        <v>15300</v>
      </c>
      <c r="G86" s="31">
        <f>SUM(G87,G91)</f>
        <v>11750</v>
      </c>
      <c r="H86" s="31">
        <f>SUM(E86+F86-G86)</f>
        <v>20336583.52</v>
      </c>
    </row>
    <row r="87" spans="1:8" s="17" customFormat="1" ht="20.25" customHeight="1" thickTop="1" thickBot="1" x14ac:dyDescent="0.25">
      <c r="A87" s="33" t="s">
        <v>37</v>
      </c>
      <c r="B87" s="32"/>
      <c r="C87" s="33"/>
      <c r="D87" s="34" t="s">
        <v>38</v>
      </c>
      <c r="E87" s="31">
        <v>1015800</v>
      </c>
      <c r="F87" s="31">
        <f>SUM(F88)</f>
        <v>2500</v>
      </c>
      <c r="G87" s="31">
        <f>SUM(G88)</f>
        <v>0</v>
      </c>
      <c r="H87" s="31">
        <f t="shared" ref="H87:H98" si="20">SUM(E87+F87-G87)</f>
        <v>1018300</v>
      </c>
    </row>
    <row r="88" spans="1:8" s="17" customFormat="1" ht="14.25" customHeight="1" thickTop="1" x14ac:dyDescent="0.2">
      <c r="A88" s="33"/>
      <c r="B88" s="36">
        <v>71012</v>
      </c>
      <c r="C88" s="49"/>
      <c r="D88" s="37" t="s">
        <v>39</v>
      </c>
      <c r="E88" s="62">
        <v>332700</v>
      </c>
      <c r="F88" s="39">
        <f>SUM(F89)</f>
        <v>2500</v>
      </c>
      <c r="G88" s="39">
        <f>SUM(G89)</f>
        <v>0</v>
      </c>
      <c r="H88" s="38">
        <f t="shared" si="20"/>
        <v>335200</v>
      </c>
    </row>
    <row r="89" spans="1:8" s="17" customFormat="1" ht="12" customHeight="1" x14ac:dyDescent="0.2">
      <c r="A89" s="21"/>
      <c r="B89" s="32"/>
      <c r="C89" s="27"/>
      <c r="D89" s="120" t="s">
        <v>46</v>
      </c>
      <c r="E89" s="125">
        <v>55000</v>
      </c>
      <c r="F89" s="124">
        <f>SUM(F90:F90)</f>
        <v>2500</v>
      </c>
      <c r="G89" s="124">
        <f>SUM(G90:G90)</f>
        <v>0</v>
      </c>
      <c r="H89" s="121">
        <f t="shared" si="20"/>
        <v>57500</v>
      </c>
    </row>
    <row r="90" spans="1:8" s="17" customFormat="1" ht="20.25" customHeight="1" x14ac:dyDescent="0.2">
      <c r="A90" s="44"/>
      <c r="B90" s="36"/>
      <c r="C90" s="50">
        <v>4700</v>
      </c>
      <c r="D90" s="60" t="s">
        <v>48</v>
      </c>
      <c r="E90" s="59">
        <v>0</v>
      </c>
      <c r="F90" s="59">
        <v>2500</v>
      </c>
      <c r="G90" s="59"/>
      <c r="H90" s="43">
        <f t="shared" si="20"/>
        <v>2500</v>
      </c>
    </row>
    <row r="91" spans="1:8" s="17" customFormat="1" ht="12" customHeight="1" thickBot="1" x14ac:dyDescent="0.25">
      <c r="A91" s="44">
        <v>853</v>
      </c>
      <c r="B91" s="32"/>
      <c r="C91" s="33"/>
      <c r="D91" s="34" t="s">
        <v>34</v>
      </c>
      <c r="E91" s="31">
        <v>485800</v>
      </c>
      <c r="F91" s="31">
        <f>SUM(F92)</f>
        <v>12800</v>
      </c>
      <c r="G91" s="31">
        <f>SUM(G92)</f>
        <v>11750</v>
      </c>
      <c r="H91" s="31">
        <f t="shared" si="20"/>
        <v>486850</v>
      </c>
    </row>
    <row r="92" spans="1:8" s="17" customFormat="1" ht="12" customHeight="1" thickTop="1" x14ac:dyDescent="0.2">
      <c r="A92" s="44"/>
      <c r="B92" s="36">
        <v>85321</v>
      </c>
      <c r="C92" s="27"/>
      <c r="D92" s="37" t="s">
        <v>41</v>
      </c>
      <c r="E92" s="62">
        <v>476560</v>
      </c>
      <c r="F92" s="39">
        <f>SUM(F93,F97,F99)</f>
        <v>12800</v>
      </c>
      <c r="G92" s="39">
        <f>SUM(G93,G97,G99)</f>
        <v>11750</v>
      </c>
      <c r="H92" s="38">
        <f t="shared" si="20"/>
        <v>477610</v>
      </c>
    </row>
    <row r="93" spans="1:8" s="17" customFormat="1" ht="12" customHeight="1" x14ac:dyDescent="0.2">
      <c r="A93" s="33"/>
      <c r="B93" s="36"/>
      <c r="C93" s="27"/>
      <c r="D93" s="123" t="s">
        <v>72</v>
      </c>
      <c r="E93" s="125">
        <v>253200</v>
      </c>
      <c r="F93" s="124">
        <f>SUM(F94:F96)</f>
        <v>11750</v>
      </c>
      <c r="G93" s="124">
        <f>SUM(G94:G96)</f>
        <v>0</v>
      </c>
      <c r="H93" s="121">
        <f t="shared" si="20"/>
        <v>264950</v>
      </c>
    </row>
    <row r="94" spans="1:8" s="17" customFormat="1" ht="12" customHeight="1" x14ac:dyDescent="0.2">
      <c r="A94" s="33"/>
      <c r="B94" s="32"/>
      <c r="C94" s="49">
        <v>4010</v>
      </c>
      <c r="D94" s="58" t="s">
        <v>51</v>
      </c>
      <c r="E94" s="48">
        <v>195309</v>
      </c>
      <c r="F94" s="48">
        <v>9900</v>
      </c>
      <c r="G94" s="48"/>
      <c r="H94" s="43">
        <f t="shared" si="20"/>
        <v>205209</v>
      </c>
    </row>
    <row r="95" spans="1:8" s="17" customFormat="1" ht="12" customHeight="1" x14ac:dyDescent="0.2">
      <c r="A95" s="33"/>
      <c r="B95" s="32"/>
      <c r="C95" s="49">
        <v>4110</v>
      </c>
      <c r="D95" s="58" t="s">
        <v>52</v>
      </c>
      <c r="E95" s="48">
        <v>36380</v>
      </c>
      <c r="F95" s="48">
        <v>1704</v>
      </c>
      <c r="G95" s="48"/>
      <c r="H95" s="43">
        <f t="shared" si="20"/>
        <v>38084</v>
      </c>
    </row>
    <row r="96" spans="1:8" s="17" customFormat="1" ht="12" customHeight="1" x14ac:dyDescent="0.2">
      <c r="A96" s="33"/>
      <c r="B96" s="32"/>
      <c r="C96" s="49">
        <v>4120</v>
      </c>
      <c r="D96" s="58" t="s">
        <v>73</v>
      </c>
      <c r="E96" s="48">
        <v>5185</v>
      </c>
      <c r="F96" s="48">
        <v>146</v>
      </c>
      <c r="G96" s="48"/>
      <c r="H96" s="43">
        <f t="shared" si="20"/>
        <v>5331</v>
      </c>
    </row>
    <row r="97" spans="1:8" s="17" customFormat="1" ht="12" customHeight="1" x14ac:dyDescent="0.2">
      <c r="A97" s="33"/>
      <c r="B97" s="32"/>
      <c r="C97" s="27"/>
      <c r="D97" s="122" t="s">
        <v>74</v>
      </c>
      <c r="E97" s="115">
        <v>223360</v>
      </c>
      <c r="F97" s="124">
        <f>SUM(F98:F98)</f>
        <v>0</v>
      </c>
      <c r="G97" s="124">
        <f>SUM(G98:G98)</f>
        <v>11750</v>
      </c>
      <c r="H97" s="121">
        <f t="shared" si="20"/>
        <v>211610</v>
      </c>
    </row>
    <row r="98" spans="1:8" s="17" customFormat="1" ht="12" customHeight="1" x14ac:dyDescent="0.2">
      <c r="A98" s="33"/>
      <c r="B98" s="32"/>
      <c r="C98" s="57">
        <v>4210</v>
      </c>
      <c r="D98" s="64" t="s">
        <v>61</v>
      </c>
      <c r="E98" s="48">
        <v>20000</v>
      </c>
      <c r="F98" s="48"/>
      <c r="G98" s="48">
        <v>11750</v>
      </c>
      <c r="H98" s="43">
        <f t="shared" si="20"/>
        <v>8250</v>
      </c>
    </row>
    <row r="99" spans="1:8" s="17" customFormat="1" ht="46.5" customHeight="1" x14ac:dyDescent="0.2">
      <c r="A99" s="65"/>
      <c r="B99" s="73"/>
      <c r="C99" s="27"/>
      <c r="D99" s="119" t="s">
        <v>75</v>
      </c>
      <c r="E99" s="115">
        <v>0</v>
      </c>
      <c r="F99" s="116">
        <f>SUM(F100:F100)</f>
        <v>1050</v>
      </c>
      <c r="G99" s="116">
        <f>SUM(G100:G100)</f>
        <v>0</v>
      </c>
      <c r="H99" s="115">
        <f>SUM(E99+F99-G99)</f>
        <v>1050</v>
      </c>
    </row>
    <row r="100" spans="1:8" s="17" customFormat="1" ht="22.5" customHeight="1" x14ac:dyDescent="0.2">
      <c r="A100" s="65"/>
      <c r="B100" s="73"/>
      <c r="C100" s="67" t="s">
        <v>62</v>
      </c>
      <c r="D100" s="60" t="s">
        <v>63</v>
      </c>
      <c r="E100" s="59">
        <v>0</v>
      </c>
      <c r="F100" s="48">
        <v>1050</v>
      </c>
      <c r="G100" s="48"/>
      <c r="H100" s="59">
        <f t="shared" ref="H100" si="21">SUM(E100+F100-G100)</f>
        <v>1050</v>
      </c>
    </row>
    <row r="101" spans="1:8" s="17" customFormat="1" ht="3.75" customHeight="1" x14ac:dyDescent="0.2">
      <c r="A101" s="74"/>
      <c r="B101" s="74"/>
      <c r="C101" s="75"/>
      <c r="D101" s="76"/>
      <c r="E101" s="38"/>
      <c r="F101" s="38"/>
      <c r="G101" s="38"/>
      <c r="H101" s="38"/>
    </row>
    <row r="102" spans="1:8" s="17" customFormat="1" ht="12.6" customHeight="1" x14ac:dyDescent="0.2"/>
    <row r="103" spans="1:8" s="17" customFormat="1" ht="12.6" customHeight="1" x14ac:dyDescent="0.2"/>
    <row r="104" spans="1:8" s="17" customFormat="1" ht="12.6" customHeight="1" x14ac:dyDescent="0.2"/>
    <row r="105" spans="1:8" s="17" customFormat="1" ht="12.6" customHeight="1" x14ac:dyDescent="0.2"/>
    <row r="106" spans="1:8" s="17" customFormat="1" ht="12.6" customHeight="1" x14ac:dyDescent="0.2"/>
    <row r="107" spans="1:8" s="17" customFormat="1" ht="12.6" customHeight="1" x14ac:dyDescent="0.2"/>
    <row r="108" spans="1:8" s="17" customFormat="1" ht="12.6" customHeight="1" x14ac:dyDescent="0.2"/>
    <row r="109" spans="1:8" s="17" customFormat="1" ht="12.6" customHeight="1" x14ac:dyDescent="0.2"/>
    <row r="110" spans="1:8" s="17" customFormat="1" ht="12.6" customHeight="1" x14ac:dyDescent="0.2"/>
    <row r="111" spans="1:8" s="17" customFormat="1" ht="12.6" customHeight="1" x14ac:dyDescent="0.2"/>
    <row r="112" spans="1:8" s="17" customFormat="1" ht="12.6" customHeight="1" x14ac:dyDescent="0.2"/>
    <row r="113" s="17" customFormat="1" ht="12.6" customHeight="1" x14ac:dyDescent="0.2"/>
    <row r="114" s="17" customFormat="1" ht="12.6" customHeight="1" x14ac:dyDescent="0.2"/>
    <row r="115" s="17" customFormat="1" ht="12.6" customHeight="1" x14ac:dyDescent="0.2"/>
    <row r="116" s="17" customFormat="1" ht="12.6" customHeight="1" x14ac:dyDescent="0.2"/>
    <row r="117" s="17" customFormat="1" ht="12.6" customHeight="1" x14ac:dyDescent="0.2"/>
    <row r="118" s="17" customFormat="1" ht="12.6" customHeight="1" x14ac:dyDescent="0.2"/>
    <row r="119" s="17" customFormat="1" ht="12.6" customHeight="1" x14ac:dyDescent="0.2"/>
    <row r="120" s="17" customFormat="1" ht="12.6" customHeight="1" x14ac:dyDescent="0.2"/>
    <row r="121" s="17" customFormat="1" ht="12.6" customHeight="1" x14ac:dyDescent="0.2"/>
    <row r="122" s="17" customFormat="1" ht="12.6" customHeight="1" x14ac:dyDescent="0.2"/>
    <row r="123" s="17" customFormat="1" ht="12.6" customHeight="1" x14ac:dyDescent="0.2"/>
    <row r="124" s="17" customFormat="1" ht="12.6" customHeight="1" x14ac:dyDescent="0.2"/>
    <row r="125" s="17" customFormat="1" ht="12.6" customHeight="1" x14ac:dyDescent="0.2"/>
    <row r="126" s="17" customFormat="1" ht="12.6" customHeight="1" x14ac:dyDescent="0.2"/>
    <row r="127" s="17" customFormat="1" ht="12.6" customHeight="1" x14ac:dyDescent="0.2"/>
    <row r="128" s="17" customFormat="1" ht="12.6" customHeight="1" x14ac:dyDescent="0.2"/>
    <row r="129" s="17" customFormat="1" ht="12.6" customHeight="1" x14ac:dyDescent="0.2"/>
    <row r="130" s="17" customFormat="1" ht="12.6" customHeight="1" x14ac:dyDescent="0.2"/>
    <row r="131" s="17" customFormat="1" ht="12.6" customHeight="1" x14ac:dyDescent="0.2"/>
    <row r="132" s="17" customFormat="1" ht="12.6" customHeight="1" x14ac:dyDescent="0.2"/>
    <row r="133" s="17" customFormat="1" ht="12.6" customHeight="1" x14ac:dyDescent="0.2"/>
    <row r="134" s="17" customFormat="1" ht="12.6" customHeight="1" x14ac:dyDescent="0.2"/>
    <row r="135" s="17" customFormat="1" ht="12.6" customHeight="1" x14ac:dyDescent="0.2"/>
    <row r="136" s="17" customFormat="1" ht="12.6" customHeight="1" x14ac:dyDescent="0.2"/>
    <row r="137" s="17" customFormat="1" ht="12.6" customHeight="1" x14ac:dyDescent="0.2"/>
    <row r="138" s="17" customFormat="1" ht="12.6" customHeight="1" x14ac:dyDescent="0.2"/>
    <row r="139" s="17" customFormat="1" ht="12.6" customHeight="1" x14ac:dyDescent="0.2"/>
    <row r="140" s="17" customFormat="1" ht="12.2" customHeight="1" x14ac:dyDescent="0.2"/>
    <row r="141" s="17" customFormat="1" ht="12.2" customHeight="1" x14ac:dyDescent="0.2"/>
    <row r="142" s="17" customFormat="1" ht="12.2" customHeight="1" x14ac:dyDescent="0.2"/>
    <row r="143" s="17" customFormat="1" ht="12.95" customHeight="1" x14ac:dyDescent="0.2"/>
    <row r="144" s="17" customFormat="1" ht="12.95" customHeight="1" x14ac:dyDescent="0.2"/>
    <row r="145" s="17" customFormat="1" ht="12.95" customHeight="1" x14ac:dyDescent="0.2"/>
    <row r="146" s="17" customFormat="1" ht="12.95" customHeight="1" x14ac:dyDescent="0.2"/>
    <row r="147" s="17" customFormat="1" ht="12.95" customHeight="1" x14ac:dyDescent="0.2"/>
    <row r="148" s="17" customFormat="1" ht="12.95" customHeight="1" x14ac:dyDescent="0.2"/>
    <row r="149" s="17" customFormat="1" ht="12.95" customHeight="1" x14ac:dyDescent="0.2"/>
    <row r="150" s="17" customFormat="1" ht="12.95" customHeight="1" x14ac:dyDescent="0.2"/>
    <row r="151" s="17" customFormat="1" ht="12.95" customHeight="1" x14ac:dyDescent="0.2"/>
    <row r="152" s="17" customFormat="1" ht="12.95" customHeight="1" x14ac:dyDescent="0.2"/>
    <row r="153" s="17" customFormat="1" ht="12.95" customHeight="1" x14ac:dyDescent="0.2"/>
    <row r="154" s="17" customFormat="1" ht="12.95" customHeight="1" x14ac:dyDescent="0.2"/>
    <row r="155" s="17" customFormat="1" ht="12.95" customHeight="1" x14ac:dyDescent="0.2"/>
    <row r="156" s="17" customFormat="1" ht="12.95" customHeight="1" x14ac:dyDescent="0.2"/>
    <row r="157" s="17" customFormat="1" ht="12.95" customHeight="1" x14ac:dyDescent="0.2"/>
    <row r="158" s="17" customFormat="1" ht="12.95" customHeight="1" x14ac:dyDescent="0.2"/>
    <row r="159" s="17" customFormat="1" ht="12.95" customHeight="1" x14ac:dyDescent="0.2"/>
    <row r="160" s="17" customFormat="1" ht="12.95" customHeight="1" x14ac:dyDescent="0.2"/>
    <row r="161" s="17" customFormat="1" ht="12.95" customHeight="1" x14ac:dyDescent="0.2"/>
    <row r="162" s="17" customFormat="1" ht="12.95" customHeight="1" x14ac:dyDescent="0.2"/>
    <row r="163" s="17" customFormat="1" ht="12.95" customHeight="1" x14ac:dyDescent="0.2"/>
    <row r="164" s="17" customFormat="1" ht="12.95" customHeight="1" x14ac:dyDescent="0.2"/>
    <row r="165" s="17" customFormat="1" ht="12.95" customHeight="1" x14ac:dyDescent="0.2"/>
    <row r="166" s="17" customFormat="1" ht="12.95" customHeight="1" x14ac:dyDescent="0.2"/>
    <row r="167" s="17" customFormat="1" ht="12.95" customHeight="1" x14ac:dyDescent="0.2"/>
    <row r="168" s="17" customFormat="1" ht="12.95" customHeight="1" x14ac:dyDescent="0.2"/>
    <row r="169" s="17" customFormat="1" ht="12.95" customHeight="1" x14ac:dyDescent="0.2"/>
    <row r="170" s="17" customFormat="1" ht="12.95" customHeight="1" x14ac:dyDescent="0.2"/>
    <row r="171" s="17" customFormat="1" ht="12.95" customHeight="1" x14ac:dyDescent="0.2"/>
    <row r="172" s="17" customFormat="1" ht="12.95" customHeight="1" x14ac:dyDescent="0.2"/>
    <row r="173" s="17" customFormat="1" ht="12.95" customHeight="1" x14ac:dyDescent="0.2"/>
    <row r="174" s="17" customFormat="1" ht="12.95" customHeight="1" x14ac:dyDescent="0.2"/>
    <row r="175" s="17" customFormat="1" ht="12.95" customHeight="1" x14ac:dyDescent="0.2"/>
    <row r="176" s="17" customFormat="1" ht="12.95" customHeight="1" x14ac:dyDescent="0.2"/>
    <row r="177" s="17" customFormat="1" ht="12.95" customHeight="1" x14ac:dyDescent="0.2"/>
    <row r="178" s="17" customFormat="1" ht="12.95" customHeight="1" x14ac:dyDescent="0.2"/>
    <row r="179" s="17" customFormat="1" ht="12.95" customHeight="1" x14ac:dyDescent="0.2"/>
    <row r="180" s="17" customFormat="1" ht="12.95" customHeight="1" x14ac:dyDescent="0.2"/>
    <row r="181" s="17" customFormat="1" ht="12.95" customHeight="1" x14ac:dyDescent="0.2"/>
    <row r="182" s="17" customFormat="1" ht="12.95" customHeight="1" x14ac:dyDescent="0.2"/>
    <row r="183" s="17" customFormat="1" ht="12.95" customHeight="1" x14ac:dyDescent="0.2"/>
    <row r="184" s="17" customFormat="1" ht="12.95" customHeight="1" x14ac:dyDescent="0.2"/>
    <row r="185" s="17" customFormat="1" ht="12.95" customHeight="1" x14ac:dyDescent="0.2"/>
    <row r="186" s="17" customFormat="1" ht="12.95" customHeight="1" x14ac:dyDescent="0.2"/>
    <row r="187" s="17" customFormat="1" ht="12.95" customHeight="1" x14ac:dyDescent="0.2"/>
    <row r="188" s="17" customFormat="1" ht="12.95" customHeight="1" x14ac:dyDescent="0.2"/>
    <row r="189" s="17" customFormat="1" ht="12.95" customHeight="1" x14ac:dyDescent="0.2"/>
    <row r="190" s="17" customFormat="1" ht="12.95" customHeight="1" x14ac:dyDescent="0.2"/>
    <row r="191" s="17" customFormat="1" ht="12.95" customHeight="1" x14ac:dyDescent="0.2"/>
    <row r="192" s="17" customFormat="1" ht="12.95" customHeight="1" x14ac:dyDescent="0.2"/>
    <row r="193" s="17" customFormat="1" ht="12.95" customHeight="1" x14ac:dyDescent="0.2"/>
    <row r="194" s="17" customFormat="1" ht="12.95" customHeight="1" x14ac:dyDescent="0.2"/>
    <row r="195" s="17" customFormat="1" ht="12.95" customHeight="1" x14ac:dyDescent="0.2"/>
    <row r="196" s="17" customFormat="1" ht="12.95" customHeight="1" x14ac:dyDescent="0.2"/>
    <row r="197" s="17" customFormat="1" ht="12.95" customHeight="1" x14ac:dyDescent="0.2"/>
    <row r="198" s="17" customFormat="1" ht="12.95" customHeight="1" x14ac:dyDescent="0.2"/>
    <row r="199" s="17" customFormat="1" ht="12.95" customHeight="1" x14ac:dyDescent="0.2"/>
    <row r="200" s="17" customFormat="1" ht="12.95" customHeight="1" x14ac:dyDescent="0.2"/>
    <row r="201" s="17" customFormat="1" ht="12.95" customHeight="1" x14ac:dyDescent="0.2"/>
    <row r="202" s="17" customFormat="1" ht="12.95" customHeight="1" x14ac:dyDescent="0.2"/>
    <row r="203" s="17" customFormat="1" ht="12.95" customHeight="1" x14ac:dyDescent="0.2"/>
    <row r="204" s="17" customFormat="1" ht="12.95" customHeight="1" x14ac:dyDescent="0.2"/>
    <row r="205" s="17" customFormat="1" ht="12.95" customHeight="1" x14ac:dyDescent="0.2"/>
    <row r="206" s="17" customFormat="1" ht="12.95" customHeight="1" x14ac:dyDescent="0.2"/>
    <row r="207" s="17" customFormat="1" ht="12.95" customHeight="1" x14ac:dyDescent="0.2"/>
    <row r="208" s="17" customFormat="1" ht="12.95" customHeight="1" x14ac:dyDescent="0.2"/>
    <row r="209" s="17" customFormat="1" ht="12.95" customHeight="1" x14ac:dyDescent="0.2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B794-375B-4B59-B75E-18EB30EC1CDE}">
  <dimension ref="A1:BX143"/>
  <sheetViews>
    <sheetView zoomScale="130" zoomScaleNormal="130" workbookViewId="0">
      <selection activeCell="B4" sqref="B4"/>
    </sheetView>
  </sheetViews>
  <sheetFormatPr defaultRowHeight="15" x14ac:dyDescent="0.25"/>
  <cols>
    <col min="1" max="1" width="4.85546875" style="127" customWidth="1"/>
    <col min="2" max="2" width="33.42578125" style="127" customWidth="1"/>
    <col min="3" max="3" width="8.5703125" style="127" customWidth="1"/>
    <col min="4" max="4" width="9.42578125" style="127" customWidth="1"/>
    <col min="5" max="5" width="8.140625" style="127" customWidth="1"/>
    <col min="6" max="6" width="13" style="112" customWidth="1"/>
    <col min="7" max="7" width="12.85546875" style="112" customWidth="1"/>
    <col min="8" max="8" width="9.140625" style="112"/>
    <col min="9" max="9" width="12.42578125" style="112" customWidth="1"/>
    <col min="10" max="76" width="9.140625" style="112"/>
    <col min="77" max="253" width="9.140625" style="127"/>
    <col min="254" max="254" width="5.28515625" style="127" customWidth="1"/>
    <col min="255" max="255" width="8" style="127" customWidth="1"/>
    <col min="256" max="256" width="5.85546875" style="127" customWidth="1"/>
    <col min="257" max="257" width="9.42578125" style="127" customWidth="1"/>
    <col min="258" max="258" width="11.28515625" style="127" customWidth="1"/>
    <col min="259" max="259" width="11" style="127" customWidth="1"/>
    <col min="260" max="260" width="13.140625" style="127" customWidth="1"/>
    <col min="261" max="261" width="11.7109375" style="127" customWidth="1"/>
    <col min="262" max="262" width="11.140625" style="127" customWidth="1"/>
    <col min="263" max="263" width="11.7109375" style="127" customWidth="1"/>
    <col min="264" max="509" width="9.140625" style="127"/>
    <col min="510" max="510" width="5.28515625" style="127" customWidth="1"/>
    <col min="511" max="511" width="8" style="127" customWidth="1"/>
    <col min="512" max="512" width="5.85546875" style="127" customWidth="1"/>
    <col min="513" max="513" width="9.42578125" style="127" customWidth="1"/>
    <col min="514" max="514" width="11.28515625" style="127" customWidth="1"/>
    <col min="515" max="515" width="11" style="127" customWidth="1"/>
    <col min="516" max="516" width="13.140625" style="127" customWidth="1"/>
    <col min="517" max="517" width="11.7109375" style="127" customWidth="1"/>
    <col min="518" max="518" width="11.140625" style="127" customWidth="1"/>
    <col min="519" max="519" width="11.7109375" style="127" customWidth="1"/>
    <col min="520" max="765" width="9.140625" style="127"/>
    <col min="766" max="766" width="5.28515625" style="127" customWidth="1"/>
    <col min="767" max="767" width="8" style="127" customWidth="1"/>
    <col min="768" max="768" width="5.85546875" style="127" customWidth="1"/>
    <col min="769" max="769" width="9.42578125" style="127" customWidth="1"/>
    <col min="770" max="770" width="11.28515625" style="127" customWidth="1"/>
    <col min="771" max="771" width="11" style="127" customWidth="1"/>
    <col min="772" max="772" width="13.140625" style="127" customWidth="1"/>
    <col min="773" max="773" width="11.7109375" style="127" customWidth="1"/>
    <col min="774" max="774" width="11.140625" style="127" customWidth="1"/>
    <col min="775" max="775" width="11.7109375" style="127" customWidth="1"/>
    <col min="776" max="1021" width="9.140625" style="127"/>
    <col min="1022" max="1022" width="5.28515625" style="127" customWidth="1"/>
    <col min="1023" max="1023" width="8" style="127" customWidth="1"/>
    <col min="1024" max="1024" width="5.85546875" style="127" customWidth="1"/>
    <col min="1025" max="1025" width="9.42578125" style="127" customWidth="1"/>
    <col min="1026" max="1026" width="11.28515625" style="127" customWidth="1"/>
    <col min="1027" max="1027" width="11" style="127" customWidth="1"/>
    <col min="1028" max="1028" width="13.140625" style="127" customWidth="1"/>
    <col min="1029" max="1029" width="11.7109375" style="127" customWidth="1"/>
    <col min="1030" max="1030" width="11.140625" style="127" customWidth="1"/>
    <col min="1031" max="1031" width="11.7109375" style="127" customWidth="1"/>
    <col min="1032" max="1277" width="9.140625" style="127"/>
    <col min="1278" max="1278" width="5.28515625" style="127" customWidth="1"/>
    <col min="1279" max="1279" width="8" style="127" customWidth="1"/>
    <col min="1280" max="1280" width="5.85546875" style="127" customWidth="1"/>
    <col min="1281" max="1281" width="9.42578125" style="127" customWidth="1"/>
    <col min="1282" max="1282" width="11.28515625" style="127" customWidth="1"/>
    <col min="1283" max="1283" width="11" style="127" customWidth="1"/>
    <col min="1284" max="1284" width="13.140625" style="127" customWidth="1"/>
    <col min="1285" max="1285" width="11.7109375" style="127" customWidth="1"/>
    <col min="1286" max="1286" width="11.140625" style="127" customWidth="1"/>
    <col min="1287" max="1287" width="11.7109375" style="127" customWidth="1"/>
    <col min="1288" max="1533" width="9.140625" style="127"/>
    <col min="1534" max="1534" width="5.28515625" style="127" customWidth="1"/>
    <col min="1535" max="1535" width="8" style="127" customWidth="1"/>
    <col min="1536" max="1536" width="5.85546875" style="127" customWidth="1"/>
    <col min="1537" max="1537" width="9.42578125" style="127" customWidth="1"/>
    <col min="1538" max="1538" width="11.28515625" style="127" customWidth="1"/>
    <col min="1539" max="1539" width="11" style="127" customWidth="1"/>
    <col min="1540" max="1540" width="13.140625" style="127" customWidth="1"/>
    <col min="1541" max="1541" width="11.7109375" style="127" customWidth="1"/>
    <col min="1542" max="1542" width="11.140625" style="127" customWidth="1"/>
    <col min="1543" max="1543" width="11.7109375" style="127" customWidth="1"/>
    <col min="1544" max="1789" width="9.140625" style="127"/>
    <col min="1790" max="1790" width="5.28515625" style="127" customWidth="1"/>
    <col min="1791" max="1791" width="8" style="127" customWidth="1"/>
    <col min="1792" max="1792" width="5.85546875" style="127" customWidth="1"/>
    <col min="1793" max="1793" width="9.42578125" style="127" customWidth="1"/>
    <col min="1794" max="1794" width="11.28515625" style="127" customWidth="1"/>
    <col min="1795" max="1795" width="11" style="127" customWidth="1"/>
    <col min="1796" max="1796" width="13.140625" style="127" customWidth="1"/>
    <col min="1797" max="1797" width="11.7109375" style="127" customWidth="1"/>
    <col min="1798" max="1798" width="11.140625" style="127" customWidth="1"/>
    <col min="1799" max="1799" width="11.7109375" style="127" customWidth="1"/>
    <col min="1800" max="2045" width="9.140625" style="127"/>
    <col min="2046" max="2046" width="5.28515625" style="127" customWidth="1"/>
    <col min="2047" max="2047" width="8" style="127" customWidth="1"/>
    <col min="2048" max="2048" width="5.85546875" style="127" customWidth="1"/>
    <col min="2049" max="2049" width="9.42578125" style="127" customWidth="1"/>
    <col min="2050" max="2050" width="11.28515625" style="127" customWidth="1"/>
    <col min="2051" max="2051" width="11" style="127" customWidth="1"/>
    <col min="2052" max="2052" width="13.140625" style="127" customWidth="1"/>
    <col min="2053" max="2053" width="11.7109375" style="127" customWidth="1"/>
    <col min="2054" max="2054" width="11.140625" style="127" customWidth="1"/>
    <col min="2055" max="2055" width="11.7109375" style="127" customWidth="1"/>
    <col min="2056" max="2301" width="9.140625" style="127"/>
    <col min="2302" max="2302" width="5.28515625" style="127" customWidth="1"/>
    <col min="2303" max="2303" width="8" style="127" customWidth="1"/>
    <col min="2304" max="2304" width="5.85546875" style="127" customWidth="1"/>
    <col min="2305" max="2305" width="9.42578125" style="127" customWidth="1"/>
    <col min="2306" max="2306" width="11.28515625" style="127" customWidth="1"/>
    <col min="2307" max="2307" width="11" style="127" customWidth="1"/>
    <col min="2308" max="2308" width="13.140625" style="127" customWidth="1"/>
    <col min="2309" max="2309" width="11.7109375" style="127" customWidth="1"/>
    <col min="2310" max="2310" width="11.140625" style="127" customWidth="1"/>
    <col min="2311" max="2311" width="11.7109375" style="127" customWidth="1"/>
    <col min="2312" max="2557" width="9.140625" style="127"/>
    <col min="2558" max="2558" width="5.28515625" style="127" customWidth="1"/>
    <col min="2559" max="2559" width="8" style="127" customWidth="1"/>
    <col min="2560" max="2560" width="5.85546875" style="127" customWidth="1"/>
    <col min="2561" max="2561" width="9.42578125" style="127" customWidth="1"/>
    <col min="2562" max="2562" width="11.28515625" style="127" customWidth="1"/>
    <col min="2563" max="2563" width="11" style="127" customWidth="1"/>
    <col min="2564" max="2564" width="13.140625" style="127" customWidth="1"/>
    <col min="2565" max="2565" width="11.7109375" style="127" customWidth="1"/>
    <col min="2566" max="2566" width="11.140625" style="127" customWidth="1"/>
    <col min="2567" max="2567" width="11.7109375" style="127" customWidth="1"/>
    <col min="2568" max="2813" width="9.140625" style="127"/>
    <col min="2814" max="2814" width="5.28515625" style="127" customWidth="1"/>
    <col min="2815" max="2815" width="8" style="127" customWidth="1"/>
    <col min="2816" max="2816" width="5.85546875" style="127" customWidth="1"/>
    <col min="2817" max="2817" width="9.42578125" style="127" customWidth="1"/>
    <col min="2818" max="2818" width="11.28515625" style="127" customWidth="1"/>
    <col min="2819" max="2819" width="11" style="127" customWidth="1"/>
    <col min="2820" max="2820" width="13.140625" style="127" customWidth="1"/>
    <col min="2821" max="2821" width="11.7109375" style="127" customWidth="1"/>
    <col min="2822" max="2822" width="11.140625" style="127" customWidth="1"/>
    <col min="2823" max="2823" width="11.7109375" style="127" customWidth="1"/>
    <col min="2824" max="3069" width="9.140625" style="127"/>
    <col min="3070" max="3070" width="5.28515625" style="127" customWidth="1"/>
    <col min="3071" max="3071" width="8" style="127" customWidth="1"/>
    <col min="3072" max="3072" width="5.85546875" style="127" customWidth="1"/>
    <col min="3073" max="3073" width="9.42578125" style="127" customWidth="1"/>
    <col min="3074" max="3074" width="11.28515625" style="127" customWidth="1"/>
    <col min="3075" max="3075" width="11" style="127" customWidth="1"/>
    <col min="3076" max="3076" width="13.140625" style="127" customWidth="1"/>
    <col min="3077" max="3077" width="11.7109375" style="127" customWidth="1"/>
    <col min="3078" max="3078" width="11.140625" style="127" customWidth="1"/>
    <col min="3079" max="3079" width="11.7109375" style="127" customWidth="1"/>
    <col min="3080" max="3325" width="9.140625" style="127"/>
    <col min="3326" max="3326" width="5.28515625" style="127" customWidth="1"/>
    <col min="3327" max="3327" width="8" style="127" customWidth="1"/>
    <col min="3328" max="3328" width="5.85546875" style="127" customWidth="1"/>
    <col min="3329" max="3329" width="9.42578125" style="127" customWidth="1"/>
    <col min="3330" max="3330" width="11.28515625" style="127" customWidth="1"/>
    <col min="3331" max="3331" width="11" style="127" customWidth="1"/>
    <col min="3332" max="3332" width="13.140625" style="127" customWidth="1"/>
    <col min="3333" max="3333" width="11.7109375" style="127" customWidth="1"/>
    <col min="3334" max="3334" width="11.140625" style="127" customWidth="1"/>
    <col min="3335" max="3335" width="11.7109375" style="127" customWidth="1"/>
    <col min="3336" max="3581" width="9.140625" style="127"/>
    <col min="3582" max="3582" width="5.28515625" style="127" customWidth="1"/>
    <col min="3583" max="3583" width="8" style="127" customWidth="1"/>
    <col min="3584" max="3584" width="5.85546875" style="127" customWidth="1"/>
    <col min="3585" max="3585" width="9.42578125" style="127" customWidth="1"/>
    <col min="3586" max="3586" width="11.28515625" style="127" customWidth="1"/>
    <col min="3587" max="3587" width="11" style="127" customWidth="1"/>
    <col min="3588" max="3588" width="13.140625" style="127" customWidth="1"/>
    <col min="3589" max="3589" width="11.7109375" style="127" customWidth="1"/>
    <col min="3590" max="3590" width="11.140625" style="127" customWidth="1"/>
    <col min="3591" max="3591" width="11.7109375" style="127" customWidth="1"/>
    <col min="3592" max="3837" width="9.140625" style="127"/>
    <col min="3838" max="3838" width="5.28515625" style="127" customWidth="1"/>
    <col min="3839" max="3839" width="8" style="127" customWidth="1"/>
    <col min="3840" max="3840" width="5.85546875" style="127" customWidth="1"/>
    <col min="3841" max="3841" width="9.42578125" style="127" customWidth="1"/>
    <col min="3842" max="3842" width="11.28515625" style="127" customWidth="1"/>
    <col min="3843" max="3843" width="11" style="127" customWidth="1"/>
    <col min="3844" max="3844" width="13.140625" style="127" customWidth="1"/>
    <col min="3845" max="3845" width="11.7109375" style="127" customWidth="1"/>
    <col min="3846" max="3846" width="11.140625" style="127" customWidth="1"/>
    <col min="3847" max="3847" width="11.7109375" style="127" customWidth="1"/>
    <col min="3848" max="4093" width="9.140625" style="127"/>
    <col min="4094" max="4094" width="5.28515625" style="127" customWidth="1"/>
    <col min="4095" max="4095" width="8" style="127" customWidth="1"/>
    <col min="4096" max="4096" width="5.85546875" style="127" customWidth="1"/>
    <col min="4097" max="4097" width="9.42578125" style="127" customWidth="1"/>
    <col min="4098" max="4098" width="11.28515625" style="127" customWidth="1"/>
    <col min="4099" max="4099" width="11" style="127" customWidth="1"/>
    <col min="4100" max="4100" width="13.140625" style="127" customWidth="1"/>
    <col min="4101" max="4101" width="11.7109375" style="127" customWidth="1"/>
    <col min="4102" max="4102" width="11.140625" style="127" customWidth="1"/>
    <col min="4103" max="4103" width="11.7109375" style="127" customWidth="1"/>
    <col min="4104" max="4349" width="9.140625" style="127"/>
    <col min="4350" max="4350" width="5.28515625" style="127" customWidth="1"/>
    <col min="4351" max="4351" width="8" style="127" customWidth="1"/>
    <col min="4352" max="4352" width="5.85546875" style="127" customWidth="1"/>
    <col min="4353" max="4353" width="9.42578125" style="127" customWidth="1"/>
    <col min="4354" max="4354" width="11.28515625" style="127" customWidth="1"/>
    <col min="4355" max="4355" width="11" style="127" customWidth="1"/>
    <col min="4356" max="4356" width="13.140625" style="127" customWidth="1"/>
    <col min="4357" max="4357" width="11.7109375" style="127" customWidth="1"/>
    <col min="4358" max="4358" width="11.140625" style="127" customWidth="1"/>
    <col min="4359" max="4359" width="11.7109375" style="127" customWidth="1"/>
    <col min="4360" max="4605" width="9.140625" style="127"/>
    <col min="4606" max="4606" width="5.28515625" style="127" customWidth="1"/>
    <col min="4607" max="4607" width="8" style="127" customWidth="1"/>
    <col min="4608" max="4608" width="5.85546875" style="127" customWidth="1"/>
    <col min="4609" max="4609" width="9.42578125" style="127" customWidth="1"/>
    <col min="4610" max="4610" width="11.28515625" style="127" customWidth="1"/>
    <col min="4611" max="4611" width="11" style="127" customWidth="1"/>
    <col min="4612" max="4612" width="13.140625" style="127" customWidth="1"/>
    <col min="4613" max="4613" width="11.7109375" style="127" customWidth="1"/>
    <col min="4614" max="4614" width="11.140625" style="127" customWidth="1"/>
    <col min="4615" max="4615" width="11.7109375" style="127" customWidth="1"/>
    <col min="4616" max="4861" width="9.140625" style="127"/>
    <col min="4862" max="4862" width="5.28515625" style="127" customWidth="1"/>
    <col min="4863" max="4863" width="8" style="127" customWidth="1"/>
    <col min="4864" max="4864" width="5.85546875" style="127" customWidth="1"/>
    <col min="4865" max="4865" width="9.42578125" style="127" customWidth="1"/>
    <col min="4866" max="4866" width="11.28515625" style="127" customWidth="1"/>
    <col min="4867" max="4867" width="11" style="127" customWidth="1"/>
    <col min="4868" max="4868" width="13.140625" style="127" customWidth="1"/>
    <col min="4869" max="4869" width="11.7109375" style="127" customWidth="1"/>
    <col min="4870" max="4870" width="11.140625" style="127" customWidth="1"/>
    <col min="4871" max="4871" width="11.7109375" style="127" customWidth="1"/>
    <col min="4872" max="5117" width="9.140625" style="127"/>
    <col min="5118" max="5118" width="5.28515625" style="127" customWidth="1"/>
    <col min="5119" max="5119" width="8" style="127" customWidth="1"/>
    <col min="5120" max="5120" width="5.85546875" style="127" customWidth="1"/>
    <col min="5121" max="5121" width="9.42578125" style="127" customWidth="1"/>
    <col min="5122" max="5122" width="11.28515625" style="127" customWidth="1"/>
    <col min="5123" max="5123" width="11" style="127" customWidth="1"/>
    <col min="5124" max="5124" width="13.140625" style="127" customWidth="1"/>
    <col min="5125" max="5125" width="11.7109375" style="127" customWidth="1"/>
    <col min="5126" max="5126" width="11.140625" style="127" customWidth="1"/>
    <col min="5127" max="5127" width="11.7109375" style="127" customWidth="1"/>
    <col min="5128" max="5373" width="9.140625" style="127"/>
    <col min="5374" max="5374" width="5.28515625" style="127" customWidth="1"/>
    <col min="5375" max="5375" width="8" style="127" customWidth="1"/>
    <col min="5376" max="5376" width="5.85546875" style="127" customWidth="1"/>
    <col min="5377" max="5377" width="9.42578125" style="127" customWidth="1"/>
    <col min="5378" max="5378" width="11.28515625" style="127" customWidth="1"/>
    <col min="5379" max="5379" width="11" style="127" customWidth="1"/>
    <col min="5380" max="5380" width="13.140625" style="127" customWidth="1"/>
    <col min="5381" max="5381" width="11.7109375" style="127" customWidth="1"/>
    <col min="5382" max="5382" width="11.140625" style="127" customWidth="1"/>
    <col min="5383" max="5383" width="11.7109375" style="127" customWidth="1"/>
    <col min="5384" max="5629" width="9.140625" style="127"/>
    <col min="5630" max="5630" width="5.28515625" style="127" customWidth="1"/>
    <col min="5631" max="5631" width="8" style="127" customWidth="1"/>
    <col min="5632" max="5632" width="5.85546875" style="127" customWidth="1"/>
    <col min="5633" max="5633" width="9.42578125" style="127" customWidth="1"/>
    <col min="5634" max="5634" width="11.28515625" style="127" customWidth="1"/>
    <col min="5635" max="5635" width="11" style="127" customWidth="1"/>
    <col min="5636" max="5636" width="13.140625" style="127" customWidth="1"/>
    <col min="5637" max="5637" width="11.7109375" style="127" customWidth="1"/>
    <col min="5638" max="5638" width="11.140625" style="127" customWidth="1"/>
    <col min="5639" max="5639" width="11.7109375" style="127" customWidth="1"/>
    <col min="5640" max="5885" width="9.140625" style="127"/>
    <col min="5886" max="5886" width="5.28515625" style="127" customWidth="1"/>
    <col min="5887" max="5887" width="8" style="127" customWidth="1"/>
    <col min="5888" max="5888" width="5.85546875" style="127" customWidth="1"/>
    <col min="5889" max="5889" width="9.42578125" style="127" customWidth="1"/>
    <col min="5890" max="5890" width="11.28515625" style="127" customWidth="1"/>
    <col min="5891" max="5891" width="11" style="127" customWidth="1"/>
    <col min="5892" max="5892" width="13.140625" style="127" customWidth="1"/>
    <col min="5893" max="5893" width="11.7109375" style="127" customWidth="1"/>
    <col min="5894" max="5894" width="11.140625" style="127" customWidth="1"/>
    <col min="5895" max="5895" width="11.7109375" style="127" customWidth="1"/>
    <col min="5896" max="6141" width="9.140625" style="127"/>
    <col min="6142" max="6142" width="5.28515625" style="127" customWidth="1"/>
    <col min="6143" max="6143" width="8" style="127" customWidth="1"/>
    <col min="6144" max="6144" width="5.85546875" style="127" customWidth="1"/>
    <col min="6145" max="6145" width="9.42578125" style="127" customWidth="1"/>
    <col min="6146" max="6146" width="11.28515625" style="127" customWidth="1"/>
    <col min="6147" max="6147" width="11" style="127" customWidth="1"/>
    <col min="6148" max="6148" width="13.140625" style="127" customWidth="1"/>
    <col min="6149" max="6149" width="11.7109375" style="127" customWidth="1"/>
    <col min="6150" max="6150" width="11.140625" style="127" customWidth="1"/>
    <col min="6151" max="6151" width="11.7109375" style="127" customWidth="1"/>
    <col min="6152" max="6397" width="9.140625" style="127"/>
    <col min="6398" max="6398" width="5.28515625" style="127" customWidth="1"/>
    <col min="6399" max="6399" width="8" style="127" customWidth="1"/>
    <col min="6400" max="6400" width="5.85546875" style="127" customWidth="1"/>
    <col min="6401" max="6401" width="9.42578125" style="127" customWidth="1"/>
    <col min="6402" max="6402" width="11.28515625" style="127" customWidth="1"/>
    <col min="6403" max="6403" width="11" style="127" customWidth="1"/>
    <col min="6404" max="6404" width="13.140625" style="127" customWidth="1"/>
    <col min="6405" max="6405" width="11.7109375" style="127" customWidth="1"/>
    <col min="6406" max="6406" width="11.140625" style="127" customWidth="1"/>
    <col min="6407" max="6407" width="11.7109375" style="127" customWidth="1"/>
    <col min="6408" max="6653" width="9.140625" style="127"/>
    <col min="6654" max="6654" width="5.28515625" style="127" customWidth="1"/>
    <col min="6655" max="6655" width="8" style="127" customWidth="1"/>
    <col min="6656" max="6656" width="5.85546875" style="127" customWidth="1"/>
    <col min="6657" max="6657" width="9.42578125" style="127" customWidth="1"/>
    <col min="6658" max="6658" width="11.28515625" style="127" customWidth="1"/>
    <col min="6659" max="6659" width="11" style="127" customWidth="1"/>
    <col min="6660" max="6660" width="13.140625" style="127" customWidth="1"/>
    <col min="6661" max="6661" width="11.7109375" style="127" customWidth="1"/>
    <col min="6662" max="6662" width="11.140625" style="127" customWidth="1"/>
    <col min="6663" max="6663" width="11.7109375" style="127" customWidth="1"/>
    <col min="6664" max="6909" width="9.140625" style="127"/>
    <col min="6910" max="6910" width="5.28515625" style="127" customWidth="1"/>
    <col min="6911" max="6911" width="8" style="127" customWidth="1"/>
    <col min="6912" max="6912" width="5.85546875" style="127" customWidth="1"/>
    <col min="6913" max="6913" width="9.42578125" style="127" customWidth="1"/>
    <col min="6914" max="6914" width="11.28515625" style="127" customWidth="1"/>
    <col min="6915" max="6915" width="11" style="127" customWidth="1"/>
    <col min="6916" max="6916" width="13.140625" style="127" customWidth="1"/>
    <col min="6917" max="6917" width="11.7109375" style="127" customWidth="1"/>
    <col min="6918" max="6918" width="11.140625" style="127" customWidth="1"/>
    <col min="6919" max="6919" width="11.7109375" style="127" customWidth="1"/>
    <col min="6920" max="7165" width="9.140625" style="127"/>
    <col min="7166" max="7166" width="5.28515625" style="127" customWidth="1"/>
    <col min="7167" max="7167" width="8" style="127" customWidth="1"/>
    <col min="7168" max="7168" width="5.85546875" style="127" customWidth="1"/>
    <col min="7169" max="7169" width="9.42578125" style="127" customWidth="1"/>
    <col min="7170" max="7170" width="11.28515625" style="127" customWidth="1"/>
    <col min="7171" max="7171" width="11" style="127" customWidth="1"/>
    <col min="7172" max="7172" width="13.140625" style="127" customWidth="1"/>
    <col min="7173" max="7173" width="11.7109375" style="127" customWidth="1"/>
    <col min="7174" max="7174" width="11.140625" style="127" customWidth="1"/>
    <col min="7175" max="7175" width="11.7109375" style="127" customWidth="1"/>
    <col min="7176" max="7421" width="9.140625" style="127"/>
    <col min="7422" max="7422" width="5.28515625" style="127" customWidth="1"/>
    <col min="7423" max="7423" width="8" style="127" customWidth="1"/>
    <col min="7424" max="7424" width="5.85546875" style="127" customWidth="1"/>
    <col min="7425" max="7425" width="9.42578125" style="127" customWidth="1"/>
    <col min="7426" max="7426" width="11.28515625" style="127" customWidth="1"/>
    <col min="7427" max="7427" width="11" style="127" customWidth="1"/>
    <col min="7428" max="7428" width="13.140625" style="127" customWidth="1"/>
    <col min="7429" max="7429" width="11.7109375" style="127" customWidth="1"/>
    <col min="7430" max="7430" width="11.140625" style="127" customWidth="1"/>
    <col min="7431" max="7431" width="11.7109375" style="127" customWidth="1"/>
    <col min="7432" max="7677" width="9.140625" style="127"/>
    <col min="7678" max="7678" width="5.28515625" style="127" customWidth="1"/>
    <col min="7679" max="7679" width="8" style="127" customWidth="1"/>
    <col min="7680" max="7680" width="5.85546875" style="127" customWidth="1"/>
    <col min="7681" max="7681" width="9.42578125" style="127" customWidth="1"/>
    <col min="7682" max="7682" width="11.28515625" style="127" customWidth="1"/>
    <col min="7683" max="7683" width="11" style="127" customWidth="1"/>
    <col min="7684" max="7684" width="13.140625" style="127" customWidth="1"/>
    <col min="7685" max="7685" width="11.7109375" style="127" customWidth="1"/>
    <col min="7686" max="7686" width="11.140625" style="127" customWidth="1"/>
    <col min="7687" max="7687" width="11.7109375" style="127" customWidth="1"/>
    <col min="7688" max="7933" width="9.140625" style="127"/>
    <col min="7934" max="7934" width="5.28515625" style="127" customWidth="1"/>
    <col min="7935" max="7935" width="8" style="127" customWidth="1"/>
    <col min="7936" max="7936" width="5.85546875" style="127" customWidth="1"/>
    <col min="7937" max="7937" width="9.42578125" style="127" customWidth="1"/>
    <col min="7938" max="7938" width="11.28515625" style="127" customWidth="1"/>
    <col min="7939" max="7939" width="11" style="127" customWidth="1"/>
    <col min="7940" max="7940" width="13.140625" style="127" customWidth="1"/>
    <col min="7941" max="7941" width="11.7109375" style="127" customWidth="1"/>
    <col min="7942" max="7942" width="11.140625" style="127" customWidth="1"/>
    <col min="7943" max="7943" width="11.7109375" style="127" customWidth="1"/>
    <col min="7944" max="8189" width="9.140625" style="127"/>
    <col min="8190" max="8190" width="5.28515625" style="127" customWidth="1"/>
    <col min="8191" max="8191" width="8" style="127" customWidth="1"/>
    <col min="8192" max="8192" width="5.85546875" style="127" customWidth="1"/>
    <col min="8193" max="8193" width="9.42578125" style="127" customWidth="1"/>
    <col min="8194" max="8194" width="11.28515625" style="127" customWidth="1"/>
    <col min="8195" max="8195" width="11" style="127" customWidth="1"/>
    <col min="8196" max="8196" width="13.140625" style="127" customWidth="1"/>
    <col min="8197" max="8197" width="11.7109375" style="127" customWidth="1"/>
    <col min="8198" max="8198" width="11.140625" style="127" customWidth="1"/>
    <col min="8199" max="8199" width="11.7109375" style="127" customWidth="1"/>
    <col min="8200" max="8445" width="9.140625" style="127"/>
    <col min="8446" max="8446" width="5.28515625" style="127" customWidth="1"/>
    <col min="8447" max="8447" width="8" style="127" customWidth="1"/>
    <col min="8448" max="8448" width="5.85546875" style="127" customWidth="1"/>
    <col min="8449" max="8449" width="9.42578125" style="127" customWidth="1"/>
    <col min="8450" max="8450" width="11.28515625" style="127" customWidth="1"/>
    <col min="8451" max="8451" width="11" style="127" customWidth="1"/>
    <col min="8452" max="8452" width="13.140625" style="127" customWidth="1"/>
    <col min="8453" max="8453" width="11.7109375" style="127" customWidth="1"/>
    <col min="8454" max="8454" width="11.140625" style="127" customWidth="1"/>
    <col min="8455" max="8455" width="11.7109375" style="127" customWidth="1"/>
    <col min="8456" max="8701" width="9.140625" style="127"/>
    <col min="8702" max="8702" width="5.28515625" style="127" customWidth="1"/>
    <col min="8703" max="8703" width="8" style="127" customWidth="1"/>
    <col min="8704" max="8704" width="5.85546875" style="127" customWidth="1"/>
    <col min="8705" max="8705" width="9.42578125" style="127" customWidth="1"/>
    <col min="8706" max="8706" width="11.28515625" style="127" customWidth="1"/>
    <col min="8707" max="8707" width="11" style="127" customWidth="1"/>
    <col min="8708" max="8708" width="13.140625" style="127" customWidth="1"/>
    <col min="8709" max="8709" width="11.7109375" style="127" customWidth="1"/>
    <col min="8710" max="8710" width="11.140625" style="127" customWidth="1"/>
    <col min="8711" max="8711" width="11.7109375" style="127" customWidth="1"/>
    <col min="8712" max="8957" width="9.140625" style="127"/>
    <col min="8958" max="8958" width="5.28515625" style="127" customWidth="1"/>
    <col min="8959" max="8959" width="8" style="127" customWidth="1"/>
    <col min="8960" max="8960" width="5.85546875" style="127" customWidth="1"/>
    <col min="8961" max="8961" width="9.42578125" style="127" customWidth="1"/>
    <col min="8962" max="8962" width="11.28515625" style="127" customWidth="1"/>
    <col min="8963" max="8963" width="11" style="127" customWidth="1"/>
    <col min="8964" max="8964" width="13.140625" style="127" customWidth="1"/>
    <col min="8965" max="8965" width="11.7109375" style="127" customWidth="1"/>
    <col min="8966" max="8966" width="11.140625" style="127" customWidth="1"/>
    <col min="8967" max="8967" width="11.7109375" style="127" customWidth="1"/>
    <col min="8968" max="9213" width="9.140625" style="127"/>
    <col min="9214" max="9214" width="5.28515625" style="127" customWidth="1"/>
    <col min="9215" max="9215" width="8" style="127" customWidth="1"/>
    <col min="9216" max="9216" width="5.85546875" style="127" customWidth="1"/>
    <col min="9217" max="9217" width="9.42578125" style="127" customWidth="1"/>
    <col min="9218" max="9218" width="11.28515625" style="127" customWidth="1"/>
    <col min="9219" max="9219" width="11" style="127" customWidth="1"/>
    <col min="9220" max="9220" width="13.140625" style="127" customWidth="1"/>
    <col min="9221" max="9221" width="11.7109375" style="127" customWidth="1"/>
    <col min="9222" max="9222" width="11.140625" style="127" customWidth="1"/>
    <col min="9223" max="9223" width="11.7109375" style="127" customWidth="1"/>
    <col min="9224" max="9469" width="9.140625" style="127"/>
    <col min="9470" max="9470" width="5.28515625" style="127" customWidth="1"/>
    <col min="9471" max="9471" width="8" style="127" customWidth="1"/>
    <col min="9472" max="9472" width="5.85546875" style="127" customWidth="1"/>
    <col min="9473" max="9473" width="9.42578125" style="127" customWidth="1"/>
    <col min="9474" max="9474" width="11.28515625" style="127" customWidth="1"/>
    <col min="9475" max="9475" width="11" style="127" customWidth="1"/>
    <col min="9476" max="9476" width="13.140625" style="127" customWidth="1"/>
    <col min="9477" max="9477" width="11.7109375" style="127" customWidth="1"/>
    <col min="9478" max="9478" width="11.140625" style="127" customWidth="1"/>
    <col min="9479" max="9479" width="11.7109375" style="127" customWidth="1"/>
    <col min="9480" max="9725" width="9.140625" style="127"/>
    <col min="9726" max="9726" width="5.28515625" style="127" customWidth="1"/>
    <col min="9727" max="9727" width="8" style="127" customWidth="1"/>
    <col min="9728" max="9728" width="5.85546875" style="127" customWidth="1"/>
    <col min="9729" max="9729" width="9.42578125" style="127" customWidth="1"/>
    <col min="9730" max="9730" width="11.28515625" style="127" customWidth="1"/>
    <col min="9731" max="9731" width="11" style="127" customWidth="1"/>
    <col min="9732" max="9732" width="13.140625" style="127" customWidth="1"/>
    <col min="9733" max="9733" width="11.7109375" style="127" customWidth="1"/>
    <col min="9734" max="9734" width="11.140625" style="127" customWidth="1"/>
    <col min="9735" max="9735" width="11.7109375" style="127" customWidth="1"/>
    <col min="9736" max="9981" width="9.140625" style="127"/>
    <col min="9982" max="9982" width="5.28515625" style="127" customWidth="1"/>
    <col min="9983" max="9983" width="8" style="127" customWidth="1"/>
    <col min="9984" max="9984" width="5.85546875" style="127" customWidth="1"/>
    <col min="9985" max="9985" width="9.42578125" style="127" customWidth="1"/>
    <col min="9986" max="9986" width="11.28515625" style="127" customWidth="1"/>
    <col min="9987" max="9987" width="11" style="127" customWidth="1"/>
    <col min="9988" max="9988" width="13.140625" style="127" customWidth="1"/>
    <col min="9989" max="9989" width="11.7109375" style="127" customWidth="1"/>
    <col min="9990" max="9990" width="11.140625" style="127" customWidth="1"/>
    <col min="9991" max="9991" width="11.7109375" style="127" customWidth="1"/>
    <col min="9992" max="10237" width="9.140625" style="127"/>
    <col min="10238" max="10238" width="5.28515625" style="127" customWidth="1"/>
    <col min="10239" max="10239" width="8" style="127" customWidth="1"/>
    <col min="10240" max="10240" width="5.85546875" style="127" customWidth="1"/>
    <col min="10241" max="10241" width="9.42578125" style="127" customWidth="1"/>
    <col min="10242" max="10242" width="11.28515625" style="127" customWidth="1"/>
    <col min="10243" max="10243" width="11" style="127" customWidth="1"/>
    <col min="10244" max="10244" width="13.140625" style="127" customWidth="1"/>
    <col min="10245" max="10245" width="11.7109375" style="127" customWidth="1"/>
    <col min="10246" max="10246" width="11.140625" style="127" customWidth="1"/>
    <col min="10247" max="10247" width="11.7109375" style="127" customWidth="1"/>
    <col min="10248" max="10493" width="9.140625" style="127"/>
    <col min="10494" max="10494" width="5.28515625" style="127" customWidth="1"/>
    <col min="10495" max="10495" width="8" style="127" customWidth="1"/>
    <col min="10496" max="10496" width="5.85546875" style="127" customWidth="1"/>
    <col min="10497" max="10497" width="9.42578125" style="127" customWidth="1"/>
    <col min="10498" max="10498" width="11.28515625" style="127" customWidth="1"/>
    <col min="10499" max="10499" width="11" style="127" customWidth="1"/>
    <col min="10500" max="10500" width="13.140625" style="127" customWidth="1"/>
    <col min="10501" max="10501" width="11.7109375" style="127" customWidth="1"/>
    <col min="10502" max="10502" width="11.140625" style="127" customWidth="1"/>
    <col min="10503" max="10503" width="11.7109375" style="127" customWidth="1"/>
    <col min="10504" max="10749" width="9.140625" style="127"/>
    <col min="10750" max="10750" width="5.28515625" style="127" customWidth="1"/>
    <col min="10751" max="10751" width="8" style="127" customWidth="1"/>
    <col min="10752" max="10752" width="5.85546875" style="127" customWidth="1"/>
    <col min="10753" max="10753" width="9.42578125" style="127" customWidth="1"/>
    <col min="10754" max="10754" width="11.28515625" style="127" customWidth="1"/>
    <col min="10755" max="10755" width="11" style="127" customWidth="1"/>
    <col min="10756" max="10756" width="13.140625" style="127" customWidth="1"/>
    <col min="10757" max="10757" width="11.7109375" style="127" customWidth="1"/>
    <col min="10758" max="10758" width="11.140625" style="127" customWidth="1"/>
    <col min="10759" max="10759" width="11.7109375" style="127" customWidth="1"/>
    <col min="10760" max="11005" width="9.140625" style="127"/>
    <col min="11006" max="11006" width="5.28515625" style="127" customWidth="1"/>
    <col min="11007" max="11007" width="8" style="127" customWidth="1"/>
    <col min="11008" max="11008" width="5.85546875" style="127" customWidth="1"/>
    <col min="11009" max="11009" width="9.42578125" style="127" customWidth="1"/>
    <col min="11010" max="11010" width="11.28515625" style="127" customWidth="1"/>
    <col min="11011" max="11011" width="11" style="127" customWidth="1"/>
    <col min="11012" max="11012" width="13.140625" style="127" customWidth="1"/>
    <col min="11013" max="11013" width="11.7109375" style="127" customWidth="1"/>
    <col min="11014" max="11014" width="11.140625" style="127" customWidth="1"/>
    <col min="11015" max="11015" width="11.7109375" style="127" customWidth="1"/>
    <col min="11016" max="11261" width="9.140625" style="127"/>
    <col min="11262" max="11262" width="5.28515625" style="127" customWidth="1"/>
    <col min="11263" max="11263" width="8" style="127" customWidth="1"/>
    <col min="11264" max="11264" width="5.85546875" style="127" customWidth="1"/>
    <col min="11265" max="11265" width="9.42578125" style="127" customWidth="1"/>
    <col min="11266" max="11266" width="11.28515625" style="127" customWidth="1"/>
    <col min="11267" max="11267" width="11" style="127" customWidth="1"/>
    <col min="11268" max="11268" width="13.140625" style="127" customWidth="1"/>
    <col min="11269" max="11269" width="11.7109375" style="127" customWidth="1"/>
    <col min="11270" max="11270" width="11.140625" style="127" customWidth="1"/>
    <col min="11271" max="11271" width="11.7109375" style="127" customWidth="1"/>
    <col min="11272" max="11517" width="9.140625" style="127"/>
    <col min="11518" max="11518" width="5.28515625" style="127" customWidth="1"/>
    <col min="11519" max="11519" width="8" style="127" customWidth="1"/>
    <col min="11520" max="11520" width="5.85546875" style="127" customWidth="1"/>
    <col min="11521" max="11521" width="9.42578125" style="127" customWidth="1"/>
    <col min="11522" max="11522" width="11.28515625" style="127" customWidth="1"/>
    <col min="11523" max="11523" width="11" style="127" customWidth="1"/>
    <col min="11524" max="11524" width="13.140625" style="127" customWidth="1"/>
    <col min="11525" max="11525" width="11.7109375" style="127" customWidth="1"/>
    <col min="11526" max="11526" width="11.140625" style="127" customWidth="1"/>
    <col min="11527" max="11527" width="11.7109375" style="127" customWidth="1"/>
    <col min="11528" max="11773" width="9.140625" style="127"/>
    <col min="11774" max="11774" width="5.28515625" style="127" customWidth="1"/>
    <col min="11775" max="11775" width="8" style="127" customWidth="1"/>
    <col min="11776" max="11776" width="5.85546875" style="127" customWidth="1"/>
    <col min="11777" max="11777" width="9.42578125" style="127" customWidth="1"/>
    <col min="11778" max="11778" width="11.28515625" style="127" customWidth="1"/>
    <col min="11779" max="11779" width="11" style="127" customWidth="1"/>
    <col min="11780" max="11780" width="13.140625" style="127" customWidth="1"/>
    <col min="11781" max="11781" width="11.7109375" style="127" customWidth="1"/>
    <col min="11782" max="11782" width="11.140625" style="127" customWidth="1"/>
    <col min="11783" max="11783" width="11.7109375" style="127" customWidth="1"/>
    <col min="11784" max="12029" width="9.140625" style="127"/>
    <col min="12030" max="12030" width="5.28515625" style="127" customWidth="1"/>
    <col min="12031" max="12031" width="8" style="127" customWidth="1"/>
    <col min="12032" max="12032" width="5.85546875" style="127" customWidth="1"/>
    <col min="12033" max="12033" width="9.42578125" style="127" customWidth="1"/>
    <col min="12034" max="12034" width="11.28515625" style="127" customWidth="1"/>
    <col min="12035" max="12035" width="11" style="127" customWidth="1"/>
    <col min="12036" max="12036" width="13.140625" style="127" customWidth="1"/>
    <col min="12037" max="12037" width="11.7109375" style="127" customWidth="1"/>
    <col min="12038" max="12038" width="11.140625" style="127" customWidth="1"/>
    <col min="12039" max="12039" width="11.7109375" style="127" customWidth="1"/>
    <col min="12040" max="12285" width="9.140625" style="127"/>
    <col min="12286" max="12286" width="5.28515625" style="127" customWidth="1"/>
    <col min="12287" max="12287" width="8" style="127" customWidth="1"/>
    <col min="12288" max="12288" width="5.85546875" style="127" customWidth="1"/>
    <col min="12289" max="12289" width="9.42578125" style="127" customWidth="1"/>
    <col min="12290" max="12290" width="11.28515625" style="127" customWidth="1"/>
    <col min="12291" max="12291" width="11" style="127" customWidth="1"/>
    <col min="12292" max="12292" width="13.140625" style="127" customWidth="1"/>
    <col min="12293" max="12293" width="11.7109375" style="127" customWidth="1"/>
    <col min="12294" max="12294" width="11.140625" style="127" customWidth="1"/>
    <col min="12295" max="12295" width="11.7109375" style="127" customWidth="1"/>
    <col min="12296" max="12541" width="9.140625" style="127"/>
    <col min="12542" max="12542" width="5.28515625" style="127" customWidth="1"/>
    <col min="12543" max="12543" width="8" style="127" customWidth="1"/>
    <col min="12544" max="12544" width="5.85546875" style="127" customWidth="1"/>
    <col min="12545" max="12545" width="9.42578125" style="127" customWidth="1"/>
    <col min="12546" max="12546" width="11.28515625" style="127" customWidth="1"/>
    <col min="12547" max="12547" width="11" style="127" customWidth="1"/>
    <col min="12548" max="12548" width="13.140625" style="127" customWidth="1"/>
    <col min="12549" max="12549" width="11.7109375" style="127" customWidth="1"/>
    <col min="12550" max="12550" width="11.140625" style="127" customWidth="1"/>
    <col min="12551" max="12551" width="11.7109375" style="127" customWidth="1"/>
    <col min="12552" max="12797" width="9.140625" style="127"/>
    <col min="12798" max="12798" width="5.28515625" style="127" customWidth="1"/>
    <col min="12799" max="12799" width="8" style="127" customWidth="1"/>
    <col min="12800" max="12800" width="5.85546875" style="127" customWidth="1"/>
    <col min="12801" max="12801" width="9.42578125" style="127" customWidth="1"/>
    <col min="12802" max="12802" width="11.28515625" style="127" customWidth="1"/>
    <col min="12803" max="12803" width="11" style="127" customWidth="1"/>
    <col min="12804" max="12804" width="13.140625" style="127" customWidth="1"/>
    <col min="12805" max="12805" width="11.7109375" style="127" customWidth="1"/>
    <col min="12806" max="12806" width="11.140625" style="127" customWidth="1"/>
    <col min="12807" max="12807" width="11.7109375" style="127" customWidth="1"/>
    <col min="12808" max="13053" width="9.140625" style="127"/>
    <col min="13054" max="13054" width="5.28515625" style="127" customWidth="1"/>
    <col min="13055" max="13055" width="8" style="127" customWidth="1"/>
    <col min="13056" max="13056" width="5.85546875" style="127" customWidth="1"/>
    <col min="13057" max="13057" width="9.42578125" style="127" customWidth="1"/>
    <col min="13058" max="13058" width="11.28515625" style="127" customWidth="1"/>
    <col min="13059" max="13059" width="11" style="127" customWidth="1"/>
    <col min="13060" max="13060" width="13.140625" style="127" customWidth="1"/>
    <col min="13061" max="13061" width="11.7109375" style="127" customWidth="1"/>
    <col min="13062" max="13062" width="11.140625" style="127" customWidth="1"/>
    <col min="13063" max="13063" width="11.7109375" style="127" customWidth="1"/>
    <col min="13064" max="13309" width="9.140625" style="127"/>
    <col min="13310" max="13310" width="5.28515625" style="127" customWidth="1"/>
    <col min="13311" max="13311" width="8" style="127" customWidth="1"/>
    <col min="13312" max="13312" width="5.85546875" style="127" customWidth="1"/>
    <col min="13313" max="13313" width="9.42578125" style="127" customWidth="1"/>
    <col min="13314" max="13314" width="11.28515625" style="127" customWidth="1"/>
    <col min="13315" max="13315" width="11" style="127" customWidth="1"/>
    <col min="13316" max="13316" width="13.140625" style="127" customWidth="1"/>
    <col min="13317" max="13317" width="11.7109375" style="127" customWidth="1"/>
    <col min="13318" max="13318" width="11.140625" style="127" customWidth="1"/>
    <col min="13319" max="13319" width="11.7109375" style="127" customWidth="1"/>
    <col min="13320" max="13565" width="9.140625" style="127"/>
    <col min="13566" max="13566" width="5.28515625" style="127" customWidth="1"/>
    <col min="13567" max="13567" width="8" style="127" customWidth="1"/>
    <col min="13568" max="13568" width="5.85546875" style="127" customWidth="1"/>
    <col min="13569" max="13569" width="9.42578125" style="127" customWidth="1"/>
    <col min="13570" max="13570" width="11.28515625" style="127" customWidth="1"/>
    <col min="13571" max="13571" width="11" style="127" customWidth="1"/>
    <col min="13572" max="13572" width="13.140625" style="127" customWidth="1"/>
    <col min="13573" max="13573" width="11.7109375" style="127" customWidth="1"/>
    <col min="13574" max="13574" width="11.140625" style="127" customWidth="1"/>
    <col min="13575" max="13575" width="11.7109375" style="127" customWidth="1"/>
    <col min="13576" max="13821" width="9.140625" style="127"/>
    <col min="13822" max="13822" width="5.28515625" style="127" customWidth="1"/>
    <col min="13823" max="13823" width="8" style="127" customWidth="1"/>
    <col min="13824" max="13824" width="5.85546875" style="127" customWidth="1"/>
    <col min="13825" max="13825" width="9.42578125" style="127" customWidth="1"/>
    <col min="13826" max="13826" width="11.28515625" style="127" customWidth="1"/>
    <col min="13827" max="13827" width="11" style="127" customWidth="1"/>
    <col min="13828" max="13828" width="13.140625" style="127" customWidth="1"/>
    <col min="13829" max="13829" width="11.7109375" style="127" customWidth="1"/>
    <col min="13830" max="13830" width="11.140625" style="127" customWidth="1"/>
    <col min="13831" max="13831" width="11.7109375" style="127" customWidth="1"/>
    <col min="13832" max="14077" width="9.140625" style="127"/>
    <col min="14078" max="14078" width="5.28515625" style="127" customWidth="1"/>
    <col min="14079" max="14079" width="8" style="127" customWidth="1"/>
    <col min="14080" max="14080" width="5.85546875" style="127" customWidth="1"/>
    <col min="14081" max="14081" width="9.42578125" style="127" customWidth="1"/>
    <col min="14082" max="14082" width="11.28515625" style="127" customWidth="1"/>
    <col min="14083" max="14083" width="11" style="127" customWidth="1"/>
    <col min="14084" max="14084" width="13.140625" style="127" customWidth="1"/>
    <col min="14085" max="14085" width="11.7109375" style="127" customWidth="1"/>
    <col min="14086" max="14086" width="11.140625" style="127" customWidth="1"/>
    <col min="14087" max="14087" width="11.7109375" style="127" customWidth="1"/>
    <col min="14088" max="14333" width="9.140625" style="127"/>
    <col min="14334" max="14334" width="5.28515625" style="127" customWidth="1"/>
    <col min="14335" max="14335" width="8" style="127" customWidth="1"/>
    <col min="14336" max="14336" width="5.85546875" style="127" customWidth="1"/>
    <col min="14337" max="14337" width="9.42578125" style="127" customWidth="1"/>
    <col min="14338" max="14338" width="11.28515625" style="127" customWidth="1"/>
    <col min="14339" max="14339" width="11" style="127" customWidth="1"/>
    <col min="14340" max="14340" width="13.140625" style="127" customWidth="1"/>
    <col min="14341" max="14341" width="11.7109375" style="127" customWidth="1"/>
    <col min="14342" max="14342" width="11.140625" style="127" customWidth="1"/>
    <col min="14343" max="14343" width="11.7109375" style="127" customWidth="1"/>
    <col min="14344" max="14589" width="9.140625" style="127"/>
    <col min="14590" max="14590" width="5.28515625" style="127" customWidth="1"/>
    <col min="14591" max="14591" width="8" style="127" customWidth="1"/>
    <col min="14592" max="14592" width="5.85546875" style="127" customWidth="1"/>
    <col min="14593" max="14593" width="9.42578125" style="127" customWidth="1"/>
    <col min="14594" max="14594" width="11.28515625" style="127" customWidth="1"/>
    <col min="14595" max="14595" width="11" style="127" customWidth="1"/>
    <col min="14596" max="14596" width="13.140625" style="127" customWidth="1"/>
    <col min="14597" max="14597" width="11.7109375" style="127" customWidth="1"/>
    <col min="14598" max="14598" width="11.140625" style="127" customWidth="1"/>
    <col min="14599" max="14599" width="11.7109375" style="127" customWidth="1"/>
    <col min="14600" max="14845" width="9.140625" style="127"/>
    <col min="14846" max="14846" width="5.28515625" style="127" customWidth="1"/>
    <col min="14847" max="14847" width="8" style="127" customWidth="1"/>
    <col min="14848" max="14848" width="5.85546875" style="127" customWidth="1"/>
    <col min="14849" max="14849" width="9.42578125" style="127" customWidth="1"/>
    <col min="14850" max="14850" width="11.28515625" style="127" customWidth="1"/>
    <col min="14851" max="14851" width="11" style="127" customWidth="1"/>
    <col min="14852" max="14852" width="13.140625" style="127" customWidth="1"/>
    <col min="14853" max="14853" width="11.7109375" style="127" customWidth="1"/>
    <col min="14854" max="14854" width="11.140625" style="127" customWidth="1"/>
    <col min="14855" max="14855" width="11.7109375" style="127" customWidth="1"/>
    <col min="14856" max="15101" width="9.140625" style="127"/>
    <col min="15102" max="15102" width="5.28515625" style="127" customWidth="1"/>
    <col min="15103" max="15103" width="8" style="127" customWidth="1"/>
    <col min="15104" max="15104" width="5.85546875" style="127" customWidth="1"/>
    <col min="15105" max="15105" width="9.42578125" style="127" customWidth="1"/>
    <col min="15106" max="15106" width="11.28515625" style="127" customWidth="1"/>
    <col min="15107" max="15107" width="11" style="127" customWidth="1"/>
    <col min="15108" max="15108" width="13.140625" style="127" customWidth="1"/>
    <col min="15109" max="15109" width="11.7109375" style="127" customWidth="1"/>
    <col min="15110" max="15110" width="11.140625" style="127" customWidth="1"/>
    <col min="15111" max="15111" width="11.7109375" style="127" customWidth="1"/>
    <col min="15112" max="15357" width="9.140625" style="127"/>
    <col min="15358" max="15358" width="5.28515625" style="127" customWidth="1"/>
    <col min="15359" max="15359" width="8" style="127" customWidth="1"/>
    <col min="15360" max="15360" width="5.85546875" style="127" customWidth="1"/>
    <col min="15361" max="15361" width="9.42578125" style="127" customWidth="1"/>
    <col min="15362" max="15362" width="11.28515625" style="127" customWidth="1"/>
    <col min="15363" max="15363" width="11" style="127" customWidth="1"/>
    <col min="15364" max="15364" width="13.140625" style="127" customWidth="1"/>
    <col min="15365" max="15365" width="11.7109375" style="127" customWidth="1"/>
    <col min="15366" max="15366" width="11.140625" style="127" customWidth="1"/>
    <col min="15367" max="15367" width="11.7109375" style="127" customWidth="1"/>
    <col min="15368" max="15613" width="9.140625" style="127"/>
    <col min="15614" max="15614" width="5.28515625" style="127" customWidth="1"/>
    <col min="15615" max="15615" width="8" style="127" customWidth="1"/>
    <col min="15616" max="15616" width="5.85546875" style="127" customWidth="1"/>
    <col min="15617" max="15617" width="9.42578125" style="127" customWidth="1"/>
    <col min="15618" max="15618" width="11.28515625" style="127" customWidth="1"/>
    <col min="15619" max="15619" width="11" style="127" customWidth="1"/>
    <col min="15620" max="15620" width="13.140625" style="127" customWidth="1"/>
    <col min="15621" max="15621" width="11.7109375" style="127" customWidth="1"/>
    <col min="15622" max="15622" width="11.140625" style="127" customWidth="1"/>
    <col min="15623" max="15623" width="11.7109375" style="127" customWidth="1"/>
    <col min="15624" max="15869" width="9.140625" style="127"/>
    <col min="15870" max="15870" width="5.28515625" style="127" customWidth="1"/>
    <col min="15871" max="15871" width="8" style="127" customWidth="1"/>
    <col min="15872" max="15872" width="5.85546875" style="127" customWidth="1"/>
    <col min="15873" max="15873" width="9.42578125" style="127" customWidth="1"/>
    <col min="15874" max="15874" width="11.28515625" style="127" customWidth="1"/>
    <col min="15875" max="15875" width="11" style="127" customWidth="1"/>
    <col min="15876" max="15876" width="13.140625" style="127" customWidth="1"/>
    <col min="15877" max="15877" width="11.7109375" style="127" customWidth="1"/>
    <col min="15878" max="15878" width="11.140625" style="127" customWidth="1"/>
    <col min="15879" max="15879" width="11.7109375" style="127" customWidth="1"/>
    <col min="15880" max="16125" width="9.140625" style="127"/>
    <col min="16126" max="16126" width="5.28515625" style="127" customWidth="1"/>
    <col min="16127" max="16127" width="8" style="127" customWidth="1"/>
    <col min="16128" max="16128" width="5.85546875" style="127" customWidth="1"/>
    <col min="16129" max="16129" width="9.42578125" style="127" customWidth="1"/>
    <col min="16130" max="16130" width="11.28515625" style="127" customWidth="1"/>
    <col min="16131" max="16131" width="11" style="127" customWidth="1"/>
    <col min="16132" max="16132" width="13.140625" style="127" customWidth="1"/>
    <col min="16133" max="16133" width="11.7109375" style="127" customWidth="1"/>
    <col min="16134" max="16134" width="11.140625" style="127" customWidth="1"/>
    <col min="16135" max="16135" width="11.7109375" style="127" customWidth="1"/>
    <col min="16136" max="16384" width="9.140625" style="127"/>
  </cols>
  <sheetData>
    <row r="1" spans="1:72" ht="12.75" customHeight="1" x14ac:dyDescent="0.25">
      <c r="A1" s="77"/>
      <c r="F1" s="3" t="s">
        <v>78</v>
      </c>
    </row>
    <row r="2" spans="1:72" ht="12.75" customHeight="1" x14ac:dyDescent="0.25">
      <c r="F2" s="3" t="s">
        <v>76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77</v>
      </c>
    </row>
    <row r="5" spans="1:72" ht="12.75" customHeight="1" x14ac:dyDescent="0.25"/>
    <row r="6" spans="1:72" ht="13.5" customHeight="1" x14ac:dyDescent="0.25">
      <c r="A6" s="78" t="s">
        <v>79</v>
      </c>
      <c r="B6" s="78"/>
      <c r="C6" s="78"/>
      <c r="D6" s="78"/>
      <c r="E6" s="78"/>
      <c r="F6" s="78"/>
      <c r="G6" s="78"/>
      <c r="J6" s="1"/>
    </row>
    <row r="7" spans="1:72" ht="12.75" customHeight="1" x14ac:dyDescent="0.25">
      <c r="A7" s="78" t="s">
        <v>80</v>
      </c>
      <c r="B7" s="79"/>
      <c r="C7" s="79"/>
      <c r="D7" s="79"/>
      <c r="E7" s="79"/>
      <c r="F7" s="79"/>
      <c r="G7" s="79"/>
      <c r="J7" s="1"/>
    </row>
    <row r="8" spans="1:72" ht="9" customHeight="1" x14ac:dyDescent="0.25">
      <c r="A8" s="80"/>
      <c r="B8" s="81"/>
      <c r="C8" s="81"/>
      <c r="D8" s="81"/>
      <c r="E8" s="81"/>
      <c r="F8" s="81"/>
      <c r="G8" s="81"/>
      <c r="J8" s="1"/>
    </row>
    <row r="9" spans="1:72" ht="11.25" customHeight="1" x14ac:dyDescent="0.25">
      <c r="G9" s="82" t="s">
        <v>3</v>
      </c>
    </row>
    <row r="10" spans="1:72" s="86" customFormat="1" ht="36.75" customHeight="1" x14ac:dyDescent="0.2">
      <c r="A10" s="83" t="s">
        <v>81</v>
      </c>
      <c r="B10" s="83" t="s">
        <v>82</v>
      </c>
      <c r="C10" s="83" t="s">
        <v>83</v>
      </c>
      <c r="D10" s="83" t="s">
        <v>84</v>
      </c>
      <c r="E10" s="84" t="s">
        <v>7</v>
      </c>
      <c r="F10" s="84" t="s">
        <v>85</v>
      </c>
      <c r="G10" s="84" t="s">
        <v>86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</row>
    <row r="11" spans="1:72" s="89" customFormat="1" ht="10.5" customHeight="1" x14ac:dyDescent="0.2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</row>
    <row r="12" spans="1:72" s="129" customFormat="1" ht="15.75" customHeight="1" x14ac:dyDescent="0.2">
      <c r="A12" s="90"/>
      <c r="B12" s="91"/>
      <c r="C12" s="92"/>
      <c r="D12" s="92"/>
      <c r="E12" s="93" t="s">
        <v>28</v>
      </c>
      <c r="F12" s="94">
        <f>5350+9150+36625</f>
        <v>51125</v>
      </c>
      <c r="G12" s="95" t="s">
        <v>87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</row>
    <row r="13" spans="1:72" s="129" customFormat="1" ht="24" x14ac:dyDescent="0.2">
      <c r="A13" s="96" t="s">
        <v>88</v>
      </c>
      <c r="B13" s="97" t="s">
        <v>89</v>
      </c>
      <c r="C13" s="92" t="s">
        <v>49</v>
      </c>
      <c r="D13" s="92" t="s">
        <v>90</v>
      </c>
      <c r="E13" s="98" t="s">
        <v>87</v>
      </c>
      <c r="F13" s="99" t="s">
        <v>87</v>
      </c>
      <c r="G13" s="100">
        <f>SUM(G15)</f>
        <v>51125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</row>
    <row r="14" spans="1:72" s="129" customFormat="1" ht="9" customHeight="1" x14ac:dyDescent="0.2">
      <c r="A14" s="90"/>
      <c r="B14" s="101"/>
      <c r="C14" s="92"/>
      <c r="D14" s="92"/>
      <c r="E14" s="92"/>
      <c r="F14" s="102"/>
      <c r="G14" s="130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</row>
    <row r="15" spans="1:72" s="129" customFormat="1" ht="15.75" customHeight="1" x14ac:dyDescent="0.2">
      <c r="A15" s="90"/>
      <c r="B15" s="131" t="s">
        <v>50</v>
      </c>
      <c r="C15" s="92"/>
      <c r="D15" s="92"/>
      <c r="E15" s="92"/>
      <c r="F15" s="102"/>
      <c r="G15" s="130">
        <f>SUM(G16:G17)</f>
        <v>51125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</row>
    <row r="16" spans="1:72" s="129" customFormat="1" ht="15.75" customHeight="1" x14ac:dyDescent="0.2">
      <c r="A16" s="90"/>
      <c r="B16" s="131"/>
      <c r="C16" s="92"/>
      <c r="D16" s="92"/>
      <c r="E16" s="92" t="s">
        <v>91</v>
      </c>
      <c r="F16" s="102" t="s">
        <v>87</v>
      </c>
      <c r="G16" s="103">
        <v>8500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</row>
    <row r="17" spans="1:72" s="129" customFormat="1" ht="15.75" customHeight="1" x14ac:dyDescent="0.2">
      <c r="A17" s="90"/>
      <c r="B17" s="131"/>
      <c r="C17" s="92"/>
      <c r="D17" s="92"/>
      <c r="E17" s="92" t="s">
        <v>92</v>
      </c>
      <c r="F17" s="102" t="s">
        <v>87</v>
      </c>
      <c r="G17" s="103">
        <f>5350+9150+36625-8500</f>
        <v>42625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</row>
    <row r="18" spans="1:72" s="129" customFormat="1" ht="15.75" customHeight="1" x14ac:dyDescent="0.2">
      <c r="A18" s="104"/>
      <c r="B18" s="105"/>
      <c r="C18" s="106"/>
      <c r="D18" s="93"/>
      <c r="E18" s="93"/>
      <c r="F18" s="95"/>
      <c r="G18" s="107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</row>
    <row r="19" spans="1:72" s="129" customFormat="1" ht="15.75" customHeight="1" x14ac:dyDescent="0.2">
      <c r="A19" s="90"/>
      <c r="B19" s="91"/>
      <c r="C19" s="92"/>
      <c r="D19" s="92"/>
      <c r="E19" s="93" t="s">
        <v>28</v>
      </c>
      <c r="F19" s="94">
        <f>9095+9126+6997+1281+4296</f>
        <v>30795</v>
      </c>
      <c r="G19" s="95" t="s">
        <v>87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1:72" s="129" customFormat="1" ht="20.25" customHeight="1" x14ac:dyDescent="0.2">
      <c r="A20" s="96" t="s">
        <v>93</v>
      </c>
      <c r="B20" s="108" t="s">
        <v>94</v>
      </c>
      <c r="C20" s="92" t="s">
        <v>95</v>
      </c>
      <c r="D20" s="92" t="s">
        <v>96</v>
      </c>
      <c r="E20" s="98" t="s">
        <v>87</v>
      </c>
      <c r="F20" s="99" t="s">
        <v>87</v>
      </c>
      <c r="G20" s="100">
        <f>SUM(G22)</f>
        <v>30795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</row>
    <row r="21" spans="1:72" s="129" customFormat="1" ht="10.5" customHeight="1" x14ac:dyDescent="0.2">
      <c r="A21" s="90"/>
      <c r="B21" s="101"/>
      <c r="C21" s="92"/>
      <c r="D21" s="92"/>
      <c r="E21" s="92"/>
      <c r="F21" s="102"/>
      <c r="G21" s="130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</row>
    <row r="22" spans="1:72" s="129" customFormat="1" ht="15.75" customHeight="1" x14ac:dyDescent="0.2">
      <c r="A22" s="90"/>
      <c r="B22" s="131" t="s">
        <v>50</v>
      </c>
      <c r="C22" s="92"/>
      <c r="D22" s="92"/>
      <c r="E22" s="92"/>
      <c r="F22" s="102"/>
      <c r="G22" s="130">
        <f>SUM(G23:G26)</f>
        <v>30795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</row>
    <row r="23" spans="1:72" s="129" customFormat="1" ht="15.75" customHeight="1" x14ac:dyDescent="0.2">
      <c r="A23" s="90"/>
      <c r="B23" s="91"/>
      <c r="C23" s="109"/>
      <c r="D23" s="92"/>
      <c r="E23" s="92" t="s">
        <v>91</v>
      </c>
      <c r="F23" s="102" t="s">
        <v>87</v>
      </c>
      <c r="G23" s="103">
        <f>6793+17721+1255+4296</f>
        <v>30065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</row>
    <row r="24" spans="1:72" s="129" customFormat="1" ht="15.75" customHeight="1" x14ac:dyDescent="0.2">
      <c r="A24" s="90"/>
      <c r="B24" s="91"/>
      <c r="C24" s="109"/>
      <c r="D24" s="92"/>
      <c r="E24" s="92" t="s">
        <v>92</v>
      </c>
      <c r="F24" s="102" t="s">
        <v>87</v>
      </c>
      <c r="G24" s="103">
        <v>30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</row>
    <row r="25" spans="1:72" s="129" customFormat="1" ht="15.75" customHeight="1" x14ac:dyDescent="0.2">
      <c r="A25" s="90"/>
      <c r="B25" s="91"/>
      <c r="C25" s="109"/>
      <c r="D25" s="92"/>
      <c r="E25" s="92" t="s">
        <v>97</v>
      </c>
      <c r="F25" s="102" t="s">
        <v>87</v>
      </c>
      <c r="G25" s="103">
        <f>92+470+21</f>
        <v>583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</row>
    <row r="26" spans="1:72" s="129" customFormat="1" ht="15.75" customHeight="1" x14ac:dyDescent="0.2">
      <c r="A26" s="90"/>
      <c r="B26" s="91"/>
      <c r="C26" s="109"/>
      <c r="D26" s="92"/>
      <c r="E26" s="92" t="s">
        <v>98</v>
      </c>
      <c r="F26" s="102" t="s">
        <v>87</v>
      </c>
      <c r="G26" s="103">
        <f>112+5</f>
        <v>117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</row>
    <row r="27" spans="1:72" s="129" customFormat="1" ht="15.75" customHeight="1" x14ac:dyDescent="0.2">
      <c r="A27" s="104"/>
      <c r="B27" s="105"/>
      <c r="C27" s="106"/>
      <c r="D27" s="93"/>
      <c r="E27" s="93"/>
      <c r="F27" s="95"/>
      <c r="G27" s="10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</row>
    <row r="28" spans="1:72" s="129" customFormat="1" ht="15.75" customHeight="1" x14ac:dyDescent="0.2">
      <c r="A28" s="90"/>
      <c r="B28" s="91"/>
      <c r="C28" s="92"/>
      <c r="D28" s="92"/>
      <c r="E28" s="93" t="s">
        <v>28</v>
      </c>
      <c r="F28" s="94">
        <f>119646+106488+19584+20502+11322+7038+12852+12546+5508+6426</f>
        <v>321912</v>
      </c>
      <c r="G28" s="95" t="s">
        <v>87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</row>
    <row r="29" spans="1:72" s="129" customFormat="1" ht="24" x14ac:dyDescent="0.2">
      <c r="A29" s="96" t="s">
        <v>99</v>
      </c>
      <c r="B29" s="97" t="s">
        <v>100</v>
      </c>
      <c r="C29" s="92" t="s">
        <v>101</v>
      </c>
      <c r="D29" s="92" t="s">
        <v>102</v>
      </c>
      <c r="E29" s="98" t="s">
        <v>87</v>
      </c>
      <c r="F29" s="99" t="s">
        <v>87</v>
      </c>
      <c r="G29" s="100">
        <f>SUM(G31)</f>
        <v>321912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</row>
    <row r="30" spans="1:72" s="129" customFormat="1" ht="10.5" customHeight="1" x14ac:dyDescent="0.2">
      <c r="A30" s="90"/>
      <c r="B30" s="101"/>
      <c r="C30" s="92"/>
      <c r="D30" s="92"/>
      <c r="E30" s="92"/>
      <c r="F30" s="102"/>
      <c r="G30" s="130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</row>
    <row r="31" spans="1:72" s="129" customFormat="1" ht="15.75" customHeight="1" x14ac:dyDescent="0.2">
      <c r="A31" s="90"/>
      <c r="B31" s="131" t="s">
        <v>50</v>
      </c>
      <c r="C31" s="92"/>
      <c r="D31" s="92"/>
      <c r="E31" s="92"/>
      <c r="F31" s="102"/>
      <c r="G31" s="130">
        <f>SUM(G32:G34)</f>
        <v>321912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</row>
    <row r="32" spans="1:72" s="129" customFormat="1" ht="15.75" customHeight="1" x14ac:dyDescent="0.2">
      <c r="A32" s="90"/>
      <c r="B32" s="91"/>
      <c r="C32" s="92"/>
      <c r="D32" s="92"/>
      <c r="E32" s="92" t="s">
        <v>91</v>
      </c>
      <c r="F32" s="102" t="s">
        <v>87</v>
      </c>
      <c r="G32" s="103">
        <f>12600+279000+5400+12300+6300</f>
        <v>315600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</row>
    <row r="33" spans="1:72" s="129" customFormat="1" ht="15.75" customHeight="1" x14ac:dyDescent="0.2">
      <c r="A33" s="90"/>
      <c r="B33" s="91"/>
      <c r="C33" s="109"/>
      <c r="D33" s="92"/>
      <c r="E33" s="92" t="s">
        <v>97</v>
      </c>
      <c r="F33" s="102" t="s">
        <v>87</v>
      </c>
      <c r="G33" s="103">
        <f>210+4638+90+205+105</f>
        <v>5248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</row>
    <row r="34" spans="1:72" s="129" customFormat="1" ht="15.75" customHeight="1" x14ac:dyDescent="0.2">
      <c r="A34" s="90"/>
      <c r="B34" s="91"/>
      <c r="C34" s="109"/>
      <c r="D34" s="92"/>
      <c r="E34" s="92" t="s">
        <v>98</v>
      </c>
      <c r="F34" s="102" t="s">
        <v>87</v>
      </c>
      <c r="G34" s="103">
        <f>42+815+115+12+18+41+21</f>
        <v>1064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</row>
    <row r="35" spans="1:72" s="129" customFormat="1" ht="15.75" customHeight="1" x14ac:dyDescent="0.2">
      <c r="A35" s="104"/>
      <c r="B35" s="105"/>
      <c r="C35" s="106"/>
      <c r="D35" s="93"/>
      <c r="E35" s="93"/>
      <c r="F35" s="95"/>
      <c r="G35" s="107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</row>
    <row r="36" spans="1:72" s="129" customFormat="1" ht="21.75" customHeight="1" x14ac:dyDescent="0.2">
      <c r="A36" s="90"/>
      <c r="B36" s="91"/>
      <c r="C36" s="92" t="s">
        <v>103</v>
      </c>
      <c r="D36" s="92" t="s">
        <v>104</v>
      </c>
      <c r="E36" s="93" t="s">
        <v>28</v>
      </c>
      <c r="F36" s="94">
        <f>55248+183549+25396+225667+26112+20400+296179+19787+194352</f>
        <v>1046690</v>
      </c>
      <c r="G36" s="95" t="s">
        <v>87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</row>
    <row r="37" spans="1:72" s="129" customFormat="1" ht="25.5" customHeight="1" x14ac:dyDescent="0.2">
      <c r="A37" s="96" t="s">
        <v>105</v>
      </c>
      <c r="B37" s="97" t="s">
        <v>106</v>
      </c>
      <c r="C37" s="92"/>
      <c r="D37" s="92"/>
      <c r="E37" s="98" t="s">
        <v>87</v>
      </c>
      <c r="F37" s="99" t="s">
        <v>87</v>
      </c>
      <c r="G37" s="100">
        <f>SUM(G40,G48,G56,G64,G71,G78,G85,G92)</f>
        <v>1046689.9999999999</v>
      </c>
      <c r="H37" s="128"/>
      <c r="I37" s="110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</row>
    <row r="38" spans="1:72" s="129" customFormat="1" ht="7.5" customHeight="1" x14ac:dyDescent="0.2">
      <c r="A38" s="90"/>
      <c r="B38" s="91"/>
      <c r="C38" s="109"/>
      <c r="D38" s="92"/>
      <c r="E38" s="92"/>
      <c r="F38" s="102"/>
      <c r="G38" s="103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</row>
    <row r="39" spans="1:72" s="129" customFormat="1" ht="12.75" customHeight="1" x14ac:dyDescent="0.2">
      <c r="A39" s="90"/>
      <c r="B39" s="91"/>
      <c r="C39" s="109"/>
      <c r="D39" s="92"/>
      <c r="E39" s="92"/>
      <c r="F39" s="102"/>
      <c r="G39" s="103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</row>
    <row r="40" spans="1:72" s="129" customFormat="1" ht="15.75" customHeight="1" x14ac:dyDescent="0.2">
      <c r="A40" s="90"/>
      <c r="B40" s="131" t="s">
        <v>54</v>
      </c>
      <c r="C40" s="92" t="s">
        <v>107</v>
      </c>
      <c r="D40" s="92" t="s">
        <v>108</v>
      </c>
      <c r="E40" s="98" t="s">
        <v>87</v>
      </c>
      <c r="F40" s="99" t="s">
        <v>87</v>
      </c>
      <c r="G40" s="100">
        <f>SUM(G42)</f>
        <v>868885.79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</row>
    <row r="41" spans="1:72" s="129" customFormat="1" ht="7.5" customHeight="1" x14ac:dyDescent="0.2">
      <c r="A41" s="90"/>
      <c r="B41" s="91"/>
      <c r="C41" s="109"/>
      <c r="D41" s="92"/>
      <c r="E41" s="92"/>
      <c r="F41" s="102"/>
      <c r="G41" s="103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</row>
    <row r="42" spans="1:72" s="129" customFormat="1" ht="15.75" customHeight="1" x14ac:dyDescent="0.2">
      <c r="A42" s="90"/>
      <c r="B42" s="91"/>
      <c r="C42" s="109"/>
      <c r="D42" s="92"/>
      <c r="E42" s="92"/>
      <c r="F42" s="102"/>
      <c r="G42" s="130">
        <f>SUM(G43:G46)</f>
        <v>868885.79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</row>
    <row r="43" spans="1:72" s="129" customFormat="1" ht="15.75" customHeight="1" x14ac:dyDescent="0.2">
      <c r="A43" s="90"/>
      <c r="B43" s="91"/>
      <c r="C43" s="109"/>
      <c r="D43" s="92"/>
      <c r="E43" s="92" t="s">
        <v>62</v>
      </c>
      <c r="F43" s="102" t="s">
        <v>87</v>
      </c>
      <c r="G43" s="103">
        <f>6956.19</f>
        <v>6956.19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</row>
    <row r="44" spans="1:72" s="129" customFormat="1" ht="15.75" customHeight="1" x14ac:dyDescent="0.2">
      <c r="A44" s="90"/>
      <c r="B44" s="91"/>
      <c r="C44" s="109"/>
      <c r="D44" s="92"/>
      <c r="E44" s="92" t="s">
        <v>97</v>
      </c>
      <c r="F44" s="102" t="s">
        <v>87</v>
      </c>
      <c r="G44" s="103">
        <f>23300+23803.29</f>
        <v>47103.29</v>
      </c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</row>
    <row r="45" spans="1:72" s="129" customFormat="1" ht="15.75" customHeight="1" x14ac:dyDescent="0.2">
      <c r="A45" s="90"/>
      <c r="B45" s="91"/>
      <c r="C45" s="109"/>
      <c r="D45" s="92"/>
      <c r="E45" s="92" t="s">
        <v>109</v>
      </c>
      <c r="F45" s="102" t="s">
        <v>87</v>
      </c>
      <c r="G45" s="103">
        <f>212347.85+304328.54+135776.15</f>
        <v>652452.54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</row>
    <row r="46" spans="1:72" s="129" customFormat="1" ht="15.75" customHeight="1" x14ac:dyDescent="0.2">
      <c r="A46" s="90"/>
      <c r="B46" s="91"/>
      <c r="C46" s="109"/>
      <c r="D46" s="92"/>
      <c r="E46" s="92" t="s">
        <v>98</v>
      </c>
      <c r="F46" s="102" t="s">
        <v>87</v>
      </c>
      <c r="G46" s="103">
        <f>49549.15+79640.81+33183.81</f>
        <v>162373.76999999999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</row>
    <row r="47" spans="1:72" s="129" customFormat="1" ht="12.75" customHeight="1" x14ac:dyDescent="0.2">
      <c r="A47" s="104"/>
      <c r="B47" s="105"/>
      <c r="C47" s="106"/>
      <c r="D47" s="93"/>
      <c r="E47" s="93"/>
      <c r="F47" s="95"/>
      <c r="G47" s="107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</row>
    <row r="48" spans="1:72" s="129" customFormat="1" ht="21.75" customHeight="1" x14ac:dyDescent="0.2">
      <c r="A48" s="90"/>
      <c r="B48" s="131" t="s">
        <v>54</v>
      </c>
      <c r="C48" s="92" t="s">
        <v>107</v>
      </c>
      <c r="D48" s="92" t="s">
        <v>110</v>
      </c>
      <c r="E48" s="93" t="s">
        <v>87</v>
      </c>
      <c r="F48" s="95" t="s">
        <v>87</v>
      </c>
      <c r="G48" s="94">
        <f>SUM(G50)</f>
        <v>20746.010000000002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</row>
    <row r="49" spans="1:72" s="129" customFormat="1" ht="12.75" customHeight="1" x14ac:dyDescent="0.2">
      <c r="A49" s="90"/>
      <c r="B49" s="91"/>
      <c r="C49" s="109"/>
      <c r="D49" s="92"/>
      <c r="E49" s="92"/>
      <c r="F49" s="102"/>
      <c r="G49" s="103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</row>
    <row r="50" spans="1:72" s="129" customFormat="1" ht="15.75" customHeight="1" x14ac:dyDescent="0.2">
      <c r="A50" s="90"/>
      <c r="B50" s="91"/>
      <c r="C50" s="109"/>
      <c r="D50" s="92"/>
      <c r="E50" s="92"/>
      <c r="F50" s="102"/>
      <c r="G50" s="130">
        <f>SUM(G51:G54)</f>
        <v>20746.010000000002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</row>
    <row r="51" spans="1:72" s="129" customFormat="1" ht="15.75" customHeight="1" x14ac:dyDescent="0.2">
      <c r="A51" s="90"/>
      <c r="B51" s="91"/>
      <c r="C51" s="109"/>
      <c r="D51" s="92"/>
      <c r="E51" s="92" t="s">
        <v>92</v>
      </c>
      <c r="F51" s="102" t="s">
        <v>87</v>
      </c>
      <c r="G51" s="103">
        <f>412.5</f>
        <v>412.5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</row>
    <row r="52" spans="1:72" s="129" customFormat="1" ht="15.75" customHeight="1" x14ac:dyDescent="0.2">
      <c r="A52" s="90"/>
      <c r="B52" s="91"/>
      <c r="C52" s="109"/>
      <c r="D52" s="92"/>
      <c r="E52" s="92" t="s">
        <v>97</v>
      </c>
      <c r="F52" s="102" t="s">
        <v>87</v>
      </c>
      <c r="G52" s="103">
        <f>3900</f>
        <v>3900</v>
      </c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</row>
    <row r="53" spans="1:72" s="129" customFormat="1" ht="15.75" customHeight="1" x14ac:dyDescent="0.2">
      <c r="A53" s="90"/>
      <c r="B53" s="91"/>
      <c r="C53" s="109"/>
      <c r="D53" s="92"/>
      <c r="E53" s="92" t="s">
        <v>109</v>
      </c>
      <c r="F53" s="102" t="s">
        <v>87</v>
      </c>
      <c r="G53" s="103">
        <f>12295</f>
        <v>12295</v>
      </c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</row>
    <row r="54" spans="1:72" s="129" customFormat="1" ht="15.75" customHeight="1" x14ac:dyDescent="0.2">
      <c r="A54" s="90"/>
      <c r="B54" s="91"/>
      <c r="C54" s="109"/>
      <c r="D54" s="92"/>
      <c r="E54" s="92" t="s">
        <v>98</v>
      </c>
      <c r="F54" s="102" t="s">
        <v>87</v>
      </c>
      <c r="G54" s="103">
        <f>4138.51</f>
        <v>4138.51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</row>
    <row r="55" spans="1:72" s="129" customFormat="1" ht="12.75" customHeight="1" x14ac:dyDescent="0.2">
      <c r="A55" s="90"/>
      <c r="B55" s="91"/>
      <c r="C55" s="109"/>
      <c r="D55" s="92"/>
      <c r="E55" s="92"/>
      <c r="F55" s="102"/>
      <c r="G55" s="103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</row>
    <row r="56" spans="1:72" s="129" customFormat="1" ht="15.75" customHeight="1" x14ac:dyDescent="0.2">
      <c r="A56" s="90"/>
      <c r="B56" s="131" t="s">
        <v>54</v>
      </c>
      <c r="C56" s="92" t="s">
        <v>107</v>
      </c>
      <c r="D56" s="92" t="s">
        <v>111</v>
      </c>
      <c r="E56" s="98" t="s">
        <v>87</v>
      </c>
      <c r="F56" s="99" t="s">
        <v>87</v>
      </c>
      <c r="G56" s="100">
        <f>SUM(G58)</f>
        <v>60156.729999999996</v>
      </c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</row>
    <row r="57" spans="1:72" s="129" customFormat="1" ht="6.75" customHeight="1" x14ac:dyDescent="0.2">
      <c r="A57" s="90"/>
      <c r="B57" s="91"/>
      <c r="C57" s="109"/>
      <c r="D57" s="92"/>
      <c r="E57" s="92"/>
      <c r="F57" s="102"/>
      <c r="G57" s="103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</row>
    <row r="58" spans="1:72" s="129" customFormat="1" ht="15.75" customHeight="1" x14ac:dyDescent="0.2">
      <c r="A58" s="90"/>
      <c r="B58" s="91"/>
      <c r="C58" s="109"/>
      <c r="D58" s="92"/>
      <c r="E58" s="92"/>
      <c r="F58" s="102"/>
      <c r="G58" s="130">
        <f>SUM(G59:G62)</f>
        <v>60156.729999999996</v>
      </c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</row>
    <row r="59" spans="1:72" s="129" customFormat="1" ht="15.75" customHeight="1" x14ac:dyDescent="0.2">
      <c r="A59" s="90"/>
      <c r="B59" s="91"/>
      <c r="C59" s="109"/>
      <c r="D59" s="92"/>
      <c r="E59" s="92" t="s">
        <v>62</v>
      </c>
      <c r="F59" s="102" t="s">
        <v>87</v>
      </c>
      <c r="G59" s="103">
        <f>23691.12</f>
        <v>23691.119999999999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</row>
    <row r="60" spans="1:72" s="129" customFormat="1" ht="15.75" customHeight="1" x14ac:dyDescent="0.2">
      <c r="A60" s="90"/>
      <c r="B60" s="91"/>
      <c r="C60" s="109"/>
      <c r="D60" s="92"/>
      <c r="E60" s="92" t="s">
        <v>97</v>
      </c>
      <c r="F60" s="102" t="s">
        <v>87</v>
      </c>
      <c r="G60" s="103">
        <f>2000+7149.84</f>
        <v>9149.84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</row>
    <row r="61" spans="1:72" s="129" customFormat="1" ht="15.75" customHeight="1" x14ac:dyDescent="0.2">
      <c r="A61" s="90"/>
      <c r="B61" s="91"/>
      <c r="C61" s="109"/>
      <c r="D61" s="92"/>
      <c r="E61" s="92" t="s">
        <v>109</v>
      </c>
      <c r="F61" s="102" t="s">
        <v>87</v>
      </c>
      <c r="G61" s="103">
        <v>20405.04</v>
      </c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</row>
    <row r="62" spans="1:72" s="129" customFormat="1" ht="15.75" customHeight="1" x14ac:dyDescent="0.2">
      <c r="A62" s="90"/>
      <c r="B62" s="91"/>
      <c r="C62" s="109"/>
      <c r="D62" s="92"/>
      <c r="E62" s="92" t="s">
        <v>98</v>
      </c>
      <c r="F62" s="102" t="s">
        <v>87</v>
      </c>
      <c r="G62" s="103">
        <f>392.8+1530.93+4987</f>
        <v>6910.73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</row>
    <row r="63" spans="1:72" s="129" customFormat="1" ht="12.75" customHeight="1" x14ac:dyDescent="0.2">
      <c r="A63" s="90"/>
      <c r="B63" s="91"/>
      <c r="C63" s="109"/>
      <c r="D63" s="92"/>
      <c r="E63" s="92"/>
      <c r="F63" s="102"/>
      <c r="G63" s="103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</row>
    <row r="64" spans="1:72" s="129" customFormat="1" ht="15.75" customHeight="1" x14ac:dyDescent="0.2">
      <c r="A64" s="90"/>
      <c r="B64" s="131" t="s">
        <v>54</v>
      </c>
      <c r="C64" s="92" t="s">
        <v>107</v>
      </c>
      <c r="D64" s="92" t="s">
        <v>112</v>
      </c>
      <c r="E64" s="98" t="s">
        <v>87</v>
      </c>
      <c r="F64" s="99" t="s">
        <v>87</v>
      </c>
      <c r="G64" s="100">
        <f>SUM(G66)</f>
        <v>8589.2000000000007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</row>
    <row r="65" spans="1:72" s="129" customFormat="1" ht="8.25" customHeight="1" x14ac:dyDescent="0.2">
      <c r="A65" s="90"/>
      <c r="B65" s="91"/>
      <c r="C65" s="109"/>
      <c r="D65" s="92"/>
      <c r="E65" s="92"/>
      <c r="F65" s="102"/>
      <c r="G65" s="103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</row>
    <row r="66" spans="1:72" s="129" customFormat="1" ht="15.75" customHeight="1" x14ac:dyDescent="0.2">
      <c r="A66" s="90"/>
      <c r="B66" s="91"/>
      <c r="C66" s="109"/>
      <c r="D66" s="92"/>
      <c r="E66" s="92"/>
      <c r="F66" s="102"/>
      <c r="G66" s="130">
        <f>SUM(G67:G69)</f>
        <v>8589.2000000000007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</row>
    <row r="67" spans="1:72" s="129" customFormat="1" ht="15.75" customHeight="1" x14ac:dyDescent="0.2">
      <c r="A67" s="90"/>
      <c r="B67" s="91"/>
      <c r="C67" s="109"/>
      <c r="D67" s="92"/>
      <c r="E67" s="92" t="s">
        <v>97</v>
      </c>
      <c r="F67" s="102" t="s">
        <v>87</v>
      </c>
      <c r="G67" s="103">
        <f>3000</f>
        <v>3000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</row>
    <row r="68" spans="1:72" s="129" customFormat="1" ht="15.75" customHeight="1" x14ac:dyDescent="0.2">
      <c r="A68" s="90"/>
      <c r="B68" s="91"/>
      <c r="C68" s="109"/>
      <c r="D68" s="92"/>
      <c r="E68" s="92" t="s">
        <v>109</v>
      </c>
      <c r="F68" s="102" t="s">
        <v>87</v>
      </c>
      <c r="G68" s="103">
        <f>5000</f>
        <v>5000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</row>
    <row r="69" spans="1:72" s="129" customFormat="1" ht="15.75" customHeight="1" x14ac:dyDescent="0.2">
      <c r="A69" s="90"/>
      <c r="B69" s="91"/>
      <c r="C69" s="109"/>
      <c r="D69" s="92"/>
      <c r="E69" s="92" t="s">
        <v>98</v>
      </c>
      <c r="F69" s="102" t="s">
        <v>87</v>
      </c>
      <c r="G69" s="103">
        <f>589.2</f>
        <v>589.20000000000005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</row>
    <row r="70" spans="1:72" s="129" customFormat="1" ht="12.75" customHeight="1" x14ac:dyDescent="0.2">
      <c r="A70" s="90"/>
      <c r="B70" s="91"/>
      <c r="C70" s="109"/>
      <c r="D70" s="92"/>
      <c r="E70" s="92"/>
      <c r="F70" s="102"/>
      <c r="G70" s="103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</row>
    <row r="71" spans="1:72" s="129" customFormat="1" ht="15.75" customHeight="1" x14ac:dyDescent="0.2">
      <c r="A71" s="90"/>
      <c r="B71" s="131" t="s">
        <v>54</v>
      </c>
      <c r="C71" s="92" t="s">
        <v>107</v>
      </c>
      <c r="D71" s="92" t="s">
        <v>113</v>
      </c>
      <c r="E71" s="98" t="s">
        <v>87</v>
      </c>
      <c r="F71" s="99" t="s">
        <v>87</v>
      </c>
      <c r="G71" s="100">
        <f>SUM(G73)</f>
        <v>15001.84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</row>
    <row r="72" spans="1:72" s="129" customFormat="1" ht="15.75" customHeight="1" x14ac:dyDescent="0.2">
      <c r="A72" s="90"/>
      <c r="B72" s="91"/>
      <c r="C72" s="109"/>
      <c r="D72" s="92"/>
      <c r="E72" s="92"/>
      <c r="F72" s="102"/>
      <c r="G72" s="103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</row>
    <row r="73" spans="1:72" s="129" customFormat="1" ht="15.75" customHeight="1" x14ac:dyDescent="0.2">
      <c r="A73" s="90"/>
      <c r="B73" s="91"/>
      <c r="C73" s="109"/>
      <c r="D73" s="92"/>
      <c r="E73" s="92"/>
      <c r="F73" s="102"/>
      <c r="G73" s="130">
        <f>SUM(G74:G76)</f>
        <v>15001.84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</row>
    <row r="74" spans="1:72" s="129" customFormat="1" ht="15.75" customHeight="1" x14ac:dyDescent="0.2">
      <c r="A74" s="90"/>
      <c r="B74" s="91"/>
      <c r="C74" s="109"/>
      <c r="D74" s="92"/>
      <c r="E74" s="92" t="s">
        <v>97</v>
      </c>
      <c r="F74" s="102" t="s">
        <v>87</v>
      </c>
      <c r="G74" s="103">
        <v>60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</row>
    <row r="75" spans="1:72" s="129" customFormat="1" ht="15.75" customHeight="1" x14ac:dyDescent="0.2">
      <c r="A75" s="90"/>
      <c r="B75" s="91"/>
      <c r="C75" s="109"/>
      <c r="D75" s="92"/>
      <c r="E75" s="92" t="s">
        <v>109</v>
      </c>
      <c r="F75" s="102" t="s">
        <v>87</v>
      </c>
      <c r="G75" s="103">
        <f>1800+9128.31+742.19</f>
        <v>11670.5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</row>
    <row r="76" spans="1:72" s="129" customFormat="1" ht="15.75" customHeight="1" x14ac:dyDescent="0.2">
      <c r="A76" s="90"/>
      <c r="B76" s="91"/>
      <c r="C76" s="109"/>
      <c r="D76" s="92"/>
      <c r="E76" s="92" t="s">
        <v>98</v>
      </c>
      <c r="F76" s="102" t="s">
        <v>87</v>
      </c>
      <c r="G76" s="103">
        <f>1021.9+2068.02+181.42</f>
        <v>3271.34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</row>
    <row r="77" spans="1:72" s="129" customFormat="1" ht="15.75" customHeight="1" x14ac:dyDescent="0.2">
      <c r="A77" s="90"/>
      <c r="B77" s="91"/>
      <c r="C77" s="109"/>
      <c r="D77" s="92"/>
      <c r="E77" s="92"/>
      <c r="F77" s="102"/>
      <c r="G77" s="103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</row>
    <row r="78" spans="1:72" s="129" customFormat="1" ht="15.75" customHeight="1" x14ac:dyDescent="0.2">
      <c r="A78" s="90"/>
      <c r="B78" s="131" t="s">
        <v>54</v>
      </c>
      <c r="C78" s="92" t="s">
        <v>107</v>
      </c>
      <c r="D78" s="92" t="s">
        <v>114</v>
      </c>
      <c r="E78" s="98" t="s">
        <v>87</v>
      </c>
      <c r="F78" s="99" t="s">
        <v>87</v>
      </c>
      <c r="G78" s="100">
        <f>SUM(G80)</f>
        <v>2880.07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</row>
    <row r="79" spans="1:72" s="129" customFormat="1" ht="15.75" customHeight="1" x14ac:dyDescent="0.2">
      <c r="A79" s="90"/>
      <c r="B79" s="91"/>
      <c r="C79" s="109"/>
      <c r="D79" s="92"/>
      <c r="E79" s="92"/>
      <c r="F79" s="102"/>
      <c r="G79" s="103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</row>
    <row r="80" spans="1:72" s="129" customFormat="1" ht="15.75" customHeight="1" x14ac:dyDescent="0.2">
      <c r="A80" s="90"/>
      <c r="B80" s="91"/>
      <c r="C80" s="109"/>
      <c r="D80" s="92"/>
      <c r="E80" s="92"/>
      <c r="F80" s="102"/>
      <c r="G80" s="130">
        <f>SUM(G81:G83)</f>
        <v>2880.07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</row>
    <row r="81" spans="1:72" s="129" customFormat="1" ht="15.75" customHeight="1" x14ac:dyDescent="0.2">
      <c r="A81" s="90"/>
      <c r="B81" s="91"/>
      <c r="C81" s="109"/>
      <c r="D81" s="92"/>
      <c r="E81" s="92" t="s">
        <v>97</v>
      </c>
      <c r="F81" s="102" t="s">
        <v>87</v>
      </c>
      <c r="G81" s="103">
        <f>55</f>
        <v>55</v>
      </c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</row>
    <row r="82" spans="1:72" s="129" customFormat="1" ht="15.75" customHeight="1" x14ac:dyDescent="0.2">
      <c r="A82" s="90"/>
      <c r="B82" s="91"/>
      <c r="C82" s="109"/>
      <c r="D82" s="92"/>
      <c r="E82" s="92" t="s">
        <v>109</v>
      </c>
      <c r="F82" s="102" t="s">
        <v>87</v>
      </c>
      <c r="G82" s="103">
        <f>1562.39+768.26</f>
        <v>2330.65</v>
      </c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</row>
    <row r="83" spans="1:72" s="129" customFormat="1" ht="15.75" customHeight="1" x14ac:dyDescent="0.2">
      <c r="A83" s="90"/>
      <c r="B83" s="91"/>
      <c r="C83" s="109"/>
      <c r="D83" s="92"/>
      <c r="E83" s="92" t="s">
        <v>98</v>
      </c>
      <c r="F83" s="102" t="s">
        <v>87</v>
      </c>
      <c r="G83" s="103">
        <f>306.66+187.76</f>
        <v>494.42</v>
      </c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</row>
    <row r="84" spans="1:72" s="129" customFormat="1" ht="15.75" customHeight="1" x14ac:dyDescent="0.2">
      <c r="A84" s="90"/>
      <c r="B84" s="91"/>
      <c r="C84" s="109"/>
      <c r="D84" s="92"/>
      <c r="E84" s="92"/>
      <c r="F84" s="102"/>
      <c r="G84" s="103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</row>
    <row r="85" spans="1:72" s="129" customFormat="1" ht="15.75" customHeight="1" x14ac:dyDescent="0.2">
      <c r="A85" s="90"/>
      <c r="B85" s="131" t="s">
        <v>54</v>
      </c>
      <c r="C85" s="92" t="s">
        <v>107</v>
      </c>
      <c r="D85" s="92" t="s">
        <v>115</v>
      </c>
      <c r="E85" s="98" t="s">
        <v>87</v>
      </c>
      <c r="F85" s="99" t="s">
        <v>87</v>
      </c>
      <c r="G85" s="100">
        <f>SUM(G87)</f>
        <v>62821.61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</row>
    <row r="86" spans="1:72" s="129" customFormat="1" ht="12.75" customHeight="1" x14ac:dyDescent="0.2">
      <c r="A86" s="90"/>
      <c r="B86" s="91"/>
      <c r="C86" s="109"/>
      <c r="D86" s="92"/>
      <c r="E86" s="92"/>
      <c r="F86" s="102"/>
      <c r="G86" s="103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</row>
    <row r="87" spans="1:72" s="129" customFormat="1" ht="15.75" customHeight="1" x14ac:dyDescent="0.2">
      <c r="A87" s="90"/>
      <c r="B87" s="91"/>
      <c r="C87" s="109"/>
      <c r="D87" s="92"/>
      <c r="E87" s="92"/>
      <c r="F87" s="102"/>
      <c r="G87" s="130">
        <f>SUM(G88:G90)</f>
        <v>62821.61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</row>
    <row r="88" spans="1:72" s="129" customFormat="1" ht="15.75" customHeight="1" x14ac:dyDescent="0.2">
      <c r="A88" s="90"/>
      <c r="B88" s="91"/>
      <c r="C88" s="109"/>
      <c r="D88" s="92"/>
      <c r="E88" s="92" t="s">
        <v>62</v>
      </c>
      <c r="F88" s="102" t="s">
        <v>87</v>
      </c>
      <c r="G88" s="103">
        <f>1500</f>
        <v>1500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</row>
    <row r="89" spans="1:72" s="129" customFormat="1" ht="15.75" customHeight="1" x14ac:dyDescent="0.2">
      <c r="A89" s="90"/>
      <c r="B89" s="91"/>
      <c r="C89" s="109"/>
      <c r="D89" s="92"/>
      <c r="E89" s="92" t="s">
        <v>109</v>
      </c>
      <c r="F89" s="102" t="s">
        <v>87</v>
      </c>
      <c r="G89" s="103">
        <f>13343.1+22918.28+12450.95</f>
        <v>48712.33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</row>
    <row r="90" spans="1:72" s="129" customFormat="1" ht="15.75" customHeight="1" x14ac:dyDescent="0.2">
      <c r="A90" s="90"/>
      <c r="B90" s="91"/>
      <c r="C90" s="109"/>
      <c r="D90" s="92"/>
      <c r="E90" s="92" t="s">
        <v>98</v>
      </c>
      <c r="F90" s="102" t="s">
        <v>87</v>
      </c>
      <c r="G90" s="103">
        <f>4235+5331.27+3043.01</f>
        <v>12609.28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</row>
    <row r="91" spans="1:72" s="129" customFormat="1" ht="15.75" customHeight="1" x14ac:dyDescent="0.2">
      <c r="A91" s="104"/>
      <c r="B91" s="105"/>
      <c r="C91" s="106"/>
      <c r="D91" s="93"/>
      <c r="E91" s="93"/>
      <c r="F91" s="95"/>
      <c r="G91" s="107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</row>
    <row r="92" spans="1:72" s="129" customFormat="1" ht="19.5" customHeight="1" x14ac:dyDescent="0.2">
      <c r="A92" s="90"/>
      <c r="B92" s="131" t="s">
        <v>54</v>
      </c>
      <c r="C92" s="92" t="s">
        <v>107</v>
      </c>
      <c r="D92" s="92" t="s">
        <v>116</v>
      </c>
      <c r="E92" s="93" t="s">
        <v>87</v>
      </c>
      <c r="F92" s="95" t="s">
        <v>87</v>
      </c>
      <c r="G92" s="94">
        <f>SUM(G94)</f>
        <v>7608.75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</row>
    <row r="93" spans="1:72" s="129" customFormat="1" ht="12" customHeight="1" x14ac:dyDescent="0.2">
      <c r="A93" s="90"/>
      <c r="B93" s="91"/>
      <c r="C93" s="109"/>
      <c r="D93" s="92"/>
      <c r="E93" s="92"/>
      <c r="F93" s="102"/>
      <c r="G93" s="103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</row>
    <row r="94" spans="1:72" s="129" customFormat="1" ht="15.75" customHeight="1" x14ac:dyDescent="0.2">
      <c r="A94" s="90"/>
      <c r="B94" s="91"/>
      <c r="C94" s="109"/>
      <c r="D94" s="92"/>
      <c r="E94" s="92"/>
      <c r="F94" s="102"/>
      <c r="G94" s="130">
        <f>SUM(G95:G96)</f>
        <v>7608.75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</row>
    <row r="95" spans="1:72" s="129" customFormat="1" ht="15.75" customHeight="1" x14ac:dyDescent="0.2">
      <c r="A95" s="90"/>
      <c r="B95" s="91"/>
      <c r="C95" s="109"/>
      <c r="D95" s="92"/>
      <c r="E95" s="92" t="s">
        <v>109</v>
      </c>
      <c r="F95" s="102" t="s">
        <v>87</v>
      </c>
      <c r="G95" s="103">
        <f>4177.13+1939.42</f>
        <v>6116.55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</row>
    <row r="96" spans="1:72" s="129" customFormat="1" ht="15.75" customHeight="1" x14ac:dyDescent="0.2">
      <c r="A96" s="90"/>
      <c r="B96" s="91"/>
      <c r="C96" s="109"/>
      <c r="D96" s="92"/>
      <c r="E96" s="92" t="s">
        <v>98</v>
      </c>
      <c r="F96" s="102" t="s">
        <v>87</v>
      </c>
      <c r="G96" s="103">
        <f>1018.21+473.99</f>
        <v>1492.2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</row>
    <row r="97" spans="1:72" s="129" customFormat="1" ht="10.5" customHeight="1" x14ac:dyDescent="0.2">
      <c r="A97" s="104"/>
      <c r="B97" s="105"/>
      <c r="C97" s="106"/>
      <c r="D97" s="93"/>
      <c r="E97" s="93"/>
      <c r="F97" s="95"/>
      <c r="G97" s="107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</row>
    <row r="98" spans="1:72" s="129" customFormat="1" ht="15.75" customHeight="1" x14ac:dyDescent="0.2">
      <c r="A98" s="90"/>
      <c r="B98" s="91"/>
      <c r="C98" s="92"/>
      <c r="D98" s="92"/>
      <c r="E98" s="93" t="s">
        <v>28</v>
      </c>
      <c r="F98" s="94">
        <f>6242.96+5773.4+1431.89+1201.64+991.36</f>
        <v>15641.25</v>
      </c>
      <c r="G98" s="95" t="s">
        <v>87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</row>
    <row r="99" spans="1:72" s="129" customFormat="1" ht="24" customHeight="1" x14ac:dyDescent="0.2">
      <c r="A99" s="96" t="s">
        <v>117</v>
      </c>
      <c r="B99" s="108" t="s">
        <v>118</v>
      </c>
      <c r="C99" s="92" t="s">
        <v>119</v>
      </c>
      <c r="D99" s="92" t="s">
        <v>120</v>
      </c>
      <c r="E99" s="98" t="s">
        <v>87</v>
      </c>
      <c r="F99" s="99" t="s">
        <v>87</v>
      </c>
      <c r="G99" s="100">
        <f>SUM(G101)</f>
        <v>15641.25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</row>
    <row r="100" spans="1:72" s="129" customFormat="1" ht="8.25" customHeight="1" x14ac:dyDescent="0.2">
      <c r="A100" s="90"/>
      <c r="B100" s="101"/>
      <c r="C100" s="92"/>
      <c r="D100" s="92"/>
      <c r="E100" s="92"/>
      <c r="F100" s="102"/>
      <c r="G100" s="130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</row>
    <row r="101" spans="1:72" s="129" customFormat="1" ht="15.75" customHeight="1" x14ac:dyDescent="0.2">
      <c r="A101" s="90"/>
      <c r="B101" s="131" t="s">
        <v>72</v>
      </c>
      <c r="C101" s="92"/>
      <c r="D101" s="92"/>
      <c r="E101" s="92"/>
      <c r="F101" s="102"/>
      <c r="G101" s="130">
        <f>SUM(G102:G103)</f>
        <v>15641.25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</row>
    <row r="102" spans="1:72" s="129" customFormat="1" ht="15.75" customHeight="1" x14ac:dyDescent="0.2">
      <c r="A102" s="90"/>
      <c r="B102" s="91"/>
      <c r="C102" s="109"/>
      <c r="D102" s="92"/>
      <c r="E102" s="92" t="s">
        <v>97</v>
      </c>
      <c r="F102" s="102" t="s">
        <v>87</v>
      </c>
      <c r="G102" s="103">
        <f>1004.38+11240.6+828.62</f>
        <v>13073.6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</row>
    <row r="103" spans="1:72" s="129" customFormat="1" ht="15.75" customHeight="1" x14ac:dyDescent="0.2">
      <c r="A103" s="90"/>
      <c r="B103" s="91"/>
      <c r="C103" s="109"/>
      <c r="D103" s="92"/>
      <c r="E103" s="92" t="s">
        <v>98</v>
      </c>
      <c r="F103" s="102" t="s">
        <v>87</v>
      </c>
      <c r="G103" s="103">
        <f>197.26+2207.65+162.74</f>
        <v>2567.6499999999996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</row>
    <row r="104" spans="1:72" s="129" customFormat="1" ht="12.75" customHeight="1" x14ac:dyDescent="0.2">
      <c r="A104" s="104"/>
      <c r="B104" s="105"/>
      <c r="C104" s="106"/>
      <c r="D104" s="93"/>
      <c r="E104" s="93"/>
      <c r="F104" s="95"/>
      <c r="G104" s="107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</row>
    <row r="105" spans="1:72" s="129" customFormat="1" ht="15.75" customHeight="1" x14ac:dyDescent="0.2">
      <c r="A105" s="90"/>
      <c r="B105" s="91"/>
      <c r="C105" s="92"/>
      <c r="D105" s="92"/>
      <c r="E105" s="93" t="s">
        <v>28</v>
      </c>
      <c r="F105" s="94">
        <f>193360+150000+300000+1504+122160+1824+289960+50000+4384+2816+100000</f>
        <v>1216008</v>
      </c>
      <c r="G105" s="95" t="s">
        <v>87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</row>
    <row r="106" spans="1:72" s="129" customFormat="1" ht="25.5" customHeight="1" x14ac:dyDescent="0.2">
      <c r="A106" s="96" t="s">
        <v>121</v>
      </c>
      <c r="B106" s="97" t="s">
        <v>122</v>
      </c>
      <c r="C106" s="92" t="s">
        <v>123</v>
      </c>
      <c r="D106" s="92" t="s">
        <v>124</v>
      </c>
      <c r="E106" s="98" t="s">
        <v>87</v>
      </c>
      <c r="F106" s="99" t="s">
        <v>87</v>
      </c>
      <c r="G106" s="100">
        <f>SUM(G108)</f>
        <v>1216008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</row>
    <row r="107" spans="1:72" s="129" customFormat="1" ht="10.5" customHeight="1" x14ac:dyDescent="0.2">
      <c r="A107" s="90"/>
      <c r="B107" s="101"/>
      <c r="C107" s="92"/>
      <c r="D107" s="92"/>
      <c r="E107" s="92"/>
      <c r="F107" s="102"/>
      <c r="G107" s="130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</row>
    <row r="108" spans="1:72" s="129" customFormat="1" ht="15.75" customHeight="1" x14ac:dyDescent="0.2">
      <c r="A108" s="90"/>
      <c r="B108" s="131" t="s">
        <v>50</v>
      </c>
      <c r="C108" s="92"/>
      <c r="D108" s="92"/>
      <c r="E108" s="92"/>
      <c r="F108" s="102"/>
      <c r="G108" s="130">
        <f>SUM(G109:G111)</f>
        <v>1216008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</row>
    <row r="109" spans="1:72" s="129" customFormat="1" ht="15.75" customHeight="1" x14ac:dyDescent="0.2">
      <c r="A109" s="90"/>
      <c r="B109" s="91"/>
      <c r="C109" s="109"/>
      <c r="D109" s="92"/>
      <c r="E109" s="92" t="s">
        <v>125</v>
      </c>
      <c r="F109" s="102" t="s">
        <v>87</v>
      </c>
      <c r="G109" s="103">
        <f>1055480+50000+100000</f>
        <v>1205480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</row>
    <row r="110" spans="1:72" s="129" customFormat="1" ht="15.75" customHeight="1" x14ac:dyDescent="0.2">
      <c r="A110" s="90"/>
      <c r="B110" s="91"/>
      <c r="C110" s="109"/>
      <c r="D110" s="92"/>
      <c r="E110" s="92" t="s">
        <v>97</v>
      </c>
      <c r="F110" s="102" t="s">
        <v>87</v>
      </c>
      <c r="G110" s="111">
        <f>2774+3656+2348</f>
        <v>8778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</row>
    <row r="111" spans="1:72" s="129" customFormat="1" ht="15.75" customHeight="1" x14ac:dyDescent="0.2">
      <c r="A111" s="90"/>
      <c r="B111" s="91"/>
      <c r="C111" s="109"/>
      <c r="D111" s="92"/>
      <c r="E111" s="92" t="s">
        <v>98</v>
      </c>
      <c r="F111" s="102" t="s">
        <v>87</v>
      </c>
      <c r="G111" s="103">
        <f>485+69+728+468</f>
        <v>1750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</row>
    <row r="112" spans="1:72" s="129" customFormat="1" ht="15.75" customHeight="1" x14ac:dyDescent="0.2">
      <c r="A112" s="104"/>
      <c r="B112" s="105"/>
      <c r="C112" s="106"/>
      <c r="D112" s="93"/>
      <c r="E112" s="93"/>
      <c r="F112" s="95"/>
      <c r="G112" s="107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</row>
    <row r="113" spans="1:72" s="129" customFormat="1" ht="15.75" customHeight="1" x14ac:dyDescent="0.2">
      <c r="A113" s="90"/>
      <c r="B113" s="91"/>
      <c r="C113" s="92"/>
      <c r="D113" s="92"/>
      <c r="E113" s="93" t="s">
        <v>28</v>
      </c>
      <c r="F113" s="94">
        <f>195780+264660+288000+244500</f>
        <v>992940</v>
      </c>
      <c r="G113" s="95" t="s">
        <v>87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</row>
    <row r="114" spans="1:72" s="129" customFormat="1" ht="23.25" customHeight="1" x14ac:dyDescent="0.2">
      <c r="A114" s="96" t="s">
        <v>126</v>
      </c>
      <c r="B114" s="97" t="s">
        <v>127</v>
      </c>
      <c r="C114" s="92" t="s">
        <v>123</v>
      </c>
      <c r="D114" s="92" t="s">
        <v>124</v>
      </c>
      <c r="E114" s="98" t="s">
        <v>87</v>
      </c>
      <c r="F114" s="99" t="s">
        <v>87</v>
      </c>
      <c r="G114" s="100">
        <f>SUM(G116,G119,G124)</f>
        <v>992939.99999999977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</row>
    <row r="115" spans="1:72" s="129" customFormat="1" ht="9.75" customHeight="1" x14ac:dyDescent="0.2">
      <c r="A115" s="90"/>
      <c r="B115" s="101"/>
      <c r="C115" s="92"/>
      <c r="D115" s="92"/>
      <c r="E115" s="92"/>
      <c r="F115" s="102"/>
      <c r="G115" s="130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</row>
    <row r="116" spans="1:72" s="129" customFormat="1" ht="25.5" customHeight="1" x14ac:dyDescent="0.2">
      <c r="A116" s="90"/>
      <c r="B116" s="132" t="s">
        <v>128</v>
      </c>
      <c r="C116" s="92"/>
      <c r="D116" s="92"/>
      <c r="E116" s="92"/>
      <c r="F116" s="102"/>
      <c r="G116" s="130">
        <f>SUM(G117:G117)</f>
        <v>900364.33999999985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</row>
    <row r="117" spans="1:72" s="129" customFormat="1" ht="15.75" customHeight="1" x14ac:dyDescent="0.2">
      <c r="A117" s="90"/>
      <c r="B117" s="91"/>
      <c r="C117" s="109"/>
      <c r="D117" s="92"/>
      <c r="E117" s="92" t="s">
        <v>92</v>
      </c>
      <c r="F117" s="102" t="s">
        <v>87</v>
      </c>
      <c r="G117" s="103">
        <f>288000+431742.16-40114.41+244500-23763.41</f>
        <v>900364.33999999985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</row>
    <row r="118" spans="1:72" s="129" customFormat="1" ht="15.75" customHeight="1" x14ac:dyDescent="0.2">
      <c r="A118" s="90"/>
      <c r="B118" s="91"/>
      <c r="C118" s="109"/>
      <c r="D118" s="92"/>
      <c r="E118" s="92"/>
      <c r="F118" s="102"/>
      <c r="G118" s="103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</row>
    <row r="119" spans="1:72" s="129" customFormat="1" ht="15.75" customHeight="1" x14ac:dyDescent="0.2">
      <c r="A119" s="90"/>
      <c r="B119" s="131" t="s">
        <v>129</v>
      </c>
      <c r="C119" s="92"/>
      <c r="D119" s="92"/>
      <c r="E119" s="92"/>
      <c r="F119" s="102"/>
      <c r="G119" s="130">
        <f>SUM(G120:G122)</f>
        <v>92261.97</v>
      </c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</row>
    <row r="120" spans="1:72" s="129" customFormat="1" ht="15.75" customHeight="1" x14ac:dyDescent="0.2">
      <c r="A120" s="90"/>
      <c r="B120" s="131"/>
      <c r="C120" s="109"/>
      <c r="D120" s="92"/>
      <c r="E120" s="92" t="s">
        <v>62</v>
      </c>
      <c r="F120" s="102" t="s">
        <v>87</v>
      </c>
      <c r="G120" s="103">
        <v>386.17</v>
      </c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</row>
    <row r="121" spans="1:72" s="129" customFormat="1" ht="15.75" customHeight="1" x14ac:dyDescent="0.2">
      <c r="A121" s="90"/>
      <c r="B121" s="91"/>
      <c r="C121" s="109"/>
      <c r="D121" s="92"/>
      <c r="E121" s="92" t="s">
        <v>92</v>
      </c>
      <c r="F121" s="102" t="s">
        <v>87</v>
      </c>
      <c r="G121" s="103">
        <f>2056.23+12473.87+3535.72</f>
        <v>18065.82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</row>
    <row r="122" spans="1:72" s="129" customFormat="1" ht="15.75" customHeight="1" x14ac:dyDescent="0.2">
      <c r="A122" s="90"/>
      <c r="B122" s="91"/>
      <c r="C122" s="109"/>
      <c r="D122" s="92"/>
      <c r="E122" s="92" t="s">
        <v>130</v>
      </c>
      <c r="F122" s="102" t="s">
        <v>87</v>
      </c>
      <c r="G122" s="103">
        <f>26641.61+27326.85+19841.52</f>
        <v>73809.98</v>
      </c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</row>
    <row r="123" spans="1:72" s="129" customFormat="1" ht="15.75" customHeight="1" x14ac:dyDescent="0.2">
      <c r="A123" s="90"/>
      <c r="B123" s="91"/>
      <c r="C123" s="109"/>
      <c r="D123" s="92"/>
      <c r="E123" s="92"/>
      <c r="F123" s="102"/>
      <c r="G123" s="103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</row>
    <row r="124" spans="1:72" s="129" customFormat="1" ht="25.5" customHeight="1" x14ac:dyDescent="0.2">
      <c r="A124" s="90"/>
      <c r="B124" s="132" t="s">
        <v>131</v>
      </c>
      <c r="C124" s="92"/>
      <c r="D124" s="92"/>
      <c r="E124" s="92"/>
      <c r="F124" s="102"/>
      <c r="G124" s="130">
        <f>SUM(G125:G125)</f>
        <v>313.69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</row>
    <row r="125" spans="1:72" s="129" customFormat="1" ht="15.75" customHeight="1" x14ac:dyDescent="0.2">
      <c r="A125" s="90"/>
      <c r="B125" s="91"/>
      <c r="C125" s="109"/>
      <c r="D125" s="92"/>
      <c r="E125" s="92" t="s">
        <v>62</v>
      </c>
      <c r="F125" s="102" t="s">
        <v>87</v>
      </c>
      <c r="G125" s="103">
        <v>313.69</v>
      </c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</row>
    <row r="126" spans="1:72" s="129" customFormat="1" ht="15.75" customHeight="1" x14ac:dyDescent="0.2">
      <c r="A126" s="104"/>
      <c r="B126" s="105"/>
      <c r="C126" s="106"/>
      <c r="D126" s="93"/>
      <c r="E126" s="93"/>
      <c r="F126" s="95"/>
      <c r="G126" s="107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</row>
    <row r="127" spans="1:72" s="129" customFormat="1" ht="15.75" customHeight="1" x14ac:dyDescent="0.2">
      <c r="A127" s="90"/>
      <c r="B127" s="91"/>
      <c r="C127" s="92"/>
      <c r="D127" s="92"/>
      <c r="E127" s="93" t="s">
        <v>28</v>
      </c>
      <c r="F127" s="94">
        <v>295.87</v>
      </c>
      <c r="G127" s="95" t="s">
        <v>87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</row>
    <row r="128" spans="1:72" s="129" customFormat="1" ht="24" customHeight="1" x14ac:dyDescent="0.2">
      <c r="A128" s="96" t="s">
        <v>132</v>
      </c>
      <c r="B128" s="97" t="s">
        <v>133</v>
      </c>
      <c r="C128" s="92" t="s">
        <v>134</v>
      </c>
      <c r="D128" s="92" t="s">
        <v>135</v>
      </c>
      <c r="E128" s="98" t="s">
        <v>87</v>
      </c>
      <c r="F128" s="99" t="s">
        <v>87</v>
      </c>
      <c r="G128" s="100">
        <f>SUM(G130)</f>
        <v>295.87</v>
      </c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</row>
    <row r="129" spans="1:72" s="129" customFormat="1" ht="15.75" customHeight="1" x14ac:dyDescent="0.2">
      <c r="A129" s="90"/>
      <c r="B129" s="101"/>
      <c r="C129" s="92"/>
      <c r="D129" s="92"/>
      <c r="E129" s="92"/>
      <c r="F129" s="102"/>
      <c r="G129" s="130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</row>
    <row r="130" spans="1:72" s="129" customFormat="1" ht="15.75" customHeight="1" x14ac:dyDescent="0.2">
      <c r="A130" s="90"/>
      <c r="B130" s="132" t="s">
        <v>136</v>
      </c>
      <c r="C130" s="92"/>
      <c r="D130" s="92"/>
      <c r="E130" s="92"/>
      <c r="F130" s="102"/>
      <c r="G130" s="130">
        <f>SUM(G131:G131)</f>
        <v>295.87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</row>
    <row r="131" spans="1:72" s="129" customFormat="1" ht="15.75" customHeight="1" x14ac:dyDescent="0.2">
      <c r="A131" s="90"/>
      <c r="B131" s="91"/>
      <c r="C131" s="92"/>
      <c r="D131" s="92"/>
      <c r="E131" s="92" t="s">
        <v>62</v>
      </c>
      <c r="F131" s="102" t="s">
        <v>87</v>
      </c>
      <c r="G131" s="103">
        <v>295.87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</row>
    <row r="132" spans="1:72" s="129" customFormat="1" ht="15.75" customHeight="1" x14ac:dyDescent="0.2">
      <c r="A132" s="104"/>
      <c r="B132" s="105"/>
      <c r="C132" s="106"/>
      <c r="D132" s="93"/>
      <c r="E132" s="93"/>
      <c r="F132" s="95"/>
      <c r="G132" s="107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</row>
    <row r="133" spans="1:72" s="129" customFormat="1" ht="15.75" customHeight="1" x14ac:dyDescent="0.2">
      <c r="A133" s="90"/>
      <c r="B133" s="91"/>
      <c r="C133" s="92"/>
      <c r="D133" s="92"/>
      <c r="E133" s="93" t="s">
        <v>28</v>
      </c>
      <c r="F133" s="94">
        <v>1050</v>
      </c>
      <c r="G133" s="95" t="s">
        <v>87</v>
      </c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</row>
    <row r="134" spans="1:72" s="129" customFormat="1" ht="48" customHeight="1" x14ac:dyDescent="0.2">
      <c r="A134" s="96" t="s">
        <v>137</v>
      </c>
      <c r="B134" s="97" t="s">
        <v>138</v>
      </c>
      <c r="C134" s="92" t="s">
        <v>101</v>
      </c>
      <c r="D134" s="92" t="s">
        <v>139</v>
      </c>
      <c r="E134" s="98" t="s">
        <v>87</v>
      </c>
      <c r="F134" s="99" t="s">
        <v>87</v>
      </c>
      <c r="G134" s="100">
        <f>SUM(G136)</f>
        <v>1050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</row>
    <row r="135" spans="1:72" s="129" customFormat="1" ht="15.75" customHeight="1" x14ac:dyDescent="0.2">
      <c r="A135" s="90"/>
      <c r="B135" s="91"/>
      <c r="C135" s="109"/>
      <c r="D135" s="92"/>
      <c r="E135" s="92"/>
      <c r="F135" s="102"/>
      <c r="G135" s="103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</row>
    <row r="136" spans="1:72" s="129" customFormat="1" ht="26.25" customHeight="1" x14ac:dyDescent="0.2">
      <c r="A136" s="90"/>
      <c r="B136" s="132" t="s">
        <v>140</v>
      </c>
      <c r="C136" s="92"/>
      <c r="D136" s="92"/>
      <c r="E136" s="92"/>
      <c r="F136" s="102"/>
      <c r="G136" s="130">
        <f>SUM(G137:G137)</f>
        <v>1050</v>
      </c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</row>
    <row r="137" spans="1:72" s="129" customFormat="1" ht="15.75" customHeight="1" x14ac:dyDescent="0.2">
      <c r="A137" s="90"/>
      <c r="B137" s="91"/>
      <c r="C137" s="92"/>
      <c r="D137" s="92"/>
      <c r="E137" s="92" t="s">
        <v>62</v>
      </c>
      <c r="F137" s="102" t="s">
        <v>87</v>
      </c>
      <c r="G137" s="103">
        <v>1050</v>
      </c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</row>
    <row r="138" spans="1:72" s="86" customFormat="1" ht="15.75" customHeight="1" x14ac:dyDescent="0.2">
      <c r="A138" s="104"/>
      <c r="B138" s="105"/>
      <c r="C138" s="109"/>
      <c r="D138" s="92"/>
      <c r="E138" s="93"/>
      <c r="F138" s="107"/>
      <c r="G138" s="1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</row>
    <row r="139" spans="1:72" s="86" customFormat="1" ht="27" customHeight="1" x14ac:dyDescent="0.2">
      <c r="A139" s="133"/>
      <c r="B139" s="134" t="s">
        <v>141</v>
      </c>
      <c r="C139" s="135"/>
      <c r="D139" s="136"/>
      <c r="E139" s="137"/>
      <c r="F139" s="137">
        <f>SUM(F12,F19,F28,F36,F98,F105,F113,F127,F133)</f>
        <v>3676457.12</v>
      </c>
      <c r="G139" s="137">
        <f>SUM(G13,G20,G29,G37,G99,G106,G114,G128,G134)</f>
        <v>3676457.12</v>
      </c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</row>
    <row r="141" spans="1:72" x14ac:dyDescent="0.25">
      <c r="A141" s="138"/>
      <c r="I141" s="16"/>
    </row>
    <row r="142" spans="1:72" x14ac:dyDescent="0.25">
      <c r="F142" s="139"/>
      <c r="G142" s="16"/>
    </row>
    <row r="143" spans="1:72" x14ac:dyDescent="0.25">
      <c r="F143" s="139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47" max="16383" man="1"/>
    <brk id="91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Zał.Nr1</vt:lpstr>
      <vt:lpstr>Zał.Nr2</vt:lpstr>
      <vt:lpstr>Zał.Nr1!Tytuły_wydruku</vt:lpstr>
      <vt:lpstr>Zał.Nr2!Tytuły_wydruku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323/2022 Prezydenta Miasta Włocławek z dn. 15 wrzesnia 2022 r.</dc:title>
  <dc:creator>Beata Duszeńska</dc:creator>
  <cp:keywords>Załącznik do Zarządzenia Prezydenta Miasta Włocławek</cp:keywords>
  <cp:lastModifiedBy>Karolina Budziszewska</cp:lastModifiedBy>
  <cp:lastPrinted>2022-09-19T08:38:00Z</cp:lastPrinted>
  <dcterms:created xsi:type="dcterms:W3CDTF">2022-09-19T08:29:34Z</dcterms:created>
  <dcterms:modified xsi:type="dcterms:W3CDTF">2022-09-19T11:53:36Z</dcterms:modified>
</cp:coreProperties>
</file>