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424C886F-3C9B-4D5E-A616-30F71B170B12}" xr6:coauthVersionLast="45" xr6:coauthVersionMax="47" xr10:uidLastSave="{00000000-0000-0000-0000-000000000000}"/>
  <bookViews>
    <workbookView xWindow="3705" yWindow="1620" windowWidth="21600" windowHeight="11385" xr2:uid="{00000000-000D-0000-FFFF-FFFF00000000}"/>
  </bookViews>
  <sheets>
    <sheet name="Zał.Nr1" sheetId="19" r:id="rId1"/>
    <sheet name="Zał.Nr2" sheetId="20" r:id="rId2"/>
    <sheet name="Zał.Nr3" sheetId="21" r:id="rId3"/>
    <sheet name="Zał.Nr4" sheetId="22" r:id="rId4"/>
    <sheet name="Zał.Nr5" sheetId="23" r:id="rId5"/>
    <sheet name="Zał.Nr6" sheetId="24" r:id="rId6"/>
    <sheet name="Zał.Nr7" sheetId="25" r:id="rId7"/>
  </sheets>
  <definedNames>
    <definedName name="_xlnm.Print_Titles" localSheetId="0">Zał.Nr1!$7:$9</definedName>
    <definedName name="_xlnm.Print_Titles" localSheetId="2">Zał.Nr3!$10:$11</definedName>
    <definedName name="_xlnm.Print_Titles" localSheetId="3">Zał.Nr4!$10:$11</definedName>
    <definedName name="_xlnm.Print_Titles" localSheetId="5">Zał.Nr6!$10:$11</definedName>
    <definedName name="_xlnm.Print_Titles" localSheetId="6">Zał.Nr7!$10:$11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3" i="25" l="1"/>
  <c r="G161" i="25" s="1"/>
  <c r="G157" i="25"/>
  <c r="G155" i="25" s="1"/>
  <c r="G151" i="25"/>
  <c r="G149" i="25" s="1"/>
  <c r="G145" i="25"/>
  <c r="G143" i="25"/>
  <c r="G142" i="25"/>
  <c r="G140" i="25" s="1"/>
  <c r="G138" i="25"/>
  <c r="G137" i="25" s="1"/>
  <c r="G135" i="25" s="1"/>
  <c r="F134" i="25"/>
  <c r="G132" i="25"/>
  <c r="G131" i="25"/>
  <c r="G130" i="25"/>
  <c r="G129" i="25" s="1"/>
  <c r="G127" i="25" s="1"/>
  <c r="F126" i="25"/>
  <c r="G124" i="25"/>
  <c r="G122" i="25" s="1"/>
  <c r="G120" i="25" s="1"/>
  <c r="G123" i="25"/>
  <c r="F119" i="25"/>
  <c r="G117" i="25"/>
  <c r="G116" i="25"/>
  <c r="G115" i="25"/>
  <c r="G114" i="25"/>
  <c r="G113" i="25" s="1"/>
  <c r="G111" i="25" s="1"/>
  <c r="G109" i="25"/>
  <c r="G108" i="25"/>
  <c r="G107" i="25"/>
  <c r="G106" i="25"/>
  <c r="G105" i="25"/>
  <c r="G104" i="25"/>
  <c r="G102" i="25" s="1"/>
  <c r="G100" i="25"/>
  <c r="G99" i="25"/>
  <c r="G98" i="25"/>
  <c r="G96" i="25" s="1"/>
  <c r="G94" i="25" s="1"/>
  <c r="G97" i="25"/>
  <c r="G92" i="25"/>
  <c r="G91" i="25"/>
  <c r="G90" i="25"/>
  <c r="G89" i="25"/>
  <c r="G88" i="25"/>
  <c r="G86" i="25" s="1"/>
  <c r="G84" i="25" s="1"/>
  <c r="G87" i="25"/>
  <c r="G82" i="25"/>
  <c r="G81" i="25"/>
  <c r="G80" i="25"/>
  <c r="G79" i="25"/>
  <c r="G78" i="25"/>
  <c r="G76" i="25" s="1"/>
  <c r="G74" i="25" s="1"/>
  <c r="G77" i="25"/>
  <c r="G71" i="25"/>
  <c r="G69" i="25" s="1"/>
  <c r="G67" i="25"/>
  <c r="G66" i="25"/>
  <c r="G65" i="25"/>
  <c r="G64" i="25"/>
  <c r="G63" i="25"/>
  <c r="G62" i="25" s="1"/>
  <c r="G60" i="25" s="1"/>
  <c r="G58" i="25"/>
  <c r="G57" i="25"/>
  <c r="G56" i="25"/>
  <c r="G55" i="25"/>
  <c r="G52" i="25" s="1"/>
  <c r="G50" i="25" s="1"/>
  <c r="G54" i="25"/>
  <c r="G53" i="25"/>
  <c r="G48" i="25"/>
  <c r="G47" i="25"/>
  <c r="G46" i="25"/>
  <c r="G45" i="25"/>
  <c r="G42" i="25" s="1"/>
  <c r="G40" i="25" s="1"/>
  <c r="G44" i="25"/>
  <c r="G43" i="25"/>
  <c r="F36" i="25"/>
  <c r="G34" i="25"/>
  <c r="G31" i="25" s="1"/>
  <c r="G29" i="25" s="1"/>
  <c r="G33" i="25"/>
  <c r="G32" i="25"/>
  <c r="F28" i="25"/>
  <c r="G26" i="25"/>
  <c r="G25" i="25"/>
  <c r="G23" i="25"/>
  <c r="G22" i="25" s="1"/>
  <c r="G20" i="25" s="1"/>
  <c r="F19" i="25"/>
  <c r="G17" i="25"/>
  <c r="I168" i="25" s="1"/>
  <c r="F12" i="25"/>
  <c r="F166" i="25" s="1"/>
  <c r="I37" i="25" l="1"/>
  <c r="G37" i="25"/>
  <c r="G15" i="25"/>
  <c r="G13" i="25" s="1"/>
  <c r="G166" i="25" l="1"/>
  <c r="G57" i="24" l="1"/>
  <c r="G56" i="24"/>
  <c r="G54" i="24" s="1"/>
  <c r="G44" i="24"/>
  <c r="G42" i="24" s="1"/>
  <c r="G39" i="24"/>
  <c r="G33" i="24" s="1"/>
  <c r="G37" i="24"/>
  <c r="G30" i="24"/>
  <c r="G29" i="24"/>
  <c r="G28" i="24"/>
  <c r="G27" i="24"/>
  <c r="G26" i="24" s="1"/>
  <c r="F22" i="24"/>
  <c r="G20" i="24"/>
  <c r="G19" i="24"/>
  <c r="G18" i="24"/>
  <c r="F17" i="24"/>
  <c r="F66" i="24" s="1"/>
  <c r="G15" i="24"/>
  <c r="G14" i="24"/>
  <c r="G13" i="24"/>
  <c r="G66" i="24" l="1"/>
  <c r="G23" i="24"/>
  <c r="G32" i="23" l="1"/>
  <c r="F32" i="23"/>
  <c r="E32" i="23"/>
  <c r="D32" i="23"/>
  <c r="E162" i="22" l="1"/>
  <c r="E159" i="22"/>
  <c r="E147" i="22"/>
  <c r="E145" i="22"/>
  <c r="E140" i="22"/>
  <c r="E137" i="22"/>
  <c r="E133" i="22"/>
  <c r="E120" i="22"/>
  <c r="E108" i="22"/>
  <c r="E102" i="22"/>
  <c r="E87" i="22"/>
  <c r="E85" i="22"/>
  <c r="E67" i="22"/>
  <c r="E64" i="22"/>
  <c r="E164" i="22" s="1"/>
  <c r="E54" i="22"/>
  <c r="E47" i="22"/>
  <c r="E45" i="22"/>
  <c r="E44" i="22"/>
  <c r="E42" i="22"/>
  <c r="E40" i="22"/>
  <c r="E39" i="22"/>
  <c r="E37" i="22"/>
  <c r="E36" i="22"/>
  <c r="E35" i="22"/>
  <c r="E31" i="22"/>
  <c r="E27" i="22"/>
  <c r="E16" i="22"/>
  <c r="E13" i="22"/>
  <c r="E51" i="22" s="1"/>
  <c r="E165" i="22" s="1"/>
  <c r="E46" i="21"/>
  <c r="E44" i="21"/>
  <c r="E42" i="21"/>
  <c r="E40" i="21"/>
  <c r="E48" i="21" s="1"/>
  <c r="E35" i="21"/>
  <c r="E36" i="21" s="1"/>
  <c r="E33" i="21"/>
  <c r="I21" i="20"/>
  <c r="G21" i="20"/>
  <c r="F21" i="20"/>
  <c r="E20" i="20"/>
  <c r="E19" i="20"/>
  <c r="H18" i="20"/>
  <c r="H21" i="20" s="1"/>
  <c r="G18" i="20"/>
  <c r="F18" i="20"/>
  <c r="E18" i="20"/>
  <c r="D18" i="20"/>
  <c r="G17" i="20"/>
  <c r="F17" i="20"/>
  <c r="E17" i="20"/>
  <c r="D17" i="20"/>
  <c r="F16" i="20"/>
  <c r="E16" i="20"/>
  <c r="D16" i="20"/>
  <c r="G15" i="20"/>
  <c r="F15" i="20"/>
  <c r="E15" i="20"/>
  <c r="D15" i="20"/>
  <c r="F14" i="20"/>
  <c r="E14" i="20"/>
  <c r="E21" i="20" s="1"/>
  <c r="D14" i="20"/>
  <c r="D21" i="20" s="1"/>
  <c r="H609" i="19"/>
  <c r="G608" i="19"/>
  <c r="G607" i="19" s="1"/>
  <c r="G606" i="19" s="1"/>
  <c r="F608" i="19"/>
  <c r="H605" i="19"/>
  <c r="H604" i="19"/>
  <c r="G604" i="19"/>
  <c r="F604" i="19"/>
  <c r="G603" i="19"/>
  <c r="F603" i="19"/>
  <c r="F600" i="19" s="1"/>
  <c r="H599" i="19"/>
  <c r="H598" i="19"/>
  <c r="H597" i="19"/>
  <c r="G597" i="19"/>
  <c r="F597" i="19"/>
  <c r="G596" i="19"/>
  <c r="G595" i="19" s="1"/>
  <c r="F596" i="19"/>
  <c r="F595" i="19" s="1"/>
  <c r="H593" i="19"/>
  <c r="G592" i="19"/>
  <c r="G591" i="19" s="1"/>
  <c r="G590" i="19" s="1"/>
  <c r="F592" i="19"/>
  <c r="H589" i="19"/>
  <c r="H588" i="19"/>
  <c r="H587" i="19"/>
  <c r="H586" i="19"/>
  <c r="H585" i="19"/>
  <c r="H584" i="19"/>
  <c r="H583" i="19"/>
  <c r="H582" i="19"/>
  <c r="G581" i="19"/>
  <c r="H581" i="19" s="1"/>
  <c r="F581" i="19"/>
  <c r="H580" i="19"/>
  <c r="H579" i="19"/>
  <c r="H578" i="19"/>
  <c r="G578" i="19"/>
  <c r="F578" i="19"/>
  <c r="G577" i="19"/>
  <c r="F577" i="19"/>
  <c r="H577" i="19" s="1"/>
  <c r="H576" i="19"/>
  <c r="G575" i="19"/>
  <c r="G574" i="19" s="1"/>
  <c r="F575" i="19"/>
  <c r="H575" i="19" s="1"/>
  <c r="H573" i="19"/>
  <c r="H572" i="19"/>
  <c r="G571" i="19"/>
  <c r="F571" i="19"/>
  <c r="H571" i="19" s="1"/>
  <c r="G570" i="19"/>
  <c r="H569" i="19"/>
  <c r="H568" i="19"/>
  <c r="H567" i="19"/>
  <c r="G567" i="19"/>
  <c r="F567" i="19"/>
  <c r="G566" i="19"/>
  <c r="F566" i="19"/>
  <c r="H564" i="19"/>
  <c r="H563" i="19"/>
  <c r="H562" i="19"/>
  <c r="G562" i="19"/>
  <c r="F562" i="19"/>
  <c r="H561" i="19"/>
  <c r="H560" i="19"/>
  <c r="G560" i="19"/>
  <c r="F560" i="19"/>
  <c r="F559" i="19" s="1"/>
  <c r="G559" i="19"/>
  <c r="G558" i="19" s="1"/>
  <c r="H555" i="19"/>
  <c r="H554" i="19"/>
  <c r="G553" i="19"/>
  <c r="G552" i="19" s="1"/>
  <c r="F553" i="19"/>
  <c r="H553" i="19" s="1"/>
  <c r="H551" i="19"/>
  <c r="G550" i="19"/>
  <c r="G549" i="19" s="1"/>
  <c r="F550" i="19"/>
  <c r="F549" i="19"/>
  <c r="H548" i="19"/>
  <c r="G547" i="19"/>
  <c r="G546" i="19" s="1"/>
  <c r="F547" i="19"/>
  <c r="H544" i="19"/>
  <c r="G543" i="19"/>
  <c r="F543" i="19"/>
  <c r="H541" i="19"/>
  <c r="H540" i="19"/>
  <c r="H539" i="19"/>
  <c r="H538" i="19"/>
  <c r="G537" i="19"/>
  <c r="F537" i="19"/>
  <c r="H537" i="19" s="1"/>
  <c r="H536" i="19"/>
  <c r="H535" i="19"/>
  <c r="H534" i="19"/>
  <c r="H533" i="19"/>
  <c r="G532" i="19"/>
  <c r="F532" i="19"/>
  <c r="F531" i="19"/>
  <c r="H530" i="19"/>
  <c r="H529" i="19"/>
  <c r="H528" i="19"/>
  <c r="G527" i="19"/>
  <c r="G526" i="19" s="1"/>
  <c r="F527" i="19"/>
  <c r="F526" i="19"/>
  <c r="H525" i="19"/>
  <c r="G524" i="19"/>
  <c r="F524" i="19"/>
  <c r="H524" i="19" s="1"/>
  <c r="G523" i="19"/>
  <c r="H522" i="19"/>
  <c r="G521" i="19"/>
  <c r="G520" i="19" s="1"/>
  <c r="F521" i="19"/>
  <c r="H518" i="19"/>
  <c r="H517" i="19"/>
  <c r="H516" i="19"/>
  <c r="G515" i="19"/>
  <c r="G514" i="19" s="1"/>
  <c r="F515" i="19"/>
  <c r="H515" i="19" s="1"/>
  <c r="H513" i="19"/>
  <c r="H512" i="19"/>
  <c r="H511" i="19"/>
  <c r="H510" i="19"/>
  <c r="G509" i="19"/>
  <c r="G504" i="19" s="1"/>
  <c r="H504" i="19" s="1"/>
  <c r="F509" i="19"/>
  <c r="H508" i="19"/>
  <c r="H507" i="19"/>
  <c r="H506" i="19"/>
  <c r="H505" i="19"/>
  <c r="G505" i="19"/>
  <c r="F505" i="19"/>
  <c r="F504" i="19"/>
  <c r="H503" i="19"/>
  <c r="H502" i="19"/>
  <c r="H501" i="19"/>
  <c r="G501" i="19"/>
  <c r="F501" i="19"/>
  <c r="G499" i="19"/>
  <c r="F499" i="19"/>
  <c r="H499" i="19" s="1"/>
  <c r="H498" i="19"/>
  <c r="H497" i="19"/>
  <c r="H496" i="19"/>
  <c r="H495" i="19"/>
  <c r="G494" i="19"/>
  <c r="G493" i="19" s="1"/>
  <c r="F494" i="19"/>
  <c r="H494" i="19" s="1"/>
  <c r="F493" i="19"/>
  <c r="H493" i="19" s="1"/>
  <c r="H491" i="19"/>
  <c r="H490" i="19"/>
  <c r="H489" i="19"/>
  <c r="H488" i="19"/>
  <c r="G487" i="19"/>
  <c r="H487" i="19" s="1"/>
  <c r="H486" i="19"/>
  <c r="H485" i="19"/>
  <c r="H484" i="19"/>
  <c r="H483" i="19"/>
  <c r="H482" i="19"/>
  <c r="H481" i="19"/>
  <c r="H480" i="19"/>
  <c r="H479" i="19"/>
  <c r="H478" i="19"/>
  <c r="F477" i="19"/>
  <c r="H475" i="19"/>
  <c r="H474" i="19"/>
  <c r="H473" i="19"/>
  <c r="G472" i="19"/>
  <c r="F472" i="19"/>
  <c r="G471" i="19"/>
  <c r="H470" i="19"/>
  <c r="H469" i="19"/>
  <c r="G468" i="19"/>
  <c r="F468" i="19"/>
  <c r="G467" i="19"/>
  <c r="H464" i="19"/>
  <c r="H463" i="19"/>
  <c r="G462" i="19"/>
  <c r="F462" i="19"/>
  <c r="H461" i="19"/>
  <c r="H460" i="19"/>
  <c r="H459" i="19"/>
  <c r="H458" i="19"/>
  <c r="H457" i="19"/>
  <c r="G456" i="19"/>
  <c r="F456" i="19"/>
  <c r="H456" i="19" s="1"/>
  <c r="H455" i="19"/>
  <c r="H454" i="19"/>
  <c r="H453" i="19"/>
  <c r="H452" i="19"/>
  <c r="H451" i="19"/>
  <c r="G450" i="19"/>
  <c r="F450" i="19"/>
  <c r="G449" i="19"/>
  <c r="G448" i="19" s="1"/>
  <c r="H447" i="19"/>
  <c r="H446" i="19"/>
  <c r="H445" i="19"/>
  <c r="G444" i="19"/>
  <c r="G443" i="19" s="1"/>
  <c r="F444" i="19"/>
  <c r="F443" i="19"/>
  <c r="H442" i="19"/>
  <c r="H441" i="19"/>
  <c r="H440" i="19"/>
  <c r="H439" i="19"/>
  <c r="H438" i="19"/>
  <c r="H437" i="19"/>
  <c r="G436" i="19"/>
  <c r="F436" i="19"/>
  <c r="F435" i="19" s="1"/>
  <c r="H435" i="19" s="1"/>
  <c r="G435" i="19"/>
  <c r="H434" i="19"/>
  <c r="G433" i="19"/>
  <c r="G432" i="19" s="1"/>
  <c r="F433" i="19"/>
  <c r="F432" i="19" s="1"/>
  <c r="H430" i="19"/>
  <c r="H429" i="19"/>
  <c r="H428" i="19"/>
  <c r="H427" i="19"/>
  <c r="G427" i="19"/>
  <c r="F427" i="19"/>
  <c r="F425" i="19" s="1"/>
  <c r="G425" i="19"/>
  <c r="H424" i="19"/>
  <c r="H423" i="19"/>
  <c r="H422" i="19"/>
  <c r="H421" i="19"/>
  <c r="G420" i="19"/>
  <c r="F420" i="19"/>
  <c r="H419" i="19"/>
  <c r="H418" i="19"/>
  <c r="H417" i="19"/>
  <c r="H416" i="19"/>
  <c r="H415" i="19"/>
  <c r="H414" i="19"/>
  <c r="H413" i="19"/>
  <c r="H412" i="19"/>
  <c r="G411" i="19"/>
  <c r="G410" i="19" s="1"/>
  <c r="F411" i="19"/>
  <c r="H411" i="19" s="1"/>
  <c r="G408" i="19"/>
  <c r="H407" i="19"/>
  <c r="H406" i="19"/>
  <c r="F405" i="19"/>
  <c r="H404" i="19"/>
  <c r="H403" i="19"/>
  <c r="H402" i="19"/>
  <c r="H401" i="19"/>
  <c r="H391" i="19"/>
  <c r="H390" i="19"/>
  <c r="G389" i="19"/>
  <c r="F389" i="19"/>
  <c r="H389" i="19" s="1"/>
  <c r="H388" i="19"/>
  <c r="G387" i="19"/>
  <c r="F387" i="19"/>
  <c r="H387" i="19" s="1"/>
  <c r="H385" i="19"/>
  <c r="H384" i="19"/>
  <c r="H383" i="19"/>
  <c r="H382" i="19"/>
  <c r="G382" i="19"/>
  <c r="H381" i="19"/>
  <c r="H380" i="19"/>
  <c r="H379" i="19"/>
  <c r="G378" i="19"/>
  <c r="G377" i="19" s="1"/>
  <c r="F378" i="19"/>
  <c r="F377" i="19"/>
  <c r="H377" i="19" s="1"/>
  <c r="H374" i="19"/>
  <c r="H373" i="19"/>
  <c r="H372" i="19"/>
  <c r="H371" i="19"/>
  <c r="H370" i="19"/>
  <c r="H369" i="19"/>
  <c r="H368" i="19"/>
  <c r="H367" i="19"/>
  <c r="G367" i="19"/>
  <c r="F367" i="19"/>
  <c r="H366" i="19"/>
  <c r="H365" i="19"/>
  <c r="G365" i="19"/>
  <c r="F365" i="19"/>
  <c r="F364" i="19" s="1"/>
  <c r="G364" i="19"/>
  <c r="H360" i="19"/>
  <c r="H359" i="19"/>
  <c r="H358" i="19"/>
  <c r="H357" i="19"/>
  <c r="H356" i="19"/>
  <c r="H355" i="19"/>
  <c r="H354" i="19"/>
  <c r="H353" i="19"/>
  <c r="G352" i="19"/>
  <c r="G351" i="19" s="1"/>
  <c r="F352" i="19"/>
  <c r="H350" i="19"/>
  <c r="H349" i="19"/>
  <c r="G348" i="19"/>
  <c r="F348" i="19"/>
  <c r="G347" i="19"/>
  <c r="H346" i="19"/>
  <c r="G345" i="19"/>
  <c r="H345" i="19" s="1"/>
  <c r="F345" i="19"/>
  <c r="F344" i="19"/>
  <c r="H343" i="19"/>
  <c r="G342" i="19"/>
  <c r="F342" i="19"/>
  <c r="F341" i="19" s="1"/>
  <c r="G341" i="19"/>
  <c r="H340" i="19"/>
  <c r="H339" i="19"/>
  <c r="H338" i="19"/>
  <c r="H337" i="19"/>
  <c r="H336" i="19"/>
  <c r="G335" i="19"/>
  <c r="G334" i="19" s="1"/>
  <c r="F335" i="19"/>
  <c r="H335" i="19" s="1"/>
  <c r="F334" i="19"/>
  <c r="H334" i="19" s="1"/>
  <c r="H332" i="19"/>
  <c r="H331" i="19"/>
  <c r="H330" i="19"/>
  <c r="H329" i="19"/>
  <c r="H328" i="19"/>
  <c r="H327" i="19"/>
  <c r="H326" i="19"/>
  <c r="H325" i="19"/>
  <c r="H324" i="19"/>
  <c r="H323" i="19"/>
  <c r="H322" i="19"/>
  <c r="H321" i="19"/>
  <c r="G321" i="19"/>
  <c r="F321" i="19"/>
  <c r="F320" i="19" s="1"/>
  <c r="G320" i="19"/>
  <c r="H319" i="19"/>
  <c r="H318" i="19"/>
  <c r="H317" i="19"/>
  <c r="H316" i="19"/>
  <c r="G315" i="19"/>
  <c r="F315" i="19"/>
  <c r="G314" i="19"/>
  <c r="H314" i="19" s="1"/>
  <c r="H313" i="19"/>
  <c r="H312" i="19"/>
  <c r="G311" i="19"/>
  <c r="H311" i="19" s="1"/>
  <c r="F310" i="19"/>
  <c r="F309" i="19"/>
  <c r="H308" i="19"/>
  <c r="H307" i="19"/>
  <c r="H306" i="19"/>
  <c r="H305" i="19"/>
  <c r="H304" i="19"/>
  <c r="G303" i="19"/>
  <c r="F303" i="19"/>
  <c r="H303" i="19" s="1"/>
  <c r="H302" i="19"/>
  <c r="G301" i="19"/>
  <c r="F301" i="19"/>
  <c r="H300" i="19"/>
  <c r="H299" i="19"/>
  <c r="H298" i="19"/>
  <c r="H297" i="19"/>
  <c r="H296" i="19"/>
  <c r="H295" i="19"/>
  <c r="H294" i="19"/>
  <c r="H293" i="19"/>
  <c r="H292" i="19"/>
  <c r="G291" i="19"/>
  <c r="F291" i="19"/>
  <c r="H290" i="19"/>
  <c r="G289" i="19"/>
  <c r="G288" i="19" s="1"/>
  <c r="F289" i="19"/>
  <c r="H287" i="19"/>
  <c r="H286" i="19"/>
  <c r="H285" i="19"/>
  <c r="H284" i="19"/>
  <c r="G283" i="19"/>
  <c r="F283" i="19"/>
  <c r="H283" i="19" s="1"/>
  <c r="H282" i="19"/>
  <c r="H281" i="19"/>
  <c r="H280" i="19"/>
  <c r="H279" i="19"/>
  <c r="G278" i="19"/>
  <c r="F278" i="19"/>
  <c r="H277" i="19"/>
  <c r="H276" i="19"/>
  <c r="G275" i="19"/>
  <c r="F275" i="19"/>
  <c r="H275" i="19" s="1"/>
  <c r="G274" i="19"/>
  <c r="H273" i="19"/>
  <c r="G272" i="19"/>
  <c r="G271" i="19" s="1"/>
  <c r="F272" i="19"/>
  <c r="H272" i="19" s="1"/>
  <c r="F271" i="19"/>
  <c r="H271" i="19" s="1"/>
  <c r="H270" i="19"/>
  <c r="H269" i="19"/>
  <c r="H268" i="19"/>
  <c r="H267" i="19"/>
  <c r="H266" i="19"/>
  <c r="H265" i="19"/>
  <c r="G264" i="19"/>
  <c r="F264" i="19"/>
  <c r="H263" i="19"/>
  <c r="H262" i="19"/>
  <c r="H261" i="19"/>
  <c r="H260" i="19"/>
  <c r="H259" i="19"/>
  <c r="H258" i="19"/>
  <c r="H257" i="19"/>
  <c r="H256" i="19"/>
  <c r="H255" i="19"/>
  <c r="H254" i="19"/>
  <c r="H253" i="19"/>
  <c r="F252" i="19"/>
  <c r="H252" i="19" s="1"/>
  <c r="H251" i="19"/>
  <c r="H250" i="19"/>
  <c r="H249" i="19"/>
  <c r="G248" i="19"/>
  <c r="H247" i="19"/>
  <c r="G246" i="19"/>
  <c r="G245" i="19" s="1"/>
  <c r="F246" i="19"/>
  <c r="H246" i="19" s="1"/>
  <c r="H244" i="19"/>
  <c r="H243" i="19"/>
  <c r="H242" i="19"/>
  <c r="H241" i="19"/>
  <c r="H240" i="19"/>
  <c r="H239" i="19"/>
  <c r="G238" i="19"/>
  <c r="G237" i="19" s="1"/>
  <c r="F238" i="19"/>
  <c r="F237" i="19" s="1"/>
  <c r="H236" i="19"/>
  <c r="H235" i="19"/>
  <c r="H234" i="19"/>
  <c r="H233" i="19"/>
  <c r="H232" i="19"/>
  <c r="H231" i="19"/>
  <c r="H230" i="19"/>
  <c r="G229" i="19"/>
  <c r="G228" i="19" s="1"/>
  <c r="F229" i="19"/>
  <c r="F228" i="19" s="1"/>
  <c r="H228" i="19" s="1"/>
  <c r="H227" i="19"/>
  <c r="H226" i="19"/>
  <c r="H225" i="19"/>
  <c r="H224" i="19"/>
  <c r="H223" i="19"/>
  <c r="H222" i="19"/>
  <c r="G221" i="19"/>
  <c r="F221" i="19"/>
  <c r="H220" i="19"/>
  <c r="H219" i="19"/>
  <c r="H218" i="19"/>
  <c r="G217" i="19"/>
  <c r="F217" i="19"/>
  <c r="F216" i="19"/>
  <c r="H215" i="19"/>
  <c r="G214" i="19"/>
  <c r="F214" i="19"/>
  <c r="H213" i="19"/>
  <c r="H212" i="19"/>
  <c r="H211" i="19"/>
  <c r="F210" i="19"/>
  <c r="H210" i="19" s="1"/>
  <c r="G209" i="19"/>
  <c r="H208" i="19"/>
  <c r="H207" i="19"/>
  <c r="G206" i="19"/>
  <c r="H206" i="19" s="1"/>
  <c r="H205" i="19"/>
  <c r="H204" i="19"/>
  <c r="H203" i="19"/>
  <c r="H202" i="19"/>
  <c r="H201" i="19"/>
  <c r="H200" i="19"/>
  <c r="H199" i="19"/>
  <c r="H198" i="19"/>
  <c r="G197" i="19"/>
  <c r="H197" i="19" s="1"/>
  <c r="H196" i="19"/>
  <c r="H195" i="19"/>
  <c r="F194" i="19"/>
  <c r="H193" i="19"/>
  <c r="H192" i="19"/>
  <c r="G191" i="19"/>
  <c r="F191" i="19"/>
  <c r="H191" i="19" s="1"/>
  <c r="H189" i="19"/>
  <c r="H188" i="19"/>
  <c r="H187" i="19"/>
  <c r="G186" i="19"/>
  <c r="F186" i="19"/>
  <c r="H185" i="19"/>
  <c r="G184" i="19"/>
  <c r="F184" i="19"/>
  <c r="F183" i="19" s="1"/>
  <c r="H182" i="19"/>
  <c r="H181" i="19"/>
  <c r="H180" i="19"/>
  <c r="H179" i="19"/>
  <c r="H178" i="19"/>
  <c r="G177" i="19"/>
  <c r="F177" i="19"/>
  <c r="H177" i="19" s="1"/>
  <c r="H176" i="19"/>
  <c r="G175" i="19"/>
  <c r="H175" i="19" s="1"/>
  <c r="H174" i="19"/>
  <c r="H173" i="19"/>
  <c r="H172" i="19"/>
  <c r="H171" i="19"/>
  <c r="F170" i="19"/>
  <c r="H168" i="19"/>
  <c r="H167" i="19"/>
  <c r="G166" i="19"/>
  <c r="H166" i="19" s="1"/>
  <c r="H165" i="19"/>
  <c r="H164" i="19"/>
  <c r="H163" i="19"/>
  <c r="G162" i="19"/>
  <c r="F162" i="19"/>
  <c r="H162" i="19" s="1"/>
  <c r="H161" i="19"/>
  <c r="G161" i="19"/>
  <c r="H160" i="19"/>
  <c r="H159" i="19"/>
  <c r="H158" i="19"/>
  <c r="H157" i="19"/>
  <c r="H156" i="19"/>
  <c r="F155" i="19"/>
  <c r="H154" i="19"/>
  <c r="H153" i="19"/>
  <c r="H152" i="19"/>
  <c r="H151" i="19"/>
  <c r="H150" i="19"/>
  <c r="H149" i="19"/>
  <c r="G148" i="19"/>
  <c r="H148" i="19" s="1"/>
  <c r="H147" i="19"/>
  <c r="H146" i="19"/>
  <c r="H144" i="19"/>
  <c r="H143" i="19"/>
  <c r="G142" i="19"/>
  <c r="F142" i="19"/>
  <c r="G139" i="19"/>
  <c r="H139" i="19" s="1"/>
  <c r="F138" i="19"/>
  <c r="F137" i="19" s="1"/>
  <c r="F136" i="19" s="1"/>
  <c r="H135" i="19"/>
  <c r="H134" i="19"/>
  <c r="H133" i="19"/>
  <c r="G133" i="19"/>
  <c r="F133" i="19"/>
  <c r="H132" i="19"/>
  <c r="H131" i="19"/>
  <c r="G131" i="19"/>
  <c r="F131" i="19"/>
  <c r="F130" i="19" s="1"/>
  <c r="G130" i="19"/>
  <c r="G129" i="19" s="1"/>
  <c r="H127" i="19"/>
  <c r="H126" i="19"/>
  <c r="H125" i="19"/>
  <c r="H124" i="19"/>
  <c r="H123" i="19"/>
  <c r="H122" i="19"/>
  <c r="H121" i="19"/>
  <c r="H120" i="19"/>
  <c r="H119" i="19"/>
  <c r="H118" i="19"/>
  <c r="G117" i="19"/>
  <c r="F117" i="19"/>
  <c r="H117" i="19" s="1"/>
  <c r="H116" i="19"/>
  <c r="H115" i="19"/>
  <c r="G114" i="19"/>
  <c r="G113" i="19" s="1"/>
  <c r="F114" i="19"/>
  <c r="F113" i="19" s="1"/>
  <c r="H113" i="19" s="1"/>
  <c r="H112" i="19"/>
  <c r="G111" i="19"/>
  <c r="G110" i="19" s="1"/>
  <c r="G12" i="19" s="1"/>
  <c r="F111" i="19"/>
  <c r="F110" i="19" s="1"/>
  <c r="H109" i="19"/>
  <c r="H108" i="19"/>
  <c r="H107" i="19"/>
  <c r="H106" i="19"/>
  <c r="G105" i="19"/>
  <c r="F105" i="19"/>
  <c r="H105" i="19" s="1"/>
  <c r="H101" i="19"/>
  <c r="G100" i="19"/>
  <c r="F100" i="19"/>
  <c r="G99" i="19"/>
  <c r="H98" i="19"/>
  <c r="H97" i="19"/>
  <c r="H96" i="19"/>
  <c r="G95" i="19"/>
  <c r="G94" i="19" s="1"/>
  <c r="F95" i="19"/>
  <c r="F94" i="19"/>
  <c r="H92" i="19"/>
  <c r="H91" i="19"/>
  <c r="H90" i="19"/>
  <c r="H89" i="19"/>
  <c r="H88" i="19"/>
  <c r="H87" i="19"/>
  <c r="H86" i="19"/>
  <c r="H85" i="19"/>
  <c r="H84" i="19"/>
  <c r="G83" i="19"/>
  <c r="F83" i="19"/>
  <c r="F82" i="19" s="1"/>
  <c r="H82" i="19" s="1"/>
  <c r="G82" i="19"/>
  <c r="H81" i="19"/>
  <c r="H80" i="19"/>
  <c r="G79" i="19"/>
  <c r="F79" i="19"/>
  <c r="F78" i="19" s="1"/>
  <c r="H78" i="19" s="1"/>
  <c r="G78" i="19"/>
  <c r="H77" i="19"/>
  <c r="H76" i="19"/>
  <c r="G76" i="19"/>
  <c r="F76" i="19"/>
  <c r="G75" i="19"/>
  <c r="F75" i="19"/>
  <c r="H75" i="19" s="1"/>
  <c r="H74" i="19"/>
  <c r="H73" i="19"/>
  <c r="H72" i="19"/>
  <c r="H71" i="19"/>
  <c r="G70" i="19"/>
  <c r="F70" i="19"/>
  <c r="F69" i="19" s="1"/>
  <c r="H69" i="19" s="1"/>
  <c r="G69" i="19"/>
  <c r="H68" i="19"/>
  <c r="H67" i="19"/>
  <c r="H66" i="19"/>
  <c r="H65" i="19"/>
  <c r="H64" i="19"/>
  <c r="G63" i="19"/>
  <c r="G62" i="19" s="1"/>
  <c r="G61" i="19" s="1"/>
  <c r="F63" i="19"/>
  <c r="H58" i="19"/>
  <c r="G57" i="19"/>
  <c r="F57" i="19"/>
  <c r="G56" i="19"/>
  <c r="G55" i="19"/>
  <c r="H54" i="19"/>
  <c r="G53" i="19"/>
  <c r="G52" i="19" s="1"/>
  <c r="G49" i="19" s="1"/>
  <c r="G44" i="19" s="1"/>
  <c r="F53" i="19"/>
  <c r="H53" i="19" s="1"/>
  <c r="H48" i="19"/>
  <c r="G47" i="19"/>
  <c r="F47" i="19"/>
  <c r="G46" i="19"/>
  <c r="G45" i="19"/>
  <c r="H43" i="19"/>
  <c r="G42" i="19"/>
  <c r="G41" i="19" s="1"/>
  <c r="F42" i="19"/>
  <c r="H42" i="19" s="1"/>
  <c r="G40" i="19"/>
  <c r="F40" i="19"/>
  <c r="H40" i="19" s="1"/>
  <c r="H39" i="19"/>
  <c r="G38" i="19"/>
  <c r="F38" i="19"/>
  <c r="H38" i="19" s="1"/>
  <c r="G37" i="19"/>
  <c r="H36" i="19"/>
  <c r="G35" i="19"/>
  <c r="G34" i="19" s="1"/>
  <c r="G33" i="19" s="1"/>
  <c r="G32" i="19" s="1"/>
  <c r="F35" i="19"/>
  <c r="H35" i="19" s="1"/>
  <c r="H31" i="19"/>
  <c r="G30" i="19"/>
  <c r="G29" i="19" s="1"/>
  <c r="G27" i="19" s="1"/>
  <c r="F30" i="19"/>
  <c r="H30" i="19" s="1"/>
  <c r="F26" i="19"/>
  <c r="H26" i="19" s="1"/>
  <c r="G25" i="19"/>
  <c r="G24" i="19" s="1"/>
  <c r="G23" i="19" s="1"/>
  <c r="F25" i="19"/>
  <c r="H22" i="19"/>
  <c r="H21" i="19"/>
  <c r="G21" i="19"/>
  <c r="F21" i="19"/>
  <c r="H20" i="19"/>
  <c r="H19" i="19"/>
  <c r="G19" i="19"/>
  <c r="F19" i="19"/>
  <c r="F18" i="19" s="1"/>
  <c r="G18" i="19"/>
  <c r="G17" i="19"/>
  <c r="H15" i="19"/>
  <c r="G14" i="19"/>
  <c r="G13" i="19" s="1"/>
  <c r="F14" i="19"/>
  <c r="H14" i="19" s="1"/>
  <c r="F12" i="19"/>
  <c r="H12" i="19" s="1"/>
  <c r="E49" i="21" l="1"/>
  <c r="F558" i="19"/>
  <c r="H558" i="19" s="1"/>
  <c r="H559" i="19"/>
  <c r="F17" i="19"/>
  <c r="H17" i="19" s="1"/>
  <c r="H18" i="19"/>
  <c r="H526" i="19"/>
  <c r="F13" i="19"/>
  <c r="H13" i="19" s="1"/>
  <c r="H25" i="19"/>
  <c r="F29" i="19"/>
  <c r="H29" i="19" s="1"/>
  <c r="H63" i="19"/>
  <c r="H70" i="19"/>
  <c r="H79" i="19"/>
  <c r="H83" i="19"/>
  <c r="H110" i="19"/>
  <c r="G170" i="19"/>
  <c r="F209" i="19"/>
  <c r="H209" i="19" s="1"/>
  <c r="H237" i="19"/>
  <c r="H291" i="19"/>
  <c r="H315" i="19"/>
  <c r="H342" i="19"/>
  <c r="F386" i="19"/>
  <c r="H462" i="19"/>
  <c r="H521" i="19"/>
  <c r="H527" i="19"/>
  <c r="G545" i="19"/>
  <c r="H566" i="19"/>
  <c r="G565" i="19"/>
  <c r="G556" i="19" s="1"/>
  <c r="H592" i="19"/>
  <c r="F34" i="19"/>
  <c r="H34" i="19" s="1"/>
  <c r="F93" i="19"/>
  <c r="H93" i="19" s="1"/>
  <c r="F99" i="19"/>
  <c r="H99" i="19" s="1"/>
  <c r="G183" i="19"/>
  <c r="H183" i="19" s="1"/>
  <c r="F274" i="19"/>
  <c r="H274" i="19" s="1"/>
  <c r="H341" i="19"/>
  <c r="G409" i="19"/>
  <c r="H425" i="19"/>
  <c r="H443" i="19"/>
  <c r="G477" i="19"/>
  <c r="G476" i="19" s="1"/>
  <c r="G465" i="19" s="1"/>
  <c r="F514" i="19"/>
  <c r="H514" i="19" s="1"/>
  <c r="H549" i="19"/>
  <c r="F552" i="19"/>
  <c r="H552" i="19" s="1"/>
  <c r="F574" i="19"/>
  <c r="H574" i="19" s="1"/>
  <c r="H596" i="19"/>
  <c r="H603" i="19"/>
  <c r="G93" i="19"/>
  <c r="F41" i="19"/>
  <c r="H41" i="19" s="1"/>
  <c r="H47" i="19"/>
  <c r="F52" i="19"/>
  <c r="H57" i="19"/>
  <c r="F62" i="19"/>
  <c r="F61" i="19" s="1"/>
  <c r="H61" i="19" s="1"/>
  <c r="H94" i="19"/>
  <c r="H142" i="19"/>
  <c r="G145" i="19"/>
  <c r="G141" i="19" s="1"/>
  <c r="H214" i="19"/>
  <c r="H301" i="19"/>
  <c r="G310" i="19"/>
  <c r="H364" i="19"/>
  <c r="G386" i="19"/>
  <c r="H436" i="19"/>
  <c r="F476" i="19"/>
  <c r="F520" i="19"/>
  <c r="H520" i="19" s="1"/>
  <c r="F523" i="19"/>
  <c r="H523" i="19" s="1"/>
  <c r="G531" i="19"/>
  <c r="H543" i="19"/>
  <c r="F570" i="19"/>
  <c r="F565" i="19" s="1"/>
  <c r="H565" i="19" s="1"/>
  <c r="F591" i="19"/>
  <c r="G11" i="19"/>
  <c r="G10" i="19" s="1"/>
  <c r="G400" i="19"/>
  <c r="G399" i="19" s="1"/>
  <c r="H408" i="19"/>
  <c r="F24" i="19"/>
  <c r="F37" i="19"/>
  <c r="F46" i="19"/>
  <c r="F56" i="19"/>
  <c r="H95" i="19"/>
  <c r="H100" i="19"/>
  <c r="H111" i="19"/>
  <c r="H114" i="19"/>
  <c r="F129" i="19"/>
  <c r="H130" i="19"/>
  <c r="H186" i="19"/>
  <c r="G194" i="19"/>
  <c r="G190" i="19" s="1"/>
  <c r="H229" i="19"/>
  <c r="H238" i="19"/>
  <c r="F248" i="19"/>
  <c r="H248" i="19" s="1"/>
  <c r="H278" i="19"/>
  <c r="H310" i="19"/>
  <c r="G309" i="19"/>
  <c r="H309" i="19" s="1"/>
  <c r="H320" i="19"/>
  <c r="H378" i="19"/>
  <c r="H405" i="19"/>
  <c r="F400" i="19"/>
  <c r="H420" i="19"/>
  <c r="F410" i="19"/>
  <c r="H444" i="19"/>
  <c r="H450" i="19"/>
  <c r="F449" i="19"/>
  <c r="H468" i="19"/>
  <c r="F467" i="19"/>
  <c r="G492" i="19"/>
  <c r="G519" i="19"/>
  <c r="H547" i="19"/>
  <c r="F546" i="19"/>
  <c r="H550" i="19"/>
  <c r="H595" i="19"/>
  <c r="H608" i="19"/>
  <c r="F607" i="19"/>
  <c r="H155" i="19"/>
  <c r="F145" i="19"/>
  <c r="G138" i="19"/>
  <c r="G137" i="19" s="1"/>
  <c r="F169" i="19"/>
  <c r="H184" i="19"/>
  <c r="H348" i="19"/>
  <c r="F347" i="19"/>
  <c r="H347" i="19" s="1"/>
  <c r="H432" i="19"/>
  <c r="H472" i="19"/>
  <c r="F471" i="19"/>
  <c r="H471" i="19" s="1"/>
  <c r="F492" i="19"/>
  <c r="H509" i="19"/>
  <c r="G600" i="19"/>
  <c r="H600" i="19" s="1"/>
  <c r="F190" i="19"/>
  <c r="H190" i="19" s="1"/>
  <c r="H217" i="19"/>
  <c r="G216" i="19"/>
  <c r="H216" i="19" s="1"/>
  <c r="H221" i="19"/>
  <c r="H264" i="19"/>
  <c r="H289" i="19"/>
  <c r="F288" i="19"/>
  <c r="H288" i="19" s="1"/>
  <c r="H352" i="19"/>
  <c r="F351" i="19"/>
  <c r="H351" i="19" s="1"/>
  <c r="H433" i="19"/>
  <c r="H532" i="19"/>
  <c r="H570" i="19"/>
  <c r="H591" i="19"/>
  <c r="F590" i="19"/>
  <c r="H531" i="19"/>
  <c r="G344" i="19"/>
  <c r="H344" i="19" s="1"/>
  <c r="H169" i="19" l="1"/>
  <c r="F245" i="19"/>
  <c r="H245" i="19" s="1"/>
  <c r="H62" i="19"/>
  <c r="H476" i="19"/>
  <c r="H52" i="19"/>
  <c r="F49" i="19"/>
  <c r="H49" i="19" s="1"/>
  <c r="H477" i="19"/>
  <c r="H386" i="19"/>
  <c r="F519" i="19"/>
  <c r="H194" i="19"/>
  <c r="F27" i="19"/>
  <c r="H27" i="19" s="1"/>
  <c r="G169" i="19"/>
  <c r="H170" i="19"/>
  <c r="H492" i="19"/>
  <c r="H400" i="19"/>
  <c r="F399" i="19"/>
  <c r="H399" i="19" s="1"/>
  <c r="H590" i="19"/>
  <c r="F556" i="19"/>
  <c r="H137" i="19"/>
  <c r="G136" i="19"/>
  <c r="H145" i="19"/>
  <c r="F141" i="19"/>
  <c r="H467" i="19"/>
  <c r="F465" i="19"/>
  <c r="H138" i="19"/>
  <c r="H56" i="19"/>
  <c r="F55" i="19"/>
  <c r="H55" i="19" s="1"/>
  <c r="H24" i="19"/>
  <c r="F23" i="19"/>
  <c r="G594" i="19"/>
  <c r="G140" i="19"/>
  <c r="H546" i="19"/>
  <c r="F545" i="19"/>
  <c r="F409" i="19"/>
  <c r="H410" i="19"/>
  <c r="H46" i="19"/>
  <c r="F45" i="19"/>
  <c r="H519" i="19"/>
  <c r="H607" i="19"/>
  <c r="F606" i="19"/>
  <c r="H449" i="19"/>
  <c r="F448" i="19"/>
  <c r="H129" i="19"/>
  <c r="H37" i="19"/>
  <c r="F33" i="19"/>
  <c r="G60" i="19" l="1"/>
  <c r="G59" i="19" s="1"/>
  <c r="H136" i="19"/>
  <c r="F32" i="19"/>
  <c r="H33" i="19"/>
  <c r="H409" i="19"/>
  <c r="H141" i="19"/>
  <c r="F140" i="19"/>
  <c r="H556" i="19"/>
  <c r="H465" i="19"/>
  <c r="H448" i="19"/>
  <c r="H606" i="19"/>
  <c r="F594" i="19"/>
  <c r="F44" i="19"/>
  <c r="H45" i="19"/>
  <c r="H545" i="19"/>
  <c r="H23" i="19"/>
  <c r="F11" i="19"/>
  <c r="H11" i="19" l="1"/>
  <c r="F10" i="19"/>
  <c r="H32" i="19"/>
  <c r="H140" i="19"/>
  <c r="F60" i="19"/>
  <c r="H594" i="19"/>
  <c r="H44" i="19"/>
  <c r="H60" i="19" l="1"/>
  <c r="F59" i="19"/>
  <c r="H10" i="19"/>
  <c r="H59" i="19" l="1"/>
</calcChain>
</file>

<file path=xl/sharedStrings.xml><?xml version="1.0" encoding="utf-8"?>
<sst xmlns="http://schemas.openxmlformats.org/spreadsheetml/2006/main" count="1356" uniqueCount="482">
  <si>
    <t>Załącznik Nr 1</t>
  </si>
  <si>
    <t>w złotych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</si>
  <si>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</si>
  <si>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</si>
  <si>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</si>
  <si>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</si>
  <si>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</si>
  <si>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</si>
  <si>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</si>
  <si>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</si>
  <si>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>DOCHODY OGÓŁEM:</t>
  </si>
  <si>
    <t>Dochody na zadania własne:</t>
  </si>
  <si>
    <t>Pozostała działalność</t>
  </si>
  <si>
    <t>WYDATKI OGÓŁEM:</t>
  </si>
  <si>
    <t>Wydatki na zadania własne:</t>
  </si>
  <si>
    <t>Transport i łączność</t>
  </si>
  <si>
    <t>przed zmianą</t>
  </si>
  <si>
    <t>Załącznik Nr 2</t>
  </si>
  <si>
    <t>Dział</t>
  </si>
  <si>
    <t>6050</t>
  </si>
  <si>
    <t>Drogi publiczne gminne</t>
  </si>
  <si>
    <t>Rozdział</t>
  </si>
  <si>
    <t>Zmiany w budżecie miasta Włocławek na 2022 rok</t>
  </si>
  <si>
    <t>4210</t>
  </si>
  <si>
    <t>Budowa drogi stanowiącej alternatywne połączenie osiedla Michelin z osiedlem Południe</t>
  </si>
  <si>
    <t>Załącznik Nr 3</t>
  </si>
  <si>
    <t>w tym:</t>
  </si>
  <si>
    <t>Lp.</t>
  </si>
  <si>
    <t>1.</t>
  </si>
  <si>
    <t>2.</t>
  </si>
  <si>
    <t>3.</t>
  </si>
  <si>
    <t>4.</t>
  </si>
  <si>
    <t>Plan dochodów i wydatków na wydzielonym rachunku dotyczącym przeciwdziałania COVID-19</t>
  </si>
  <si>
    <t>Nazwa zadania</t>
  </si>
  <si>
    <t xml:space="preserve">Dział </t>
  </si>
  <si>
    <t>6090</t>
  </si>
  <si>
    <t>x</t>
  </si>
  <si>
    <t>Przebudowa ulicy Kilińskiego we Włocławku w ramach projektu "Przebudowa ulic śródmieścia, w celu uspokojenia ruchu"</t>
  </si>
  <si>
    <t>600</t>
  </si>
  <si>
    <t>60015</t>
  </si>
  <si>
    <t xml:space="preserve"> - wkład własny</t>
  </si>
  <si>
    <t>60016</t>
  </si>
  <si>
    <t>Ogółem:</t>
  </si>
  <si>
    <t>Organ</t>
  </si>
  <si>
    <t>Dochody na 2022 rok</t>
  </si>
  <si>
    <t>Wydatki na 2022 rok</t>
  </si>
  <si>
    <t>2180</t>
  </si>
  <si>
    <t>Pomoc dla domów pomocy społecznej w przeciwdziałaniu skutkom rozprzestrzeniania się SARS-Cov-2</t>
  </si>
  <si>
    <t>852</t>
  </si>
  <si>
    <t>85202</t>
  </si>
  <si>
    <t>Dom Pomocy Społecznej</t>
  </si>
  <si>
    <t>ul. Nowomiejska 19</t>
  </si>
  <si>
    <t>3020</t>
  </si>
  <si>
    <t>4010</t>
  </si>
  <si>
    <t>4110</t>
  </si>
  <si>
    <t>4120</t>
  </si>
  <si>
    <t>ul. Dobrzyńska 102</t>
  </si>
  <si>
    <t>4230</t>
  </si>
  <si>
    <t>Program "Korpus Wsparcia Seniorów"</t>
  </si>
  <si>
    <t>85295</t>
  </si>
  <si>
    <t>Miejski Ośrodek Pomocy Rodzinie</t>
  </si>
  <si>
    <t>4220</t>
  </si>
  <si>
    <t>4300</t>
  </si>
  <si>
    <t>4710</t>
  </si>
  <si>
    <t xml:space="preserve">Prezydenta Miasta Włocławek </t>
  </si>
  <si>
    <t>Administracja publiczna</t>
  </si>
  <si>
    <t>Pomoc zagraniczna</t>
  </si>
  <si>
    <t>Wydział Kultury, Promocji i Komunikacji Społecznej</t>
  </si>
  <si>
    <t>0720</t>
  </si>
  <si>
    <t>wpływy z otrzymanych darowizn i ofiar w postaci pieniężnej na realizację zadań na rzecz pomocy Ukrainie</t>
  </si>
  <si>
    <t xml:space="preserve">Bezpieczeństwo publiczne i ochrona </t>
  </si>
  <si>
    <t>przeciwpożarowa</t>
  </si>
  <si>
    <t>75421</t>
  </si>
  <si>
    <t>Zarządzanie kryzysowe</t>
  </si>
  <si>
    <t>2020</t>
  </si>
  <si>
    <t>dotacje celowe otrzymane z budżetu państwa na zadania bieżące realizowane przez gminę na podstawie porozumień z organami administracji rządowej</t>
  </si>
  <si>
    <t>Wydział Zarządzania Kryzysowego i Bezpieczeństwa</t>
  </si>
  <si>
    <t>Różne rozliczenia</t>
  </si>
  <si>
    <t>75814</t>
  </si>
  <si>
    <t>Różne rozliczenia finansowe</t>
  </si>
  <si>
    <t>Organ - Fundusz Pomocy (realizacja dodatkowych zadań oświatowych)</t>
  </si>
  <si>
    <t>2100</t>
  </si>
  <si>
    <t>środki z Funduszu Pomocy na finansowanie lub dofinansowanie zadań bieżących w zakresie pomocy obywatelom Ukrainy</t>
  </si>
  <si>
    <t>Pomoc społeczna</t>
  </si>
  <si>
    <t xml:space="preserve">Zasiłki okresowe, celowe i pomoc w naturze oraz składki </t>
  </si>
  <si>
    <t>na ubezpieczenia emerytalne i rentowe</t>
  </si>
  <si>
    <t>Organ - Fundusz Pomocy (zasiłki okresowe)</t>
  </si>
  <si>
    <t>Dochody na zadania zlecone:</t>
  </si>
  <si>
    <t>Ośrodki pomocy społecznej</t>
  </si>
  <si>
    <t>2010</t>
  </si>
  <si>
    <t xml:space="preserve">dotacje celowe otrzymane z budżetu państwa na realizację zadań bieżących z zakresu administracji rządowej oraz innych zadań zleconych gminie (związkom gmin, związkom powiatowo-gminnym) ustawami </t>
  </si>
  <si>
    <t>Usługi opiekuńcze i specjalistyczne usługi opiekuńcze</t>
  </si>
  <si>
    <t>Rodzina</t>
  </si>
  <si>
    <t>Świadczenie wychowawcze</t>
  </si>
  <si>
    <t>dotacje celowe otrzymane z budżetu państwa na zadania bieżące z zakresu administracji rządowej zlecone gminom (związkom gmin, związkom powiatowo - gminnym), związane z realizacją świadczenia wychowawczego stanowiącego pomoc państwa w wychowywaniu dzieci</t>
  </si>
  <si>
    <t>Dochody na zadania rządowe:</t>
  </si>
  <si>
    <t>Gospodarka mieszkaniowa</t>
  </si>
  <si>
    <t>Gospodarka gruntami i nieruchomościami</t>
  </si>
  <si>
    <t>dotacje celowe otrzymane z budżetu państwa na zadania bieżące z zakresu administracji rządowej oraz inne zadania zlecone ustawami realizowane przez powiat</t>
  </si>
  <si>
    <t>Ochrona zdrowia</t>
  </si>
  <si>
    <t>Składki na ubezpieczenie zdrowotne oraz świadczenia</t>
  </si>
  <si>
    <t>dla osób nie objętych obowiązkiem ubezpieczenia</t>
  </si>
  <si>
    <t>zdrowotnego</t>
  </si>
  <si>
    <t>Zadania w zakresie przeciwdziałania przemocy w rodzinie</t>
  </si>
  <si>
    <t>Lokalny transport zbiorowy</t>
  </si>
  <si>
    <t>Miejski Zarząd Infrastruktury Drogowej i Transportu</t>
  </si>
  <si>
    <t>zakup energii</t>
  </si>
  <si>
    <t>zakup usług remontowych</t>
  </si>
  <si>
    <t>zakup usług pozostałych</t>
  </si>
  <si>
    <t>opłaty z tytułu zakupu usług telekomunikacyjnych</t>
  </si>
  <si>
    <t xml:space="preserve">koszty postępowania sądowego i prokuratorskiego </t>
  </si>
  <si>
    <t>Drogi publiczne w miastach na prawach powiatu</t>
  </si>
  <si>
    <t xml:space="preserve">różne opłaty i składki </t>
  </si>
  <si>
    <t>kary i odszkodowania wypłacane na rzecz osób prawnych i innych jednostek organizacyjnych</t>
  </si>
  <si>
    <t>koszty postępowania sądowego i prokuratorskiego</t>
  </si>
  <si>
    <t>Funkcjonowanie dworców i węzłów przesiadkowych</t>
  </si>
  <si>
    <t>wydatki osobowe niezaliczone do wynagrodzeń</t>
  </si>
  <si>
    <t>zakup usług zdrowotnych</t>
  </si>
  <si>
    <t>pozostałe odsetki</t>
  </si>
  <si>
    <t xml:space="preserve">szkolenia pracowników niebędących członkami korpusu służby cywilnej </t>
  </si>
  <si>
    <t>wpłaty na PPK finansowane przez podmiot zatrudniający</t>
  </si>
  <si>
    <t>75023</t>
  </si>
  <si>
    <t>Urzędy gmin (miast i miast na prawach powiatu)</t>
  </si>
  <si>
    <t>Wydział Organizacyjno-Prawny i Kadr</t>
  </si>
  <si>
    <t>podróże służbowe krajowe</t>
  </si>
  <si>
    <t xml:space="preserve">Działalność informacyjna i kulturalna prowadzona za granicą </t>
  </si>
  <si>
    <t>podróże służbowe zagraniczne</t>
  </si>
  <si>
    <t xml:space="preserve">Centrum Obsługi Inwestora projekt pn."Invest in BIT CITY 2. </t>
  </si>
  <si>
    <t>Promocja potencjału gospodarczego oraz promocja</t>
  </si>
  <si>
    <t>atrakcyjności inwestycyjnej miast prezydenckich</t>
  </si>
  <si>
    <t>województwa kujawsko - pomorskiego"</t>
  </si>
  <si>
    <t>4350</t>
  </si>
  <si>
    <t>zakup towarów (w szczególności materiałów, leków, żywności) w związku z pomocą obywatelom Ukrainy</t>
  </si>
  <si>
    <t>75095</t>
  </si>
  <si>
    <t>wynagrodzenia bezosobowe</t>
  </si>
  <si>
    <t>zakup materiałów i wyposażenia</t>
  </si>
  <si>
    <t xml:space="preserve">Wydział Rozwoju Miasta - Projekt pn. "WŁOCŁAWEK - MIASTO NOWYCH MOŻLIWOŚCI. Tutaj mieszkam, pracuję, inwestuję i tu wypoczywam" </t>
  </si>
  <si>
    <t>wynagrodzenia osobowe pracowników</t>
  </si>
  <si>
    <t xml:space="preserve">składki na ubezpieczenia społeczne </t>
  </si>
  <si>
    <t xml:space="preserve">podróże służbowe krajowe </t>
  </si>
  <si>
    <t xml:space="preserve">szkolenia pracowników  niebędących członkami korpusu służby cywilnej </t>
  </si>
  <si>
    <t>Bezpieczeństwo publiczne i ochrona</t>
  </si>
  <si>
    <t>zakup usług związanych z pomocą obywatelom Ukrainy</t>
  </si>
  <si>
    <t>Miejska Jadłodajnia "U Świętego Antoniego"</t>
  </si>
  <si>
    <t>wydatki na zakupy inwestycyjne jednostek budżetowych</t>
  </si>
  <si>
    <t>wydatki na zakupy inwestycyjne związane z pomocą obywatelom Ukrainy</t>
  </si>
  <si>
    <t>Rezerwy ogólne i celowe</t>
  </si>
  <si>
    <t>4810</t>
  </si>
  <si>
    <t xml:space="preserve">rezerwy </t>
  </si>
  <si>
    <t xml:space="preserve"> - rezerwa celowa</t>
  </si>
  <si>
    <t>Oświata i wychowanie</t>
  </si>
  <si>
    <t>Szkoły podstawowe</t>
  </si>
  <si>
    <t>Wydział Edukacji</t>
  </si>
  <si>
    <t>dotacja podmiotowa z budżetu dla niepublicznej jednostki systemu oświaty</t>
  </si>
  <si>
    <t>dotacja podmiotowa z budżetu dla publicznej jednostki systemu oświaty prowadzonej przez osobę prawną inną niż jednostka samorządu terytorialnego lub przez osobę fizyczną</t>
  </si>
  <si>
    <t>Jednostki oświatowe zbiorczo</t>
  </si>
  <si>
    <t>dodatkowe wynagrodzenie roczne</t>
  </si>
  <si>
    <t>wpłaty na Państwowy Fundusz Rehabilitacji Osób Niepełnosprawnych</t>
  </si>
  <si>
    <t>zakup środków dydaktycznych i książek</t>
  </si>
  <si>
    <t>dodatkowe wynagrodzenie roczne nauczycieli</t>
  </si>
  <si>
    <t>Jednostki oświatowe zbiorczo - Fundusz Pomocy (realizacja dodatkowych zadań oświatowych)</t>
  </si>
  <si>
    <t>wynagrodzenia i uposażenia wypłacane w związku z pomocą obywatelom Ukrainy</t>
  </si>
  <si>
    <t>wynagrodzenia nauczycieli wypłacane w związku z pomocą obywatelom Ukrainy</t>
  </si>
  <si>
    <t>składki i inne pochodne od wynagrodzeń pracowników wypłacanych w związku z pomocą obywatelom Ukrainy</t>
  </si>
  <si>
    <t>pozostałe wydatki bieżące na zadania związane z pomocą obywatelom Ukrainy</t>
  </si>
  <si>
    <t>Szkoły podstawowe specjalne</t>
  </si>
  <si>
    <t>Oddziały przedszkolne w szkołach podstawowych</t>
  </si>
  <si>
    <t xml:space="preserve">Wydział Edukacji </t>
  </si>
  <si>
    <t>składki na ubezpieczenia społeczne</t>
  </si>
  <si>
    <t>wynagrodzenie osobowe nauczycieli</t>
  </si>
  <si>
    <t>Przedszkola</t>
  </si>
  <si>
    <t>Wydział Edukacji - Fundusz Pomocy (realizacja dodatkowych zadań oświatowych)</t>
  </si>
  <si>
    <t>2340</t>
  </si>
  <si>
    <t>dotacja celowa dla jednostki spoza sektora finansów publicznych na finansowanie lub dofinansowanie zadań bieżących związanych z pomocą obywatelom Ukrainy</t>
  </si>
  <si>
    <t>Przedszkola specjalne</t>
  </si>
  <si>
    <t>Świetlice szkolne</t>
  </si>
  <si>
    <t xml:space="preserve">składki na Fundusz Pracy oraz Fundusz Solidarnościowy </t>
  </si>
  <si>
    <t>80113</t>
  </si>
  <si>
    <t>Dowożenie uczniów do szkół</t>
  </si>
  <si>
    <t>Technika</t>
  </si>
  <si>
    <t>Szkoły policealne</t>
  </si>
  <si>
    <t>Branżowe szkoły I i II stopnia</t>
  </si>
  <si>
    <t>Licea ogólnokształcące</t>
  </si>
  <si>
    <t>Jednostki oświatowe zbiorczo - Oddział przygotowania wojskowego</t>
  </si>
  <si>
    <t>Szkoły artystyczne</t>
  </si>
  <si>
    <t>Szkoły zawodowe specjalne</t>
  </si>
  <si>
    <t xml:space="preserve">Placówki kształcenia ustawicznego i centra </t>
  </si>
  <si>
    <t xml:space="preserve"> kształcenia zawodowego</t>
  </si>
  <si>
    <t>Ośrodki szkolenia, dokształcania i doskonalenia kadr</t>
  </si>
  <si>
    <t>Inne formy kształcenia osobno niewymienione</t>
  </si>
  <si>
    <t>Dokształcanie i doskonalenie nauczycieli</t>
  </si>
  <si>
    <t>Stołówki szkolne i przedszkolne</t>
  </si>
  <si>
    <t xml:space="preserve">Realizacja zadań wymagających stosowania specjalnej </t>
  </si>
  <si>
    <t>organizacji nauki i metod pracy dla dzieci w przedszkolach,</t>
  </si>
  <si>
    <t xml:space="preserve">oddziałach przedszkolnych w szkołach podstawowych </t>
  </si>
  <si>
    <t>i innych formach wychowania przedszkolnego</t>
  </si>
  <si>
    <t>odpisy na zakładowy fundusz świadczeń socjalnych</t>
  </si>
  <si>
    <t>organizacji nauki i metod pracy dla dzieci i młodzieży</t>
  </si>
  <si>
    <t>w szkołach podstawowych</t>
  </si>
  <si>
    <t>Kwalifikacyjne kursy zawodowe</t>
  </si>
  <si>
    <t>w gimnazjach, klasach dotychczasowego gimnazjum</t>
  </si>
  <si>
    <t>prowadzonych w szkołach innego typu, liceach</t>
  </si>
  <si>
    <t xml:space="preserve">ogólnokształcących, technikach, szkołach policealnych, </t>
  </si>
  <si>
    <t>branżowych szkołach I i II stopnia i klasach dotychczasowej</t>
  </si>
  <si>
    <t>zasadniczej szkoły zawodowej prowadzonych w branżowych</t>
  </si>
  <si>
    <t>szkołach I stopnia oraz szkołach artystycznych</t>
  </si>
  <si>
    <t>Domy pomocy społecznej</t>
  </si>
  <si>
    <t xml:space="preserve">Dom Pomocy Społecznej ul. Nowomiejska 19 </t>
  </si>
  <si>
    <t>Dom Pomocy Społecznej ul. Dobrzyńska 102</t>
  </si>
  <si>
    <t>Ośrodki wsparcia</t>
  </si>
  <si>
    <t xml:space="preserve">Dom Pomocy Społecznej przy ul.Nowomiejskiej 19 - </t>
  </si>
  <si>
    <t>Ośrodek Dziennego Pobytu przy ul.Brzeskiej 15</t>
  </si>
  <si>
    <t>Miejski Ośrodek Pomocy Rodzinie - Fundusz Pomocy (zasiłki okresowe)</t>
  </si>
  <si>
    <t>świadczenia społeczne wypłacane obywatelom Ukrainy przebywającym na terytorium RP</t>
  </si>
  <si>
    <t>Pozostałe zadania w zakresie polityki społecznej</t>
  </si>
  <si>
    <t>zakup środków żywności</t>
  </si>
  <si>
    <t>Miejski Ośrodek Pomocy Rodzinie - projekt pn. "Usługi indywidualnego transportu door-to-door - dla mieszkańców Miasta Włocławka"</t>
  </si>
  <si>
    <t>Miejski Ośrodek Pomocy Rodzinie - projekt pn."Kujawsko - pomorska teleopieka"</t>
  </si>
  <si>
    <t>Edukacyjna opieka wychowawcza</t>
  </si>
  <si>
    <t>Poradnie psychologiczno - pedagogiczne, w tym</t>
  </si>
  <si>
    <t>poradnie specjalistyczne</t>
  </si>
  <si>
    <t>Internaty i bursy szkolne</t>
  </si>
  <si>
    <t>Młodzieżowe ośrodki wychowawcze</t>
  </si>
  <si>
    <t>zakup leków, wyrobów medycznych i produktów biobójczych</t>
  </si>
  <si>
    <t xml:space="preserve">zakup usług obejmujących wykonanie ekspertyz, analiz i opinii </t>
  </si>
  <si>
    <t>Świadczenia rodzinne, świadczenie z funduszu alimentacyjnego oraz składki na ubezpieczenia emerytalne i rentowe z ubezpieczenia społecznego</t>
  </si>
  <si>
    <t>świadczenia społeczne</t>
  </si>
  <si>
    <t>Rodziny zastępcze</t>
  </si>
  <si>
    <t>Miejski Ośrodek Pomocy Rodzinie - Zespół ds. pieczy</t>
  </si>
  <si>
    <t>zastępczej</t>
  </si>
  <si>
    <t>Działalność placówek opiekuńczo - wychowawczych</t>
  </si>
  <si>
    <t xml:space="preserve">Placówka Opiekuńczo - Wychowawcza Nr 1 "Maluch" </t>
  </si>
  <si>
    <t xml:space="preserve">Placówka Opiekuńczo - Wychowawcza Nr 2 "Calineczka" </t>
  </si>
  <si>
    <t>System opieki nad dziećmi w wieku do lat 3</t>
  </si>
  <si>
    <t>Miejski Zespół Żłobków</t>
  </si>
  <si>
    <t>Gospodarka komunalna i ochrona środowiska</t>
  </si>
  <si>
    <t>Oczyszczanie miast i wsi</t>
  </si>
  <si>
    <t>Miejski Zakład Zieleni i Usług Komunalnych</t>
  </si>
  <si>
    <t>Utrzymanie zieleni w miastach i gminach</t>
  </si>
  <si>
    <t>Schroniska dla zwierząt</t>
  </si>
  <si>
    <t>Schronisko dla Zwierząt</t>
  </si>
  <si>
    <t>Miejski Zakład Zieleni i Usług Komunalnych we Włocławku - obsługa Strefy Rozwoju Gospodarczego /Park Przemysłowo - Technologiczny/</t>
  </si>
  <si>
    <t xml:space="preserve">Wydział Nadzoru Właścicielskiego, Gospodarki </t>
  </si>
  <si>
    <t>Komunalnej i Informatyzacji</t>
  </si>
  <si>
    <t xml:space="preserve">Kultura i ochrona dziedzictwa narodowego </t>
  </si>
  <si>
    <t>Galerie i biura wystaw artystycznych</t>
  </si>
  <si>
    <t>2800</t>
  </si>
  <si>
    <t>dotacja celowa z budżetu dla pozostałych jednostek zaliczanych do sektora finansów publicznych</t>
  </si>
  <si>
    <t>Centra kultury i sztuki</t>
  </si>
  <si>
    <t>Wydatki na zadania zlecone:</t>
  </si>
  <si>
    <t>Wydział Zarządzania Kryzysowego i Bezpieczeństwa - Fundusz Pomocy (zapewnienie zakwaterowania i wyżywienia obywatelom Ukrainy)</t>
  </si>
  <si>
    <t>Administracja Zasobów Komunalnych - Fundusz Pomocy (zapewnienie zakwaterowania i wyżywienia obywatelom Ukrainy)</t>
  </si>
  <si>
    <t>Środowiskowy Dom Samopomocy</t>
  </si>
  <si>
    <t>Wydział Polityki Społecznej i Zdrowia Publicznego</t>
  </si>
  <si>
    <t>2820</t>
  </si>
  <si>
    <t>dotacja celowa z budżetu na finansowanie lub dofinansowanie zadań zleconych do realizacji stowarzyszeniom</t>
  </si>
  <si>
    <t>Miejski Ośrodek Pomocy Rodzinie - Fundusz Przeciwdziałania COVID-19 (dodatek węglowy)</t>
  </si>
  <si>
    <t>składki na Fundusz Pracy oraz Fundusz Solidarnościowy</t>
  </si>
  <si>
    <t>Wydatki na zadania rządowe:</t>
  </si>
  <si>
    <t>Wydział Gospodarowania Mieniem Komunalnym</t>
  </si>
  <si>
    <t xml:space="preserve">zakup usług pozostałych </t>
  </si>
  <si>
    <t xml:space="preserve">Składki na ubezpieczenie zdrowotne oraz </t>
  </si>
  <si>
    <t xml:space="preserve">świadczenia dla osób nieobjętych obowiązkiem </t>
  </si>
  <si>
    <r>
      <t xml:space="preserve">ubezpieczenia zdrowotnego </t>
    </r>
    <r>
      <rPr>
        <i/>
        <sz val="9"/>
        <rFont val="Arial CE"/>
        <charset val="238"/>
      </rPr>
      <t/>
    </r>
  </si>
  <si>
    <t xml:space="preserve">składki na ubezpieczenie zdrowotne </t>
  </si>
  <si>
    <t>Miejski Ośrodek Pomocy Rodzinie - program psychologiczno - terapeutyczny</t>
  </si>
  <si>
    <t>do Zarządzenia NR 335/2022</t>
  </si>
  <si>
    <t>z dnia 30 września 2022 r.</t>
  </si>
  <si>
    <t>Dochody i wydatki związane z realizacją zadań z zakresu administracji rządowej wykonywanych na podstawie porozumień z organami administracji rządowej na 2022 rok</t>
  </si>
  <si>
    <t>z tego:</t>
  </si>
  <si>
    <t>Dotacje
ogółem</t>
  </si>
  <si>
    <t>Wydatki
ogółem
(6+9)</t>
  </si>
  <si>
    <t>Wydatki
bieżące</t>
  </si>
  <si>
    <t>wynagrodzenia i składki od nich naliczane</t>
  </si>
  <si>
    <t>świadczenia na rzecz osób fizycznych</t>
  </si>
  <si>
    <t>Wydatki
majątkowe</t>
  </si>
  <si>
    <t xml:space="preserve">Dotacje udzielane z budżetu jednostki samorządu terytorialnego </t>
  </si>
  <si>
    <t>dla jednostek sektora finansów publicznych na 2022 rok</t>
  </si>
  <si>
    <t>Kwota dotacji</t>
  </si>
  <si>
    <t>dotacje celowe</t>
  </si>
  <si>
    <t>Urzędy gmin (miast i miast na prawach powiatu) - realizacja projektu "Infostrada Kujaw i Pomorza 2.0"</t>
  </si>
  <si>
    <t>Działalność informacyjna i kulturalna prowadzona za granicą  - realizacja projektu "Invest in Bit CITY 2 - Promocja potencjału gospodarczego oraz promocja atrakcyjności inwestycyjnej miast prezydenckich województwa Kujawsko - Pomorskiego"</t>
  </si>
  <si>
    <t>Pozostała działalność (kształcenie praktyczne uczniów)</t>
  </si>
  <si>
    <t>Programy polityki zdrowotnej</t>
  </si>
  <si>
    <t>Przeciwdziałanie alkoholizmowi (dofinansowanie "Niebieskiej linii")</t>
  </si>
  <si>
    <t xml:space="preserve">Powiatowe urzędy pracy </t>
  </si>
  <si>
    <t>Pozostała działalność - realizacja projektu „Dotacja na start – wsparcie przedsiębiorczości i samozatrudnienia w województwie kujawsko – pomorskim”</t>
  </si>
  <si>
    <t>Galerie i biura wystaw artystycznych (dotacja na inwestycje)</t>
  </si>
  <si>
    <t xml:space="preserve"> - Galeria Sztuki Współczesnej</t>
  </si>
  <si>
    <t xml:space="preserve"> - Centrum Kultury Browar B - realizacja projektu pn. "WŁOCŁAWEK - MIASTO NOWYCH MOŻLIWOŚCI. Tutaj mieszkam, pracuję, inwestuję i tu wypoczywam" </t>
  </si>
  <si>
    <t xml:space="preserve"> - Centrum Kultury Browar B </t>
  </si>
  <si>
    <t>Pozostałe instytucje kultury (dotacja na inwestycje)</t>
  </si>
  <si>
    <t xml:space="preserve"> - Teatr Impresaryjny</t>
  </si>
  <si>
    <t>Biblioteki (dotacja na inwestycje)</t>
  </si>
  <si>
    <t xml:space="preserve"> - Miejska Biblioteka Publiczna</t>
  </si>
  <si>
    <t>Biblioteki</t>
  </si>
  <si>
    <t>Razem</t>
  </si>
  <si>
    <t>dotacje podmiotowe</t>
  </si>
  <si>
    <t xml:space="preserve"> - Zakład Aktywności Zawodowej</t>
  </si>
  <si>
    <t xml:space="preserve"> - Centrum Kultury Browar B</t>
  </si>
  <si>
    <t>Pozostałe instytucje kultury</t>
  </si>
  <si>
    <t>Załącznik Nr 4</t>
  </si>
  <si>
    <t>dla jednostek spoza sektora finansów publicznych na 2022 rok</t>
  </si>
  <si>
    <t>Dotacje do prac budowlanych w ramach rewitalizacji</t>
  </si>
  <si>
    <t>Pozostała działalność (prowadzenie Kawiarni Obywatelskiej "Śródmieście Cafe")</t>
  </si>
  <si>
    <t>Nieodpłatna pomoc prawna - zadanie rządowe</t>
  </si>
  <si>
    <t>Publiczna Szkoła Podstawowa im. Ks. J. Długosza</t>
  </si>
  <si>
    <t>Szkoła Podstawowa z oddziałami dwujęzycznymi Monttessori-     Schule</t>
  </si>
  <si>
    <t>Prywatna Szkoła Podstawowa Zespołu Edukacji "Wiedza"</t>
  </si>
  <si>
    <t>Przedszkole Niepubliczne "Chatka Puchatka"</t>
  </si>
  <si>
    <t>Niepubliczne Przedszkole "Smerfna Chata"</t>
  </si>
  <si>
    <t>Przedszkole Niepubliczne "Kujawiaczek"</t>
  </si>
  <si>
    <t>Niepubliczne Przedszkole "Wesoła Biedronka"</t>
  </si>
  <si>
    <t>Publiczne Liceum Ogólnokształcące im. Ks. J. Długosza</t>
  </si>
  <si>
    <t>Zapewnienie uczniom prawa do bezpłatnego dostępu do podręczników, materiałów edukacyjnych lub materiałów ćwiczeniowych - zadanie zlecone (zakup podręczników dla uczniów)</t>
  </si>
  <si>
    <t>Zespół Szkół Katolickich im. Ks. J. Długosza</t>
  </si>
  <si>
    <t xml:space="preserve">Zespół Szkół Akademickich im. Obrońców Wisły 1920 roku </t>
  </si>
  <si>
    <t>Realizacja projektu unijnego  "Zawodowcy z Włocławka"- podniesienie jakości nauczania i zwiększenie szans na zatrudnienie uczniów ZSS we Włocławku"</t>
  </si>
  <si>
    <t>Zwalczanie narkomanii</t>
  </si>
  <si>
    <t>Dofinansowanie programów dotyczących uzależnień, pozalekcyjnych zajęć sportowych (przeciwdzialanie alkoholizmowi)</t>
  </si>
  <si>
    <t>Pozostala działalność (promocja i ochrona zdrowia oraz działania na rzecz osób niepełnosprawnych)</t>
  </si>
  <si>
    <t>Usługi opiekuńcze i specjalistyczne usługi opiekuńcze - zadania własne</t>
  </si>
  <si>
    <t>Usługi opiekuńcze i specjalistyczne usługi opiekuńcze - zadania zlecone</t>
  </si>
  <si>
    <t>Zapewnienie schronienia oraz pomocy rzeczowej osobom bezdomnym (pozostała działalność)</t>
  </si>
  <si>
    <t>Realizacja projektu unijnego "Reintegracja społeczna mieszkańców Włocławka, w tym w obszarze rewitalizacji"</t>
  </si>
  <si>
    <t>Realizacja projektu unijnego „Centrum Wsparcia Społecznego – wdrożenie lokalnego planu deinstytucjonalizacji usług społecznych na terenie Miasta Włocławka”</t>
  </si>
  <si>
    <t>Pozostała działalność (aktywizacja społeczna seniorów, poprawa warunków funkcjonowania seniorów)</t>
  </si>
  <si>
    <t xml:space="preserve">Pozostała działalność - realizacja projektu pn. "WŁOCŁAWEK - MIASTO NOWYCH MOŻLIWOŚCI. Tutaj mieszkam, pracuję, inwestuję i tu wypoczywam" </t>
  </si>
  <si>
    <t>Utylizacja wyrobów zawierających azbest (dotacja na inwestycje)</t>
  </si>
  <si>
    <t>Wymiana źródeł ciepła zasilanych paliwami stałymi - program dla osób fizycznych (dotacja na inwestycje)</t>
  </si>
  <si>
    <t>Wymiana źródeł ciepła zasilanych paliwami stałymi w budynkach wielorodzinnych (dotacja na inwestycje)</t>
  </si>
  <si>
    <t>Ochrona zabytków i opieka nad zabytkami</t>
  </si>
  <si>
    <t>Upowszechnianie kultury, sztuki, ochrony dóbr kultury i tradycji przez organizacje prowadzące działalność pożytku publicznego (pozostała działalność)</t>
  </si>
  <si>
    <t>Zadania w zakresie kultury fizycznej</t>
  </si>
  <si>
    <t xml:space="preserve">Zadania w zakresie kultury fizycznej - realizacja projektu pn. "WŁOCŁAWEK - MIASTO NOWYCH MOŻLIWOŚCI. Tutaj mieszkam, pracuję, inwestuję i tu wypoczywam" </t>
  </si>
  <si>
    <t>Nazwa placówki/nazwa podmiotu</t>
  </si>
  <si>
    <t xml:space="preserve">Szkoła Podstawowa Nr 24 w Zespole Szkół WSO "Cogito" </t>
  </si>
  <si>
    <t>Szkoła Podstawowa dla dorosłych (WSO "Cogito")</t>
  </si>
  <si>
    <t>Akademicka Szkoła Podstawowa Nr 1 im. Obrońców Wisły 1920 roku we Włocławku</t>
  </si>
  <si>
    <t>Akademicka Szkoła Podstawowa Mistrzostwa Sportowego Nr 1 im. Obrońców Wisły 1920 roku we Włocławku</t>
  </si>
  <si>
    <t>Szkoła Podstawowa Szkoła Mistrzostwa Sportowego ("Kar" Sp. z o.o.)</t>
  </si>
  <si>
    <t>Szkoła Podstawowa przy Państwowej Akademii Nauk Stosowanych we Włocławku</t>
  </si>
  <si>
    <t>Niepubliczne Przedszkole "Skakanka"</t>
  </si>
  <si>
    <t>Przedszkole Akademickie przy Państwowej Akademii Nauk Stosowanych we Włocławku</t>
  </si>
  <si>
    <t>Przedszkole Niepubliczne "Tęczowa Kraina"</t>
  </si>
  <si>
    <t>Niepubliczne Przedszkole "Na Wspólnej"</t>
  </si>
  <si>
    <t>Centrum Malucha - "Piotruś Pan"- Przedszkole Niepubliczne</t>
  </si>
  <si>
    <t>Niepubliczne Przedszkole "Domowe Przedszkole"</t>
  </si>
  <si>
    <t>Niepubliczne Przedszkole "Bajeczka"</t>
  </si>
  <si>
    <t>Przedszkole Niepubliczne "Happy Kids"</t>
  </si>
  <si>
    <t>Przedszkole Niepubliczne Megamocni we Włocławku</t>
  </si>
  <si>
    <t xml:space="preserve">Przedszkole Publiczne Nr 1 </t>
  </si>
  <si>
    <t>Katolickie Publiczne Przedszkole "Pod Aniołem Stróżem"</t>
  </si>
  <si>
    <t>Inne formy wychowania przedszkolnego - punkty przedszkolne</t>
  </si>
  <si>
    <t>Niepubliczny Punkt Przedszkolny "Kraina Bajek"</t>
  </si>
  <si>
    <t>Akademickie Technikum Wojskowe im. Obrońców Wisły 1920 roku we Włocławku</t>
  </si>
  <si>
    <t>Policealna Szkoła dla dorosłych "Cosinus Plus" we Włocławku</t>
  </si>
  <si>
    <t>Policealna Szkoła Techników Ochrony Fizycznej Osób i Mienia Elitarne Studium Służb Ochrony "Delta"</t>
  </si>
  <si>
    <t>Akademicka Szkoła Policealna przy Państwowej Akademii Nauk Stosowanych we Włocławku</t>
  </si>
  <si>
    <t>Policealna Szkoła "Edicus"</t>
  </si>
  <si>
    <t>Zaoczna Policealna Szkoła Zawodowa "Pascal" we Włocławku</t>
  </si>
  <si>
    <t>Zaoczna Policealna Szkoła Zawodowa Kosmetyczna "Pascal" we Włocławku</t>
  </si>
  <si>
    <t>Stacjonarna Policealna Szkoła Medyczna "Pascal" we Włocławku</t>
  </si>
  <si>
    <t>Zaoczna Policealna Szkoła Medyczna "Pascal" we Włocławku</t>
  </si>
  <si>
    <t>Prywatna Szkoła Policealna (CE "Zenit")</t>
  </si>
  <si>
    <t>Policealna Szkoła Centrum Nauki I Biznesu "Żak"</t>
  </si>
  <si>
    <t>Szkoła Policealna "Spectrum" dla dorosłych</t>
  </si>
  <si>
    <t>Policealna Szkoła dla dorosłych Futuro</t>
  </si>
  <si>
    <t>Szkoła Policealna Opieki Medycznej dla Dorosłych "Żak"</t>
  </si>
  <si>
    <t>Akademicka Szkoła Policealna przy Kujawskiej Szkole Wyższej we Włocławku</t>
  </si>
  <si>
    <t xml:space="preserve">Branżowa Szkoła I Stopnia Start we Włocławku </t>
  </si>
  <si>
    <t xml:space="preserve">Branżowa Szkoła II Stopnia Start we Włocławku </t>
  </si>
  <si>
    <t>Branżowa Szkoła I Stopnia (Stowarzyszenie Szkoła dla Włocławka)</t>
  </si>
  <si>
    <t>Akademicka Szkoła Branżowa I stopnia im. Obrońców Wisły 1920 roku</t>
  </si>
  <si>
    <t xml:space="preserve">Branżowa Szkoła I Stopnia nr 9 w Zespole Szkół Włocławskiego Stowarzyszenia Oświatowego "Cogito" </t>
  </si>
  <si>
    <t>Liceum Ogólnokształcące "Edicus" dla Dorosłych</t>
  </si>
  <si>
    <t>Liceum Ogólnokształcące dla Dorosłych Futuro</t>
  </si>
  <si>
    <t xml:space="preserve">Liceum Ogólnokształcące Szkoła Mistrzostwa Sportowego </t>
  </si>
  <si>
    <t>Zaoczne Liceum Ogólnokształcące dla Dorosłych "Cosinus Plus" we Włocławku</t>
  </si>
  <si>
    <t>Prywatne Liceum Ogólnokształcące dla Dorosłych (Katarzyna Balcer)</t>
  </si>
  <si>
    <t>Liceum Ogólnokształcące dla Dorosłych "Pascal' we Włocławku</t>
  </si>
  <si>
    <t xml:space="preserve">Liceum Ogólnokształcące "Spectrum" dla Dorosłych we Włocławku </t>
  </si>
  <si>
    <t>Akademickie Liceum Ogólnokształcące nr 1 im. Obrońców Wisły 1920 roku we Włocławku</t>
  </si>
  <si>
    <t>Akademickie Liceum Ogólnokształcące Mistrzostwa Sportowego nr 1 im. Obrońców Wisły 1920 roku we Włocławku</t>
  </si>
  <si>
    <t>Liceum Ogólnokształcące dla Dorosłych "Żak"</t>
  </si>
  <si>
    <t>Realizacja zadań wymagających stosowania specjalnej organizacji nauki i metod pracy dla dzieci w przedszkolach, oddziałach przedszkolnych w szkołach podstawowych i innych formach wychowania przedszkolnego</t>
  </si>
  <si>
    <t>Przedszkole Akademickie przy Państwowej  Akademii Nauk Stosowanych we Włocławku</t>
  </si>
  <si>
    <t>Terapeutyczny Punkt Przedszkolny Neuromind</t>
  </si>
  <si>
    <t>Terapeutyczny Punkt Przedszkolny "Synapsik"</t>
  </si>
  <si>
    <t>Terapeutyczny Punkt Przedszkolny "Zielony Słonik"</t>
  </si>
  <si>
    <t>Realizacja zadań wymagających stosowania specjalnej organizacji nauki i metod pracy dla dzieci i młodzieży w szkołach podstawowych</t>
  </si>
  <si>
    <t>Szkoła Podstawowa z oddziałami dwujęzycznymi Monttessori-      Schule</t>
  </si>
  <si>
    <t>Szkoła Policealna dla dorosłych "Cosinus Plus" we Włocławku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</si>
  <si>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 stopnia i klasach dotychczasowej zasadniczej szkoły zawodowej prowadzonych w branżowych szkołach I stopnia oraz szkołach artystycznych</t>
  </si>
  <si>
    <t>Rehabilitacja zawodowa i społeczna osób niepełnosprawnych</t>
  </si>
  <si>
    <t>Warsztaty Terapii Zajęciowej</t>
  </si>
  <si>
    <t>Specjalne ośrodki wychowawcze</t>
  </si>
  <si>
    <t>Specjalny Ośrodek Wychowawczy Zgromadzenia Sióstr Orionistek</t>
  </si>
  <si>
    <t>Wczesne wspomaganie rozwoju dziecka</t>
  </si>
  <si>
    <t>Poradnie psychologiczno - pedagogiczne, w tym poradnie specjalistyczne</t>
  </si>
  <si>
    <t>Poradnia Psychologiczno - Pedagogiczna "Vitamed"</t>
  </si>
  <si>
    <t>Niepubliczna Poradania Psychologiczno - Pedagogiczna "Centrum Diagnozy, Terapii i Wspomagania Rozwoju" (Elżbieta Złowodzka Jetter)</t>
  </si>
  <si>
    <t>Internat Zespołu Szkół Katolickich im. Ks. J. Długosza</t>
  </si>
  <si>
    <t>Załącznik Nr 5</t>
  </si>
  <si>
    <t xml:space="preserve">Plan </t>
  </si>
  <si>
    <t xml:space="preserve"> dochodów i wydatków wydzielonych rachunków dochodów oświatowych jednostek budżetowych na 2022 rok</t>
  </si>
  <si>
    <t>(zbiorczo)</t>
  </si>
  <si>
    <t xml:space="preserve">Stan środków </t>
  </si>
  <si>
    <t>pieniężnych</t>
  </si>
  <si>
    <t xml:space="preserve">pieniężnych </t>
  </si>
  <si>
    <t>Wyszczególnienie</t>
  </si>
  <si>
    <t xml:space="preserve">na początek </t>
  </si>
  <si>
    <t>Dochody</t>
  </si>
  <si>
    <t>Wydatki</t>
  </si>
  <si>
    <t xml:space="preserve">na koniec </t>
  </si>
  <si>
    <t>roku</t>
  </si>
  <si>
    <t>5.</t>
  </si>
  <si>
    <t>6.</t>
  </si>
  <si>
    <t xml:space="preserve">Szkoły artystyczne </t>
  </si>
  <si>
    <t>7.</t>
  </si>
  <si>
    <t>8.</t>
  </si>
  <si>
    <t>Placówki kształcenia ustawicznego i centra kształcenia zawodowego</t>
  </si>
  <si>
    <t>9.</t>
  </si>
  <si>
    <t>10.</t>
  </si>
  <si>
    <t xml:space="preserve">Inne formy kształcenia osobno niewymienione </t>
  </si>
  <si>
    <t>11.</t>
  </si>
  <si>
    <t>Kolonie i obozy oraz inne formy wypoczynku dzieci</t>
  </si>
  <si>
    <t xml:space="preserve">i młodzieży szkolnej, a także szkolenia młodzieży </t>
  </si>
  <si>
    <t>Szkolne schroniska młodzieżowe</t>
  </si>
  <si>
    <t xml:space="preserve">Ogółem </t>
  </si>
  <si>
    <t>Załącznik Nr 6</t>
  </si>
  <si>
    <t>758</t>
  </si>
  <si>
    <t>Dodatek węglowy</t>
  </si>
  <si>
    <t>3110</t>
  </si>
  <si>
    <t>4170</t>
  </si>
  <si>
    <t>4700</t>
  </si>
  <si>
    <t>Załącznik Nr 7</t>
  </si>
  <si>
    <t>Plan dochodów i wydatków na wydzielonym rachunku Funduszu Pomocy</t>
  </si>
  <si>
    <t>dotyczącym realizacji zadań na rzecz pomocy Ukrainie</t>
  </si>
  <si>
    <t>Zapewnienie posiłku dzieciom i młodzieży</t>
  </si>
  <si>
    <t>85230</t>
  </si>
  <si>
    <t>3290</t>
  </si>
  <si>
    <t>4370</t>
  </si>
  <si>
    <t>Świadczenia rodzinne</t>
  </si>
  <si>
    <t>855</t>
  </si>
  <si>
    <t>85502</t>
  </si>
  <si>
    <t>4740</t>
  </si>
  <si>
    <t>4850</t>
  </si>
  <si>
    <t>Świadczenie pieniężne w wysokości          300 zł</t>
  </si>
  <si>
    <t>853</t>
  </si>
  <si>
    <t>85395</t>
  </si>
  <si>
    <t>Realizacja dodatkowych zadań oświatowych</t>
  </si>
  <si>
    <t>801</t>
  </si>
  <si>
    <t>80101</t>
  </si>
  <si>
    <t>4750</t>
  </si>
  <si>
    <t>4860</t>
  </si>
  <si>
    <t>80102</t>
  </si>
  <si>
    <t>80104</t>
  </si>
  <si>
    <t>80105</t>
  </si>
  <si>
    <t>80115</t>
  </si>
  <si>
    <t>80117</t>
  </si>
  <si>
    <t>80120</t>
  </si>
  <si>
    <t>80132</t>
  </si>
  <si>
    <t>Nadanie numeru PESEL</t>
  </si>
  <si>
    <t>750</t>
  </si>
  <si>
    <t>75011</t>
  </si>
  <si>
    <t>Wydział Organizacyjno - Prawny i Kadr</t>
  </si>
  <si>
    <t>Świadczenie pieniężne - 40 zł za osobę dziennie</t>
  </si>
  <si>
    <t>754</t>
  </si>
  <si>
    <t>75495</t>
  </si>
  <si>
    <t>3280</t>
  </si>
  <si>
    <t>Zapewnienie zakwaterowania i wyżywienia obywatelom Ukrainy</t>
  </si>
  <si>
    <t>Administracja Zasobów Komunalnych</t>
  </si>
  <si>
    <t>Zapewnienie transportu obywatelom Ukrainy</t>
  </si>
  <si>
    <t>60095</t>
  </si>
  <si>
    <t>Straż Miejska</t>
  </si>
  <si>
    <t>Realizacja zadań przez Miejski Zespół do Spraw Orzekania o Niepełnosprawności na rzecz obywateli Ukrainy</t>
  </si>
  <si>
    <t>85321</t>
  </si>
  <si>
    <t xml:space="preserve">Miejski Zespół do Spraw Orzekania o Niepełnosprawności </t>
  </si>
  <si>
    <t>Zasiłki okresowe</t>
  </si>
  <si>
    <t>85214</t>
  </si>
  <si>
    <r>
      <t>Usługi opiekuńcze i specjalistyczne usługi opiekuńcze</t>
    </r>
    <r>
      <rPr>
        <sz val="8"/>
        <rFont val="Arial CE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</si>
</sst>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8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7"/>
      <name val="Arial CE"/>
      <family val="2"/>
      <charset val="238"/>
    </font>
    <font>
      <b/>
      <sz val="8"/>
      <name val="Arial CE"/>
      <charset val="238"/>
    </font>
    <font>
      <sz val="11"/>
      <color rgb="FF000000"/>
      <name val="Calibri"/>
      <family val="2"/>
      <charset val="1"/>
    </font>
    <font>
      <sz val="7"/>
      <name val="Arial"/>
      <family val="2"/>
      <charset val="238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Arial CE"/>
      <charset val="238"/>
    </font>
    <font>
      <i/>
      <sz val="9"/>
      <name val="Arial CE"/>
      <charset val="238"/>
    </font>
    <font>
      <sz val="9"/>
      <name val="Arial CE"/>
      <family val="2"/>
      <charset val="238"/>
    </font>
    <font>
      <sz val="6"/>
      <name val="Arial CE"/>
      <family val="2"/>
      <charset val="238"/>
    </font>
    <font>
      <b/>
      <sz val="14"/>
      <name val="Arial CE"/>
      <family val="2"/>
      <charset val="238"/>
    </font>
    <font>
      <sz val="10"/>
      <name val="Arial CE"/>
      <charset val="238"/>
    </font>
    <font>
      <sz val="8"/>
      <color rgb="FFFF0000"/>
      <name val="Arial"/>
      <family val="2"/>
      <charset val="238"/>
    </font>
    <font>
      <sz val="11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6"/>
      <name val="Arial Narrow"/>
      <family val="2"/>
      <charset val="238"/>
    </font>
    <font>
      <b/>
      <sz val="10"/>
      <name val="Arial"/>
      <family val="2"/>
      <charset val="238"/>
    </font>
    <font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9"/>
      <color theme="1"/>
      <name val="Calibri"/>
      <family val="2"/>
      <charset val="238"/>
      <scheme val="minor"/>
    </font>
    <font>
      <u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0" fontId="11" fillId="0" borderId="0"/>
    <xf numFmtId="43" fontId="20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</cellStyleXfs>
  <cellXfs count="425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49" fontId="4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/>
    <xf numFmtId="0" fontId="6" fillId="0" borderId="2" xfId="0" applyFont="1" applyBorder="1"/>
    <xf numFmtId="0" fontId="6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7" fillId="0" borderId="0" xfId="0" applyFont="1"/>
    <xf numFmtId="0" fontId="6" fillId="0" borderId="3" xfId="0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right"/>
    </xf>
    <xf numFmtId="49" fontId="2" fillId="0" borderId="3" xfId="0" applyNumberFormat="1" applyFont="1" applyBorder="1" applyAlignment="1">
      <alignment horizontal="right"/>
    </xf>
    <xf numFmtId="0" fontId="6" fillId="0" borderId="8" xfId="0" applyFont="1" applyBorder="1"/>
    <xf numFmtId="4" fontId="6" fillId="0" borderId="9" xfId="0" applyNumberFormat="1" applyFont="1" applyBorder="1"/>
    <xf numFmtId="0" fontId="6" fillId="0" borderId="10" xfId="0" applyFont="1" applyBorder="1"/>
    <xf numFmtId="4" fontId="6" fillId="0" borderId="11" xfId="0" applyNumberFormat="1" applyFont="1" applyBorder="1"/>
    <xf numFmtId="3" fontId="6" fillId="0" borderId="3" xfId="0" applyNumberFormat="1" applyFont="1" applyBorder="1" applyAlignment="1">
      <alignment horizontal="right"/>
    </xf>
    <xf numFmtId="3" fontId="6" fillId="0" borderId="3" xfId="0" applyNumberFormat="1" applyFont="1" applyBorder="1"/>
    <xf numFmtId="49" fontId="6" fillId="0" borderId="3" xfId="0" applyNumberFormat="1" applyFont="1" applyBorder="1" applyAlignment="1">
      <alignment horizontal="right"/>
    </xf>
    <xf numFmtId="3" fontId="6" fillId="0" borderId="4" xfId="0" applyNumberFormat="1" applyFont="1" applyBorder="1"/>
    <xf numFmtId="4" fontId="6" fillId="0" borderId="11" xfId="0" applyNumberFormat="1" applyFont="1" applyBorder="1" applyAlignment="1">
      <alignment horizontal="right"/>
    </xf>
    <xf numFmtId="0" fontId="2" fillId="0" borderId="3" xfId="0" applyFont="1" applyBorder="1"/>
    <xf numFmtId="4" fontId="2" fillId="0" borderId="6" xfId="0" applyNumberFormat="1" applyFont="1" applyBorder="1"/>
    <xf numFmtId="4" fontId="2" fillId="0" borderId="6" xfId="0" applyNumberFormat="1" applyFont="1" applyBorder="1" applyAlignment="1">
      <alignment horizontal="right"/>
    </xf>
    <xf numFmtId="0" fontId="2" fillId="0" borderId="4" xfId="0" applyFont="1" applyBorder="1"/>
    <xf numFmtId="4" fontId="1" fillId="0" borderId="3" xfId="0" applyNumberFormat="1" applyFont="1" applyBorder="1" applyAlignment="1">
      <alignment horizontal="right"/>
    </xf>
    <xf numFmtId="4" fontId="1" fillId="0" borderId="3" xfId="0" applyNumberFormat="1" applyFont="1" applyBorder="1"/>
    <xf numFmtId="4" fontId="2" fillId="0" borderId="3" xfId="0" applyNumberFormat="1" applyFont="1" applyBorder="1"/>
    <xf numFmtId="0" fontId="2" fillId="0" borderId="7" xfId="0" applyFont="1" applyBorder="1"/>
    <xf numFmtId="0" fontId="1" fillId="0" borderId="3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4" fontId="6" fillId="0" borderId="14" xfId="0" applyNumberFormat="1" applyFont="1" applyBorder="1"/>
    <xf numFmtId="4" fontId="1" fillId="0" borderId="6" xfId="0" applyNumberFormat="1" applyFont="1" applyBorder="1"/>
    <xf numFmtId="49" fontId="7" fillId="0" borderId="6" xfId="0" applyNumberFormat="1" applyFont="1" applyBorder="1" applyAlignment="1">
      <alignment horizontal="right"/>
    </xf>
    <xf numFmtId="0" fontId="7" fillId="0" borderId="7" xfId="0" applyFont="1" applyBorder="1"/>
    <xf numFmtId="0" fontId="3" fillId="0" borderId="0" xfId="0" applyFont="1"/>
    <xf numFmtId="0" fontId="9" fillId="0" borderId="0" xfId="0" applyFont="1" applyAlignment="1">
      <alignment horizontal="center"/>
    </xf>
    <xf numFmtId="49" fontId="2" fillId="0" borderId="3" xfId="0" applyNumberFormat="1" applyFont="1" applyBorder="1" applyAlignment="1">
      <alignment horizontal="right" vertical="top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vertical="center"/>
    </xf>
    <xf numFmtId="0" fontId="9" fillId="0" borderId="20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49" fontId="16" fillId="0" borderId="1" xfId="0" applyNumberFormat="1" applyFont="1" applyBorder="1" applyAlignment="1">
      <alignment horizontal="center" vertical="center"/>
    </xf>
    <xf numFmtId="49" fontId="16" fillId="0" borderId="20" xfId="0" applyNumberFormat="1" applyFont="1" applyBorder="1" applyAlignment="1">
      <alignment horizontal="center" vertical="center"/>
    </xf>
    <xf numFmtId="4" fontId="17" fillId="0" borderId="20" xfId="0" applyNumberFormat="1" applyFont="1" applyBorder="1" applyAlignment="1">
      <alignment vertical="center"/>
    </xf>
    <xf numFmtId="4" fontId="16" fillId="0" borderId="20" xfId="0" applyNumberFormat="1" applyFont="1" applyBorder="1" applyAlignment="1">
      <alignment horizontal="center" vertical="center"/>
    </xf>
    <xf numFmtId="0" fontId="18" fillId="0" borderId="0" xfId="0" applyFont="1"/>
    <xf numFmtId="0" fontId="3" fillId="0" borderId="0" xfId="0" applyFont="1" applyAlignment="1">
      <alignment vertical="center"/>
    </xf>
    <xf numFmtId="49" fontId="16" fillId="0" borderId="3" xfId="0" applyNumberFormat="1" applyFont="1" applyBorder="1" applyAlignment="1">
      <alignment horizontal="center"/>
    </xf>
    <xf numFmtId="49" fontId="16" fillId="0" borderId="20" xfId="0" applyNumberFormat="1" applyFont="1" applyBorder="1" applyAlignment="1">
      <alignment horizontal="center"/>
    </xf>
    <xf numFmtId="4" fontId="16" fillId="0" borderId="20" xfId="0" applyNumberFormat="1" applyFont="1" applyBorder="1" applyAlignment="1">
      <alignment horizontal="center"/>
    </xf>
    <xf numFmtId="4" fontId="17" fillId="0" borderId="20" xfId="0" applyNumberFormat="1" applyFont="1" applyBorder="1" applyAlignment="1">
      <alignment horizontal="right"/>
    </xf>
    <xf numFmtId="49" fontId="16" fillId="0" borderId="3" xfId="0" applyNumberFormat="1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  <xf numFmtId="4" fontId="16" fillId="0" borderId="3" xfId="0" applyNumberFormat="1" applyFont="1" applyBorder="1" applyAlignment="1">
      <alignment vertical="center"/>
    </xf>
    <xf numFmtId="0" fontId="16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49" fontId="16" fillId="0" borderId="6" xfId="0" applyNumberFormat="1" applyFont="1" applyBorder="1" applyAlignment="1">
      <alignment horizontal="center" vertical="center"/>
    </xf>
    <xf numFmtId="4" fontId="16" fillId="0" borderId="6" xfId="0" applyNumberFormat="1" applyFont="1" applyBorder="1" applyAlignment="1">
      <alignment vertical="center"/>
    </xf>
    <xf numFmtId="4" fontId="17" fillId="0" borderId="6" xfId="0" applyNumberFormat="1" applyFont="1" applyBorder="1" applyAlignment="1">
      <alignment vertical="center"/>
    </xf>
    <xf numFmtId="4" fontId="16" fillId="0" borderId="6" xfId="0" applyNumberFormat="1" applyFont="1" applyBorder="1" applyAlignment="1">
      <alignment horizontal="center" vertical="center"/>
    </xf>
    <xf numFmtId="4" fontId="17" fillId="0" borderId="20" xfId="0" applyNumberFormat="1" applyFont="1" applyBorder="1"/>
    <xf numFmtId="49" fontId="16" fillId="0" borderId="5" xfId="0" applyNumberFormat="1" applyFont="1" applyBorder="1" applyAlignment="1">
      <alignment horizontal="center" vertical="center"/>
    </xf>
    <xf numFmtId="4" fontId="7" fillId="0" borderId="0" xfId="0" applyNumberFormat="1" applyFont="1"/>
    <xf numFmtId="0" fontId="2" fillId="0" borderId="3" xfId="0" applyFont="1" applyBorder="1" applyAlignment="1">
      <alignment vertical="top" wrapText="1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vertical="center" wrapText="1"/>
    </xf>
    <xf numFmtId="0" fontId="19" fillId="0" borderId="0" xfId="0" applyFont="1" applyAlignment="1">
      <alignment wrapText="1"/>
    </xf>
    <xf numFmtId="0" fontId="19" fillId="0" borderId="0" xfId="0" applyFont="1"/>
    <xf numFmtId="49" fontId="16" fillId="0" borderId="19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3" fontId="2" fillId="0" borderId="3" xfId="0" applyNumberFormat="1" applyFont="1" applyBorder="1"/>
    <xf numFmtId="0" fontId="1" fillId="0" borderId="7" xfId="0" applyFont="1" applyBorder="1"/>
    <xf numFmtId="0" fontId="2" fillId="0" borderId="4" xfId="0" applyFont="1" applyBorder="1" applyAlignment="1">
      <alignment vertical="top" wrapText="1"/>
    </xf>
    <xf numFmtId="4" fontId="2" fillId="0" borderId="21" xfId="0" applyNumberFormat="1" applyFont="1" applyBorder="1"/>
    <xf numFmtId="4" fontId="2" fillId="0" borderId="21" xfId="0" applyNumberFormat="1" applyFont="1" applyBorder="1" applyAlignment="1">
      <alignment horizontal="right"/>
    </xf>
    <xf numFmtId="4" fontId="6" fillId="0" borderId="3" xfId="0" applyNumberFormat="1" applyFont="1" applyBorder="1"/>
    <xf numFmtId="0" fontId="6" fillId="0" borderId="3" xfId="0" applyFont="1" applyBorder="1"/>
    <xf numFmtId="49" fontId="23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wrapText="1"/>
    </xf>
    <xf numFmtId="4" fontId="2" fillId="0" borderId="3" xfId="0" applyNumberFormat="1" applyFont="1" applyBorder="1" applyAlignment="1">
      <alignment horizontal="right"/>
    </xf>
    <xf numFmtId="0" fontId="6" fillId="0" borderId="4" xfId="0" applyFont="1" applyBorder="1"/>
    <xf numFmtId="0" fontId="2" fillId="0" borderId="3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3" fontId="2" fillId="0" borderId="4" xfId="0" applyNumberFormat="1" applyFont="1" applyBorder="1"/>
    <xf numFmtId="4" fontId="6" fillId="0" borderId="3" xfId="0" applyNumberFormat="1" applyFont="1" applyBorder="1" applyAlignment="1">
      <alignment horizontal="right"/>
    </xf>
    <xf numFmtId="3" fontId="1" fillId="0" borderId="7" xfId="0" applyNumberFormat="1" applyFont="1" applyBorder="1"/>
    <xf numFmtId="3" fontId="2" fillId="0" borderId="7" xfId="0" applyNumberFormat="1" applyFont="1" applyBorder="1"/>
    <xf numFmtId="0" fontId="1" fillId="0" borderId="6" xfId="2" applyNumberFormat="1" applyFont="1" applyBorder="1" applyAlignment="1">
      <alignment horizontal="left"/>
    </xf>
    <xf numFmtId="3" fontId="6" fillId="0" borderId="6" xfId="0" applyNumberFormat="1" applyFont="1" applyBorder="1"/>
    <xf numFmtId="0" fontId="2" fillId="0" borderId="6" xfId="0" applyFont="1" applyBorder="1" applyAlignment="1">
      <alignment horizontal="right" vertical="top"/>
    </xf>
    <xf numFmtId="0" fontId="2" fillId="0" borderId="6" xfId="0" applyFont="1" applyBorder="1" applyAlignment="1">
      <alignment horizontal="left" wrapText="1"/>
    </xf>
    <xf numFmtId="4" fontId="1" fillId="0" borderId="6" xfId="0" applyNumberFormat="1" applyFont="1" applyBorder="1" applyAlignment="1">
      <alignment horizontal="right"/>
    </xf>
    <xf numFmtId="4" fontId="2" fillId="0" borderId="6" xfId="0" applyNumberFormat="1" applyFont="1" applyBorder="1" applyAlignment="1">
      <alignment horizontal="center"/>
    </xf>
    <xf numFmtId="0" fontId="2" fillId="0" borderId="3" xfId="0" applyFont="1" applyBorder="1" applyAlignment="1">
      <alignment horizontal="right" vertical="top"/>
    </xf>
    <xf numFmtId="0" fontId="2" fillId="0" borderId="4" xfId="0" applyFont="1" applyBorder="1" applyAlignment="1">
      <alignment wrapText="1"/>
    </xf>
    <xf numFmtId="4" fontId="1" fillId="0" borderId="21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/>
    <xf numFmtId="4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3" fillId="0" borderId="3" xfId="0" applyFont="1" applyBorder="1"/>
    <xf numFmtId="0" fontId="1" fillId="0" borderId="4" xfId="0" applyFont="1" applyBorder="1" applyAlignment="1">
      <alignment wrapText="1"/>
    </xf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0" fontId="1" fillId="0" borderId="4" xfId="0" applyFont="1" applyBorder="1"/>
    <xf numFmtId="4" fontId="1" fillId="0" borderId="13" xfId="0" applyNumberFormat="1" applyFont="1" applyBorder="1"/>
    <xf numFmtId="49" fontId="1" fillId="0" borderId="3" xfId="0" applyNumberFormat="1" applyFont="1" applyBorder="1" applyAlignment="1">
      <alignment horizontal="right" vertical="top"/>
    </xf>
    <xf numFmtId="49" fontId="1" fillId="0" borderId="3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right" vertical="top"/>
    </xf>
    <xf numFmtId="3" fontId="10" fillId="0" borderId="3" xfId="0" applyNumberFormat="1" applyFont="1" applyBorder="1" applyAlignment="1">
      <alignment horizontal="right"/>
    </xf>
    <xf numFmtId="0" fontId="10" fillId="0" borderId="3" xfId="0" applyFont="1" applyBorder="1"/>
    <xf numFmtId="0" fontId="10" fillId="0" borderId="3" xfId="0" applyFont="1" applyBorder="1" applyAlignment="1">
      <alignment horizontal="right"/>
    </xf>
    <xf numFmtId="0" fontId="10" fillId="0" borderId="4" xfId="0" applyFont="1" applyBorder="1"/>
    <xf numFmtId="0" fontId="2" fillId="0" borderId="3" xfId="0" applyFont="1" applyBorder="1" applyAlignment="1">
      <alignment vertical="top"/>
    </xf>
    <xf numFmtId="4" fontId="1" fillId="0" borderId="1" xfId="0" applyNumberFormat="1" applyFont="1" applyBorder="1"/>
    <xf numFmtId="0" fontId="2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top"/>
    </xf>
    <xf numFmtId="0" fontId="22" fillId="0" borderId="0" xfId="0" applyFont="1"/>
    <xf numFmtId="0" fontId="2" fillId="0" borderId="7" xfId="0" applyFont="1" applyBorder="1" applyAlignment="1">
      <alignment wrapText="1"/>
    </xf>
    <xf numFmtId="0" fontId="1" fillId="0" borderId="6" xfId="0" applyFont="1" applyBorder="1" applyAlignment="1">
      <alignment horizontal="right"/>
    </xf>
    <xf numFmtId="0" fontId="22" fillId="0" borderId="22" xfId="0" applyFont="1" applyBorder="1"/>
    <xf numFmtId="49" fontId="1" fillId="0" borderId="6" xfId="0" applyNumberFormat="1" applyFont="1" applyBorder="1" applyAlignment="1">
      <alignment horizontal="right" vertical="top"/>
    </xf>
    <xf numFmtId="0" fontId="1" fillId="0" borderId="7" xfId="0" applyFont="1" applyBorder="1" applyAlignment="1">
      <alignment wrapText="1"/>
    </xf>
    <xf numFmtId="3" fontId="1" fillId="0" borderId="4" xfId="0" applyNumberFormat="1" applyFont="1" applyBorder="1"/>
    <xf numFmtId="0" fontId="2" fillId="0" borderId="7" xfId="0" applyFont="1" applyBorder="1" applyAlignment="1">
      <alignment vertical="center" wrapText="1"/>
    </xf>
    <xf numFmtId="0" fontId="10" fillId="0" borderId="3" xfId="0" applyFont="1" applyBorder="1" applyAlignment="1">
      <alignment horizontal="center"/>
    </xf>
    <xf numFmtId="49" fontId="6" fillId="0" borderId="6" xfId="0" applyNumberFormat="1" applyFont="1" applyBorder="1" applyAlignment="1">
      <alignment horizontal="right"/>
    </xf>
    <xf numFmtId="4" fontId="2" fillId="0" borderId="13" xfId="0" applyNumberFormat="1" applyFont="1" applyBorder="1" applyAlignment="1">
      <alignment horizontal="right"/>
    </xf>
    <xf numFmtId="49" fontId="2" fillId="0" borderId="3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vertical="center" wrapText="1"/>
    </xf>
    <xf numFmtId="3" fontId="1" fillId="0" borderId="3" xfId="0" applyNumberFormat="1" applyFont="1" applyBorder="1"/>
    <xf numFmtId="3" fontId="1" fillId="0" borderId="3" xfId="0" applyNumberFormat="1" applyFont="1" applyBorder="1" applyAlignment="1">
      <alignment horizontal="right"/>
    </xf>
    <xf numFmtId="3" fontId="2" fillId="0" borderId="4" xfId="0" applyNumberFormat="1" applyFont="1" applyBorder="1" applyAlignment="1">
      <alignment wrapText="1"/>
    </xf>
    <xf numFmtId="3" fontId="6" fillId="0" borderId="6" xfId="0" applyNumberFormat="1" applyFont="1" applyBorder="1" applyAlignment="1">
      <alignment horizontal="right"/>
    </xf>
    <xf numFmtId="49" fontId="6" fillId="0" borderId="3" xfId="0" applyNumberFormat="1" applyFont="1" applyBorder="1"/>
    <xf numFmtId="4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vertical="top" wrapText="1"/>
    </xf>
    <xf numFmtId="3" fontId="10" fillId="0" borderId="3" xfId="0" applyNumberFormat="1" applyFont="1" applyBorder="1"/>
    <xf numFmtId="0" fontId="7" fillId="0" borderId="6" xfId="0" applyFont="1" applyBorder="1"/>
    <xf numFmtId="0" fontId="2" fillId="0" borderId="0" xfId="3" applyFont="1"/>
    <xf numFmtId="0" fontId="25" fillId="0" borderId="0" xfId="3" applyFont="1"/>
    <xf numFmtId="0" fontId="5" fillId="0" borderId="0" xfId="3" applyFont="1" applyAlignment="1">
      <alignment horizontal="centerContinuous" vertical="center" wrapText="1"/>
    </xf>
    <xf numFmtId="0" fontId="5" fillId="0" borderId="0" xfId="3" applyFont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0" fontId="15" fillId="2" borderId="1" xfId="3" applyFont="1" applyFill="1" applyBorder="1" applyAlignment="1">
      <alignment horizontal="center" vertical="center"/>
    </xf>
    <xf numFmtId="0" fontId="15" fillId="2" borderId="1" xfId="3" applyFont="1" applyFill="1" applyBorder="1" applyAlignment="1">
      <alignment horizontal="center" vertical="center" wrapText="1"/>
    </xf>
    <xf numFmtId="0" fontId="15" fillId="2" borderId="15" xfId="3" applyFont="1" applyFill="1" applyBorder="1" applyAlignment="1">
      <alignment horizontal="centerContinuous" vertical="center" wrapText="1"/>
    </xf>
    <xf numFmtId="0" fontId="15" fillId="2" borderId="16" xfId="3" applyFont="1" applyFill="1" applyBorder="1" applyAlignment="1">
      <alignment horizontal="centerContinuous" vertical="center" wrapText="1"/>
    </xf>
    <xf numFmtId="0" fontId="15" fillId="2" borderId="18" xfId="3" applyFont="1" applyFill="1" applyBorder="1" applyAlignment="1">
      <alignment horizontal="centerContinuous" vertical="center" wrapText="1"/>
    </xf>
    <xf numFmtId="0" fontId="15" fillId="2" borderId="3" xfId="3" applyFont="1" applyFill="1" applyBorder="1" applyAlignment="1">
      <alignment horizontal="center" vertical="center"/>
    </xf>
    <xf numFmtId="0" fontId="15" fillId="2" borderId="3" xfId="3" applyFont="1" applyFill="1" applyBorder="1" applyAlignment="1">
      <alignment horizontal="center" vertical="center" wrapText="1"/>
    </xf>
    <xf numFmtId="0" fontId="15" fillId="2" borderId="6" xfId="3" applyFont="1" applyFill="1" applyBorder="1" applyAlignment="1">
      <alignment horizontal="center" vertical="center"/>
    </xf>
    <xf numFmtId="0" fontId="15" fillId="2" borderId="6" xfId="3" applyFont="1" applyFill="1" applyBorder="1" applyAlignment="1">
      <alignment horizontal="center" vertical="center" wrapText="1"/>
    </xf>
    <xf numFmtId="0" fontId="15" fillId="2" borderId="6" xfId="3" applyFont="1" applyFill="1" applyBorder="1" applyAlignment="1">
      <alignment horizontal="center" vertical="top" wrapText="1"/>
    </xf>
    <xf numFmtId="0" fontId="15" fillId="2" borderId="20" xfId="3" applyFont="1" applyFill="1" applyBorder="1" applyAlignment="1">
      <alignment horizontal="center" vertical="center" wrapText="1"/>
    </xf>
    <xf numFmtId="0" fontId="26" fillId="0" borderId="20" xfId="3" applyFont="1" applyBorder="1" applyAlignment="1">
      <alignment horizontal="center" vertical="center"/>
    </xf>
    <xf numFmtId="4" fontId="3" fillId="0" borderId="0" xfId="3" applyNumberFormat="1" applyFont="1"/>
    <xf numFmtId="0" fontId="3" fillId="0" borderId="0" xfId="4" applyFont="1"/>
    <xf numFmtId="0" fontId="2" fillId="0" borderId="0" xfId="4" applyFont="1" applyAlignment="1">
      <alignment horizontal="left"/>
    </xf>
    <xf numFmtId="0" fontId="5" fillId="0" borderId="0" xfId="4" applyFont="1" applyAlignment="1">
      <alignment horizontal="centerContinuous" vertical="center" wrapText="1"/>
    </xf>
    <xf numFmtId="0" fontId="27" fillId="0" borderId="0" xfId="4" applyFont="1" applyAlignment="1">
      <alignment horizontal="center" vertical="center"/>
    </xf>
    <xf numFmtId="0" fontId="2" fillId="0" borderId="0" xfId="4" applyFont="1" applyAlignment="1">
      <alignment horizontal="right"/>
    </xf>
    <xf numFmtId="0" fontId="5" fillId="2" borderId="20" xfId="4" applyFont="1" applyFill="1" applyBorder="1" applyAlignment="1">
      <alignment horizontal="center" vertical="center"/>
    </xf>
    <xf numFmtId="0" fontId="26" fillId="0" borderId="20" xfId="4" applyFont="1" applyBorder="1" applyAlignment="1">
      <alignment horizontal="center" vertical="center"/>
    </xf>
    <xf numFmtId="0" fontId="26" fillId="0" borderId="0" xfId="4" applyFont="1"/>
    <xf numFmtId="0" fontId="2" fillId="0" borderId="0" xfId="4" applyFont="1"/>
    <xf numFmtId="0" fontId="4" fillId="0" borderId="15" xfId="4" applyFont="1" applyBorder="1" applyAlignment="1">
      <alignment horizontal="left" vertical="center"/>
    </xf>
    <xf numFmtId="0" fontId="4" fillId="0" borderId="16" xfId="4" applyFont="1" applyBorder="1" applyAlignment="1">
      <alignment horizontal="left" vertical="center"/>
    </xf>
    <xf numFmtId="0" fontId="4" fillId="0" borderId="18" xfId="4" applyFont="1" applyBorder="1" applyAlignment="1">
      <alignment horizontal="left" vertical="center"/>
    </xf>
    <xf numFmtId="0" fontId="8" fillId="0" borderId="20" xfId="4" applyFont="1" applyBorder="1" applyAlignment="1">
      <alignment vertical="top"/>
    </xf>
    <xf numFmtId="0" fontId="8" fillId="0" borderId="20" xfId="4" applyFont="1" applyBorder="1" applyAlignment="1">
      <alignment vertical="top" wrapText="1"/>
    </xf>
    <xf numFmtId="4" fontId="8" fillId="0" borderId="20" xfId="4" applyNumberFormat="1" applyFont="1" applyBorder="1" applyAlignment="1">
      <alignment vertical="center"/>
    </xf>
    <xf numFmtId="4" fontId="3" fillId="0" borderId="0" xfId="4" applyNumberFormat="1" applyFont="1"/>
    <xf numFmtId="0" fontId="8" fillId="0" borderId="22" xfId="4" applyFont="1" applyBorder="1" applyAlignment="1">
      <alignment vertical="top" wrapText="1"/>
    </xf>
    <xf numFmtId="0" fontId="8" fillId="0" borderId="1" xfId="4" applyFont="1" applyBorder="1" applyAlignment="1">
      <alignment vertical="top"/>
    </xf>
    <xf numFmtId="0" fontId="8" fillId="0" borderId="1" xfId="4" applyFont="1" applyBorder="1"/>
    <xf numFmtId="0" fontId="8" fillId="0" borderId="20" xfId="4" applyFont="1" applyBorder="1"/>
    <xf numFmtId="4" fontId="8" fillId="0" borderId="20" xfId="4" applyNumberFormat="1" applyFont="1" applyBorder="1"/>
    <xf numFmtId="0" fontId="8" fillId="0" borderId="20" xfId="4" applyFont="1" applyBorder="1" applyAlignment="1">
      <alignment wrapText="1"/>
    </xf>
    <xf numFmtId="0" fontId="8" fillId="0" borderId="7" xfId="4" applyFont="1" applyBorder="1"/>
    <xf numFmtId="0" fontId="8" fillId="0" borderId="22" xfId="4" applyFont="1" applyBorder="1"/>
    <xf numFmtId="0" fontId="8" fillId="0" borderId="18" xfId="4" applyFont="1" applyBorder="1"/>
    <xf numFmtId="0" fontId="25" fillId="0" borderId="22" xfId="4" applyFont="1" applyBorder="1"/>
    <xf numFmtId="4" fontId="8" fillId="0" borderId="19" xfId="4" applyNumberFormat="1" applyFont="1" applyBorder="1"/>
    <xf numFmtId="0" fontId="25" fillId="0" borderId="20" xfId="4" applyFont="1" applyBorder="1" applyAlignment="1">
      <alignment wrapText="1"/>
    </xf>
    <xf numFmtId="0" fontId="25" fillId="0" borderId="20" xfId="4" applyFont="1" applyBorder="1"/>
    <xf numFmtId="0" fontId="25" fillId="0" borderId="15" xfId="4" applyFont="1" applyBorder="1"/>
    <xf numFmtId="0" fontId="25" fillId="0" borderId="16" xfId="4" applyFont="1" applyBorder="1"/>
    <xf numFmtId="4" fontId="25" fillId="0" borderId="20" xfId="4" applyNumberFormat="1" applyFont="1" applyBorder="1"/>
    <xf numFmtId="0" fontId="5" fillId="0" borderId="15" xfId="4" applyFont="1" applyBorder="1" applyAlignment="1">
      <alignment horizontal="centerContinuous" vertical="center"/>
    </xf>
    <xf numFmtId="0" fontId="5" fillId="0" borderId="16" xfId="4" applyFont="1" applyBorder="1" applyAlignment="1">
      <alignment horizontal="centerContinuous" vertical="center"/>
    </xf>
    <xf numFmtId="0" fontId="5" fillId="0" borderId="18" xfId="4" applyFont="1" applyBorder="1" applyAlignment="1">
      <alignment horizontal="centerContinuous" vertical="center"/>
    </xf>
    <xf numFmtId="4" fontId="4" fillId="0" borderId="20" xfId="4" applyNumberFormat="1" applyFont="1" applyBorder="1" applyAlignment="1">
      <alignment vertical="center"/>
    </xf>
    <xf numFmtId="0" fontId="16" fillId="0" borderId="0" xfId="4" applyFont="1"/>
    <xf numFmtId="0" fontId="9" fillId="0" borderId="0" xfId="4" applyFont="1" applyAlignment="1">
      <alignment horizontal="center"/>
    </xf>
    <xf numFmtId="0" fontId="5" fillId="0" borderId="20" xfId="4" applyFont="1" applyBorder="1" applyAlignment="1">
      <alignment horizontal="center" vertical="center"/>
    </xf>
    <xf numFmtId="0" fontId="5" fillId="2" borderId="15" xfId="4" applyFont="1" applyFill="1" applyBorder="1" applyAlignment="1">
      <alignment horizontal="centerContinuous" vertical="center"/>
    </xf>
    <xf numFmtId="0" fontId="26" fillId="0" borderId="15" xfId="4" applyFont="1" applyBorder="1" applyAlignment="1">
      <alignment horizontal="centerContinuous" vertical="center"/>
    </xf>
    <xf numFmtId="0" fontId="25" fillId="0" borderId="0" xfId="4" applyFont="1"/>
    <xf numFmtId="0" fontId="8" fillId="0" borderId="20" xfId="4" applyFont="1" applyBorder="1" applyAlignment="1">
      <alignment vertical="center"/>
    </xf>
    <xf numFmtId="0" fontId="28" fillId="0" borderId="20" xfId="4" applyFont="1" applyBorder="1" applyAlignment="1">
      <alignment horizontal="left" vertical="center"/>
    </xf>
    <xf numFmtId="0" fontId="18" fillId="0" borderId="0" xfId="4" applyFont="1"/>
    <xf numFmtId="0" fontId="8" fillId="0" borderId="15" xfId="4" applyFont="1" applyBorder="1" applyAlignment="1">
      <alignment vertical="top" wrapText="1"/>
    </xf>
    <xf numFmtId="4" fontId="16" fillId="0" borderId="0" xfId="4" applyNumberFormat="1" applyFont="1"/>
    <xf numFmtId="0" fontId="8" fillId="0" borderId="15" xfId="4" applyFont="1" applyBorder="1"/>
    <xf numFmtId="0" fontId="8" fillId="0" borderId="2" xfId="4" applyFont="1" applyBorder="1"/>
    <xf numFmtId="0" fontId="8" fillId="0" borderId="25" xfId="4" applyFont="1" applyBorder="1"/>
    <xf numFmtId="0" fontId="8" fillId="0" borderId="17" xfId="4" applyFont="1" applyBorder="1"/>
    <xf numFmtId="0" fontId="25" fillId="0" borderId="23" xfId="4" applyFont="1" applyBorder="1" applyAlignment="1">
      <alignment vertical="center" wrapText="1"/>
    </xf>
    <xf numFmtId="4" fontId="8" fillId="0" borderId="24" xfId="4" applyNumberFormat="1" applyFont="1" applyBorder="1"/>
    <xf numFmtId="0" fontId="8" fillId="0" borderId="4" xfId="4" applyFont="1" applyBorder="1"/>
    <xf numFmtId="0" fontId="8" fillId="0" borderId="0" xfId="4" applyFont="1"/>
    <xf numFmtId="0" fontId="8" fillId="0" borderId="5" xfId="4" applyFont="1" applyBorder="1"/>
    <xf numFmtId="0" fontId="25" fillId="0" borderId="26" xfId="4" applyFont="1" applyBorder="1" applyAlignment="1">
      <alignment horizontal="left" wrapText="1"/>
    </xf>
    <xf numFmtId="4" fontId="8" fillId="0" borderId="13" xfId="4" applyNumberFormat="1" applyFont="1" applyBorder="1"/>
    <xf numFmtId="0" fontId="8" fillId="0" borderId="19" xfId="4" applyFont="1" applyBorder="1"/>
    <xf numFmtId="0" fontId="25" fillId="0" borderId="7" xfId="4" applyFont="1" applyBorder="1" applyAlignment="1">
      <alignment vertical="center" wrapText="1"/>
    </xf>
    <xf numFmtId="4" fontId="8" fillId="0" borderId="6" xfId="4" applyNumberFormat="1" applyFont="1" applyBorder="1"/>
    <xf numFmtId="0" fontId="25" fillId="0" borderId="27" xfId="4" applyFont="1" applyBorder="1" applyAlignment="1">
      <alignment vertical="center" wrapText="1"/>
    </xf>
    <xf numFmtId="4" fontId="8" fillId="0" borderId="26" xfId="4" applyNumberFormat="1" applyFont="1" applyBorder="1"/>
    <xf numFmtId="0" fontId="25" fillId="0" borderId="26" xfId="4" applyFont="1" applyBorder="1"/>
    <xf numFmtId="0" fontId="25" fillId="0" borderId="12" xfId="4" applyFont="1" applyBorder="1"/>
    <xf numFmtId="0" fontId="8" fillId="0" borderId="16" xfId="4" applyFont="1" applyBorder="1"/>
    <xf numFmtId="0" fontId="25" fillId="0" borderId="20" xfId="4" applyFont="1" applyBorder="1" applyAlignment="1">
      <alignment vertical="center" wrapText="1"/>
    </xf>
    <xf numFmtId="0" fontId="28" fillId="0" borderId="20" xfId="5" applyFont="1" applyBorder="1" applyAlignment="1">
      <alignment vertical="center"/>
    </xf>
    <xf numFmtId="0" fontId="8" fillId="0" borderId="15" xfId="5" applyFont="1" applyBorder="1" applyAlignment="1">
      <alignment vertical="top" wrapText="1"/>
    </xf>
    <xf numFmtId="4" fontId="8" fillId="0" borderId="20" xfId="5" applyNumberFormat="1" applyFont="1" applyBorder="1"/>
    <xf numFmtId="0" fontId="25" fillId="0" borderId="1" xfId="5" applyFont="1" applyBorder="1" applyAlignment="1">
      <alignment vertical="top"/>
    </xf>
    <xf numFmtId="0" fontId="25" fillId="0" borderId="23" xfId="5" applyFont="1" applyBorder="1" applyAlignment="1">
      <alignment vertical="center" wrapText="1"/>
    </xf>
    <xf numFmtId="3" fontId="25" fillId="0" borderId="24" xfId="5" applyNumberFormat="1" applyFont="1" applyBorder="1"/>
    <xf numFmtId="0" fontId="25" fillId="0" borderId="3" xfId="5" applyFont="1" applyBorder="1" applyAlignment="1">
      <alignment vertical="top"/>
    </xf>
    <xf numFmtId="0" fontId="25" fillId="0" borderId="27" xfId="5" applyFont="1" applyBorder="1" applyAlignment="1">
      <alignment vertical="center" wrapText="1"/>
    </xf>
    <xf numFmtId="3" fontId="25" fillId="0" borderId="26" xfId="5" applyNumberFormat="1" applyFont="1" applyBorder="1"/>
    <xf numFmtId="0" fontId="25" fillId="0" borderId="6" xfId="5" applyFont="1" applyBorder="1" applyAlignment="1">
      <alignment vertical="top"/>
    </xf>
    <xf numFmtId="0" fontId="25" fillId="0" borderId="28" xfId="5" applyFont="1" applyBorder="1" applyAlignment="1">
      <alignment vertical="center" wrapText="1"/>
    </xf>
    <xf numFmtId="3" fontId="25" fillId="0" borderId="29" xfId="5" applyNumberFormat="1" applyFont="1" applyBorder="1"/>
    <xf numFmtId="0" fontId="8" fillId="0" borderId="6" xfId="4" applyFont="1" applyBorder="1" applyAlignment="1">
      <alignment vertical="top"/>
    </xf>
    <xf numFmtId="0" fontId="8" fillId="0" borderId="7" xfId="4" applyFont="1" applyBorder="1" applyAlignment="1">
      <alignment vertical="center" wrapText="1"/>
    </xf>
    <xf numFmtId="4" fontId="8" fillId="0" borderId="6" xfId="4" applyNumberFormat="1" applyFont="1" applyBorder="1" applyAlignment="1">
      <alignment vertical="center"/>
    </xf>
    <xf numFmtId="0" fontId="8" fillId="0" borderId="17" xfId="4" applyFont="1" applyBorder="1" applyAlignment="1">
      <alignment vertical="top"/>
    </xf>
    <xf numFmtId="0" fontId="8" fillId="0" borderId="1" xfId="4" applyFont="1" applyBorder="1" applyAlignment="1">
      <alignment horizontal="right" vertical="center"/>
    </xf>
    <xf numFmtId="0" fontId="8" fillId="0" borderId="17" xfId="4" applyFont="1" applyBorder="1" applyAlignment="1">
      <alignment horizontal="right" vertical="center"/>
    </xf>
    <xf numFmtId="0" fontId="8" fillId="0" borderId="15" xfId="4" applyFont="1" applyBorder="1" applyAlignment="1">
      <alignment wrapText="1"/>
    </xf>
    <xf numFmtId="0" fontId="8" fillId="0" borderId="19" xfId="4" applyFont="1" applyBorder="1" applyAlignment="1">
      <alignment vertical="top"/>
    </xf>
    <xf numFmtId="0" fontId="8" fillId="0" borderId="7" xfId="4" applyFont="1" applyBorder="1" applyAlignment="1">
      <alignment wrapText="1"/>
    </xf>
    <xf numFmtId="0" fontId="25" fillId="0" borderId="27" xfId="4" applyFont="1" applyBorder="1" applyAlignment="1">
      <alignment horizontal="left" wrapText="1"/>
    </xf>
    <xf numFmtId="0" fontId="29" fillId="0" borderId="0" xfId="4" applyFont="1"/>
    <xf numFmtId="0" fontId="25" fillId="0" borderId="12" xfId="4" applyFont="1" applyBorder="1" applyAlignment="1">
      <alignment horizontal="left" wrapText="1"/>
    </xf>
    <xf numFmtId="0" fontId="25" fillId="0" borderId="27" xfId="4" applyFont="1" applyBorder="1" applyAlignment="1">
      <alignment horizontal="left" vertical="center" wrapText="1"/>
    </xf>
    <xf numFmtId="0" fontId="25" fillId="0" borderId="12" xfId="4" applyFont="1" applyBorder="1" applyAlignment="1">
      <alignment horizontal="left" vertical="center" wrapText="1"/>
    </xf>
    <xf numFmtId="0" fontId="25" fillId="0" borderId="27" xfId="4" applyFont="1" applyBorder="1"/>
    <xf numFmtId="0" fontId="25" fillId="0" borderId="7" xfId="4" applyFont="1" applyBorder="1" applyAlignment="1">
      <alignment horizontal="left" wrapText="1"/>
    </xf>
    <xf numFmtId="0" fontId="25" fillId="0" borderId="23" xfId="4" applyFont="1" applyBorder="1" applyAlignment="1">
      <alignment horizontal="left" vertical="center" wrapText="1"/>
    </xf>
    <xf numFmtId="0" fontId="25" fillId="0" borderId="12" xfId="4" applyFont="1" applyBorder="1" applyAlignment="1">
      <alignment vertical="center" wrapText="1"/>
    </xf>
    <xf numFmtId="0" fontId="25" fillId="0" borderId="28" xfId="4" applyFont="1" applyBorder="1" applyAlignment="1">
      <alignment horizontal="left" vertical="center" wrapText="1"/>
    </xf>
    <xf numFmtId="4" fontId="8" fillId="0" borderId="29" xfId="4" applyNumberFormat="1" applyFont="1" applyBorder="1"/>
    <xf numFmtId="0" fontId="25" fillId="0" borderId="30" xfId="4" applyFont="1" applyBorder="1"/>
    <xf numFmtId="4" fontId="8" fillId="0" borderId="21" xfId="4" applyNumberFormat="1" applyFont="1" applyBorder="1"/>
    <xf numFmtId="0" fontId="25" fillId="0" borderId="15" xfId="4" applyFont="1" applyBorder="1" applyAlignment="1">
      <alignment vertical="center" wrapText="1"/>
    </xf>
    <xf numFmtId="0" fontId="25" fillId="0" borderId="15" xfId="4" applyFont="1" applyBorder="1" applyAlignment="1">
      <alignment horizontal="left" vertical="center" wrapText="1"/>
    </xf>
    <xf numFmtId="0" fontId="23" fillId="0" borderId="23" xfId="4" applyFont="1" applyBorder="1"/>
    <xf numFmtId="0" fontId="23" fillId="0" borderId="12" xfId="4" applyFont="1" applyBorder="1"/>
    <xf numFmtId="0" fontId="23" fillId="0" borderId="27" xfId="4" applyFont="1" applyBorder="1"/>
    <xf numFmtId="0" fontId="25" fillId="0" borderId="24" xfId="4" applyFont="1" applyBorder="1" applyAlignment="1">
      <alignment horizontal="left" wrapText="1"/>
    </xf>
    <xf numFmtId="0" fontId="25" fillId="0" borderId="27" xfId="4" applyFont="1" applyBorder="1" applyAlignment="1">
      <alignment horizontal="left" vertical="top" wrapText="1"/>
    </xf>
    <xf numFmtId="4" fontId="8" fillId="0" borderId="31" xfId="4" applyNumberFormat="1" applyFont="1" applyBorder="1"/>
    <xf numFmtId="0" fontId="25" fillId="0" borderId="7" xfId="4" applyFont="1" applyBorder="1" applyAlignment="1">
      <alignment horizontal="left" vertical="center" wrapText="1"/>
    </xf>
    <xf numFmtId="0" fontId="23" fillId="0" borderId="15" xfId="4" applyFont="1" applyBorder="1"/>
    <xf numFmtId="0" fontId="25" fillId="0" borderId="7" xfId="4" applyFont="1" applyBorder="1" applyAlignment="1">
      <alignment vertical="top" wrapText="1"/>
    </xf>
    <xf numFmtId="0" fontId="25" fillId="0" borderId="23" xfId="4" applyFont="1" applyBorder="1" applyAlignment="1">
      <alignment horizontal="left" wrapText="1"/>
    </xf>
    <xf numFmtId="0" fontId="25" fillId="0" borderId="26" xfId="4" applyFont="1" applyBorder="1" applyAlignment="1">
      <alignment horizontal="left" vertical="center" wrapText="1"/>
    </xf>
    <xf numFmtId="0" fontId="8" fillId="0" borderId="6" xfId="4" applyFont="1" applyBorder="1"/>
    <xf numFmtId="0" fontId="25" fillId="0" borderId="15" xfId="4" applyFont="1" applyBorder="1" applyAlignment="1">
      <alignment vertical="top" wrapText="1"/>
    </xf>
    <xf numFmtId="0" fontId="25" fillId="0" borderId="23" xfId="4" applyFont="1" applyBorder="1"/>
    <xf numFmtId="0" fontId="25" fillId="0" borderId="32" xfId="4" applyFont="1" applyBorder="1" applyAlignment="1">
      <alignment horizontal="left" vertical="center" wrapText="1"/>
    </xf>
    <xf numFmtId="0" fontId="8" fillId="0" borderId="15" xfId="4" applyFont="1" applyBorder="1" applyAlignment="1">
      <alignment horizontal="left" vertical="top" wrapText="1"/>
    </xf>
    <xf numFmtId="0" fontId="25" fillId="0" borderId="22" xfId="4" applyFont="1" applyBorder="1" applyAlignment="1">
      <alignment vertical="top" wrapText="1"/>
    </xf>
    <xf numFmtId="0" fontId="5" fillId="0" borderId="15" xfId="4" applyFont="1" applyBorder="1" applyAlignment="1">
      <alignment horizontal="center" vertical="center"/>
    </xf>
    <xf numFmtId="0" fontId="5" fillId="0" borderId="16" xfId="4" applyFont="1" applyBorder="1" applyAlignment="1">
      <alignment horizontal="center" vertical="center"/>
    </xf>
    <xf numFmtId="0" fontId="30" fillId="0" borderId="0" xfId="0" applyFont="1"/>
    <xf numFmtId="0" fontId="31" fillId="0" borderId="0" xfId="0" applyFont="1" applyAlignment="1">
      <alignment horizontal="centerContinuous" vertical="center"/>
    </xf>
    <xf numFmtId="0" fontId="13" fillId="0" borderId="0" xfId="0" applyFont="1"/>
    <xf numFmtId="0" fontId="4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/>
    </xf>
    <xf numFmtId="0" fontId="31" fillId="2" borderId="6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/>
    </xf>
    <xf numFmtId="0" fontId="33" fillId="0" borderId="6" xfId="0" applyFont="1" applyBorder="1" applyAlignment="1">
      <alignment vertical="center"/>
    </xf>
    <xf numFmtId="0" fontId="33" fillId="0" borderId="6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 indent="2"/>
    </xf>
    <xf numFmtId="4" fontId="35" fillId="0" borderId="1" xfId="0" applyNumberFormat="1" applyFont="1" applyBorder="1" applyAlignment="1">
      <alignment vertical="center"/>
    </xf>
    <xf numFmtId="0" fontId="34" fillId="0" borderId="3" xfId="0" applyFont="1" applyBorder="1" applyAlignment="1">
      <alignment horizontal="left" vertical="center" indent="2"/>
    </xf>
    <xf numFmtId="4" fontId="35" fillId="0" borderId="3" xfId="0" applyNumberFormat="1" applyFont="1" applyBorder="1" applyAlignment="1">
      <alignment vertical="center"/>
    </xf>
    <xf numFmtId="4" fontId="35" fillId="0" borderId="3" xfId="0" applyNumberFormat="1" applyFont="1" applyBorder="1" applyAlignment="1">
      <alignment vertical="top"/>
    </xf>
    <xf numFmtId="4" fontId="35" fillId="0" borderId="3" xfId="0" applyNumberFormat="1" applyFont="1" applyBorder="1" applyAlignment="1">
      <alignment horizontal="right" vertical="center"/>
    </xf>
    <xf numFmtId="0" fontId="34" fillId="0" borderId="3" xfId="0" applyFont="1" applyBorder="1" applyAlignment="1">
      <alignment horizontal="center" vertical="top"/>
    </xf>
    <xf numFmtId="0" fontId="35" fillId="0" borderId="3" xfId="0" applyFont="1" applyBorder="1" applyAlignment="1">
      <alignment horizontal="center" vertical="top"/>
    </xf>
    <xf numFmtId="0" fontId="34" fillId="0" borderId="3" xfId="0" applyFont="1" applyBorder="1" applyAlignment="1">
      <alignment horizontal="left" vertical="top" wrapText="1" indent="2"/>
    </xf>
    <xf numFmtId="0" fontId="34" fillId="0" borderId="6" xfId="0" applyFont="1" applyBorder="1" applyAlignment="1">
      <alignment horizontal="center" vertical="top"/>
    </xf>
    <xf numFmtId="0" fontId="35" fillId="0" borderId="6" xfId="0" applyFont="1" applyBorder="1" applyAlignment="1">
      <alignment horizontal="center" vertical="top"/>
    </xf>
    <xf numFmtId="4" fontId="35" fillId="0" borderId="6" xfId="0" applyNumberFormat="1" applyFont="1" applyBorder="1" applyAlignment="1">
      <alignment vertical="top"/>
    </xf>
    <xf numFmtId="0" fontId="35" fillId="0" borderId="20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/>
    </xf>
    <xf numFmtId="0" fontId="34" fillId="0" borderId="20" xfId="0" applyFont="1" applyBorder="1" applyAlignment="1">
      <alignment horizontal="left" vertical="center" indent="2"/>
    </xf>
    <xf numFmtId="4" fontId="35" fillId="0" borderId="20" xfId="0" applyNumberFormat="1" applyFont="1" applyBorder="1" applyAlignment="1">
      <alignment vertical="center"/>
    </xf>
    <xf numFmtId="0" fontId="34" fillId="0" borderId="3" xfId="0" applyFont="1" applyBorder="1" applyAlignment="1">
      <alignment horizontal="left" vertical="center" wrapText="1" indent="2"/>
    </xf>
    <xf numFmtId="0" fontId="34" fillId="0" borderId="6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4" fillId="0" borderId="6" xfId="0" applyFont="1" applyBorder="1" applyAlignment="1">
      <alignment horizontal="left" vertical="center" indent="2"/>
    </xf>
    <xf numFmtId="4" fontId="35" fillId="0" borderId="6" xfId="0" applyNumberFormat="1" applyFont="1" applyBorder="1" applyAlignment="1">
      <alignment vertical="center"/>
    </xf>
    <xf numFmtId="4" fontId="35" fillId="0" borderId="6" xfId="0" applyNumberFormat="1" applyFont="1" applyBorder="1" applyAlignment="1">
      <alignment horizontal="right" vertical="center"/>
    </xf>
    <xf numFmtId="0" fontId="35" fillId="3" borderId="6" xfId="0" applyFont="1" applyFill="1" applyBorder="1" applyAlignment="1">
      <alignment horizontal="center" vertical="center"/>
    </xf>
    <xf numFmtId="0" fontId="35" fillId="3" borderId="6" xfId="0" applyFont="1" applyFill="1" applyBorder="1" applyAlignment="1">
      <alignment vertical="center"/>
    </xf>
    <xf numFmtId="0" fontId="3" fillId="0" borderId="0" xfId="0" applyFont="1" applyAlignment="1">
      <alignment horizontal="left"/>
    </xf>
    <xf numFmtId="0" fontId="14" fillId="0" borderId="0" xfId="0" applyFont="1" applyAlignment="1">
      <alignment horizontal="centerContinuous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wrapText="1"/>
    </xf>
    <xf numFmtId="4" fontId="3" fillId="0" borderId="0" xfId="0" applyNumberFormat="1" applyFont="1"/>
    <xf numFmtId="4" fontId="16" fillId="0" borderId="3" xfId="0" applyNumberFormat="1" applyFont="1" applyBorder="1" applyAlignment="1">
      <alignment horizontal="right" vertical="center"/>
    </xf>
    <xf numFmtId="4" fontId="36" fillId="0" borderId="0" xfId="0" applyNumberFormat="1" applyFont="1"/>
    <xf numFmtId="0" fontId="36" fillId="0" borderId="0" xfId="0" applyFont="1"/>
    <xf numFmtId="0" fontId="0" fillId="0" borderId="0" xfId="0" applyFont="1" applyAlignment="1">
      <alignment vertical="center"/>
    </xf>
    <xf numFmtId="0" fontId="0" fillId="0" borderId="0" xfId="0" applyFont="1"/>
    <xf numFmtId="4" fontId="37" fillId="0" borderId="3" xfId="0" applyNumberFormat="1" applyFont="1" applyBorder="1" applyAlignment="1">
      <alignment vertical="center"/>
    </xf>
    <xf numFmtId="0" fontId="16" fillId="0" borderId="3" xfId="0" applyFont="1" applyBorder="1"/>
    <xf numFmtId="0" fontId="16" fillId="0" borderId="3" xfId="0" applyFont="1" applyBorder="1" applyAlignment="1">
      <alignment wrapText="1"/>
    </xf>
    <xf numFmtId="0" fontId="15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right" vertical="center"/>
    </xf>
    <xf numFmtId="0" fontId="0" fillId="0" borderId="16" xfId="0" applyFont="1" applyBorder="1" applyAlignment="1">
      <alignment horizontal="center" vertical="center"/>
    </xf>
    <xf numFmtId="4" fontId="15" fillId="0" borderId="18" xfId="0" applyNumberFormat="1" applyFont="1" applyBorder="1" applyAlignment="1">
      <alignment vertical="center"/>
    </xf>
    <xf numFmtId="4" fontId="15" fillId="0" borderId="20" xfId="0" applyNumberFormat="1" applyFont="1" applyBorder="1" applyAlignment="1">
      <alignment vertical="center"/>
    </xf>
    <xf numFmtId="0" fontId="28" fillId="0" borderId="0" xfId="0" applyFont="1" applyAlignment="1">
      <alignment vertical="center"/>
    </xf>
    <xf numFmtId="4" fontId="0" fillId="0" borderId="0" xfId="0" applyNumberFormat="1" applyFont="1"/>
    <xf numFmtId="0" fontId="0" fillId="0" borderId="0" xfId="0" applyFont="1" applyAlignment="1">
      <alignment horizontal="centerContinuous"/>
    </xf>
    <xf numFmtId="0" fontId="2" fillId="0" borderId="12" xfId="0" applyFont="1" applyBorder="1"/>
    <xf numFmtId="4" fontId="1" fillId="0" borderId="13" xfId="0" applyNumberFormat="1" applyFont="1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2" xfId="0" applyFont="1" applyBorder="1" applyAlignment="1">
      <alignment vertical="center"/>
    </xf>
    <xf numFmtId="4" fontId="2" fillId="0" borderId="13" xfId="0" applyNumberFormat="1" applyFont="1" applyBorder="1"/>
    <xf numFmtId="0" fontId="1" fillId="0" borderId="13" xfId="0" applyFont="1" applyBorder="1"/>
    <xf numFmtId="0" fontId="2" fillId="0" borderId="12" xfId="0" applyFont="1" applyBorder="1" applyAlignment="1">
      <alignment wrapText="1"/>
    </xf>
    <xf numFmtId="0" fontId="1" fillId="0" borderId="12" xfId="0" applyFont="1" applyBorder="1"/>
    <xf numFmtId="0" fontId="2" fillId="0" borderId="12" xfId="0" applyFont="1" applyBorder="1" applyAlignment="1">
      <alignment vertical="center" wrapText="1"/>
    </xf>
    <xf numFmtId="0" fontId="1" fillId="0" borderId="12" xfId="0" applyFont="1" applyBorder="1" applyAlignment="1">
      <alignment wrapText="1"/>
    </xf>
    <xf numFmtId="0" fontId="2" fillId="0" borderId="13" xfId="0" applyFont="1" applyBorder="1"/>
    <xf numFmtId="0" fontId="2" fillId="0" borderId="23" xfId="0" applyFont="1" applyBorder="1"/>
    <xf numFmtId="4" fontId="1" fillId="0" borderId="24" xfId="0" applyNumberFormat="1" applyFont="1" applyBorder="1"/>
    <xf numFmtId="0" fontId="1" fillId="0" borderId="24" xfId="0" applyFont="1" applyBorder="1"/>
    <xf numFmtId="0" fontId="1" fillId="0" borderId="13" xfId="0" applyFont="1" applyBorder="1" applyAlignment="1">
      <alignment wrapText="1"/>
    </xf>
    <xf numFmtId="0" fontId="1" fillId="0" borderId="13" xfId="0" applyFont="1" applyBorder="1" applyAlignment="1">
      <alignment vertical="center"/>
    </xf>
    <xf numFmtId="0" fontId="13" fillId="0" borderId="0" xfId="3" applyFont="1" applyAlignment="1">
      <alignment vertical="center"/>
    </xf>
    <xf numFmtId="0" fontId="13" fillId="0" borderId="0" xfId="3" applyFont="1"/>
    <xf numFmtId="0" fontId="13" fillId="0" borderId="20" xfId="3" applyFont="1" applyBorder="1" applyAlignment="1">
      <alignment vertical="center"/>
    </xf>
    <xf numFmtId="4" fontId="13" fillId="0" borderId="20" xfId="3" applyNumberFormat="1" applyFont="1" applyBorder="1" applyAlignment="1">
      <alignment vertical="center"/>
    </xf>
    <xf numFmtId="0" fontId="13" fillId="0" borderId="19" xfId="3" applyFont="1" applyBorder="1" applyAlignment="1">
      <alignment vertical="center"/>
    </xf>
    <xf numFmtId="4" fontId="13" fillId="0" borderId="6" xfId="3" applyNumberFormat="1" applyFont="1" applyBorder="1" applyAlignment="1">
      <alignment vertical="center"/>
    </xf>
    <xf numFmtId="0" fontId="33" fillId="0" borderId="7" xfId="3" applyFont="1" applyBorder="1" applyAlignment="1">
      <alignment horizontal="centerContinuous" vertical="center"/>
    </xf>
    <xf numFmtId="0" fontId="33" fillId="0" borderId="22" xfId="3" applyFont="1" applyBorder="1" applyAlignment="1">
      <alignment horizontal="centerContinuous" vertical="center"/>
    </xf>
    <xf numFmtId="0" fontId="33" fillId="0" borderId="19" xfId="3" applyFont="1" applyBorder="1" applyAlignment="1">
      <alignment horizontal="centerContinuous" vertical="center"/>
    </xf>
    <xf numFmtId="4" fontId="33" fillId="0" borderId="6" xfId="3" applyNumberFormat="1" applyFont="1" applyBorder="1" applyAlignment="1">
      <alignment vertical="center"/>
    </xf>
    <xf numFmtId="0" fontId="13" fillId="0" borderId="0" xfId="4" applyFont="1"/>
    <xf numFmtId="0" fontId="13" fillId="0" borderId="0" xfId="4" applyFont="1" applyAlignment="1">
      <alignment vertical="center"/>
    </xf>
    <xf numFmtId="0" fontId="23" fillId="0" borderId="15" xfId="4" applyFont="1" applyBorder="1" applyAlignment="1">
      <alignment horizontal="centerContinuous"/>
    </xf>
    <xf numFmtId="0" fontId="23" fillId="0" borderId="16" xfId="4" applyFont="1" applyBorder="1" applyAlignment="1">
      <alignment horizontal="centerContinuous"/>
    </xf>
    <xf numFmtId="0" fontId="13" fillId="0" borderId="18" xfId="4" applyFont="1" applyBorder="1" applyAlignment="1">
      <alignment horizontal="centerContinuous"/>
    </xf>
    <xf numFmtId="4" fontId="23" fillId="0" borderId="20" xfId="4" applyNumberFormat="1" applyFont="1" applyBorder="1"/>
    <xf numFmtId="0" fontId="28" fillId="0" borderId="0" xfId="4" applyFont="1" applyAlignment="1">
      <alignment vertical="center"/>
    </xf>
    <xf numFmtId="0" fontId="23" fillId="0" borderId="15" xfId="4" applyFont="1" applyBorder="1" applyAlignment="1">
      <alignment horizontal="center"/>
    </xf>
    <xf numFmtId="0" fontId="23" fillId="0" borderId="16" xfId="4" applyFont="1" applyBorder="1" applyAlignment="1">
      <alignment horizontal="center"/>
    </xf>
    <xf numFmtId="3" fontId="13" fillId="0" borderId="0" xfId="4" applyNumberFormat="1" applyFont="1"/>
    <xf numFmtId="4" fontId="13" fillId="0" borderId="0" xfId="4" applyNumberFormat="1" applyFont="1"/>
    <xf numFmtId="0" fontId="33" fillId="0" borderId="31" xfId="0" applyFont="1" applyBorder="1" applyAlignment="1">
      <alignment vertical="center" wrapText="1"/>
    </xf>
    <xf numFmtId="3" fontId="0" fillId="0" borderId="31" xfId="0" applyNumberFormat="1" applyFont="1" applyBorder="1" applyAlignment="1">
      <alignment vertical="center"/>
    </xf>
    <xf numFmtId="0" fontId="31" fillId="3" borderId="20" xfId="0" applyFont="1" applyFill="1" applyBorder="1" applyAlignment="1">
      <alignment horizontal="left" vertical="center" indent="2"/>
    </xf>
    <xf numFmtId="4" fontId="31" fillId="3" borderId="6" xfId="0" applyNumberFormat="1" applyFont="1" applyFill="1" applyBorder="1" applyAlignment="1">
      <alignment vertical="center"/>
    </xf>
    <xf numFmtId="0" fontId="0" fillId="3" borderId="0" xfId="0" applyFont="1" applyFill="1"/>
    <xf numFmtId="0" fontId="1" fillId="0" borderId="0" xfId="0" applyFont="1"/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vertical="center"/>
    </xf>
  </cellXfs>
  <cellStyles count="6">
    <cellStyle name="Dziesiętny" xfId="2" builtinId="3"/>
    <cellStyle name="Normalny" xfId="0" builtinId="0"/>
    <cellStyle name="Normalny 2" xfId="1" xr:uid="{7E2422C2-1E35-4B2B-9C55-D1B70A35B269}"/>
    <cellStyle name="Normalny 3" xfId="3" xr:uid="{E8557831-07BB-481D-9950-B552552C1FDA}"/>
    <cellStyle name="Normalny 3 2" xfId="4" xr:uid="{FAD93772-A895-49C4-B9EF-DD3049C624A6}"/>
    <cellStyle name="Normalny 5" xfId="5" xr:uid="{60D584C2-C9AE-46B0-944F-D7F126D8E3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949A7-AFC8-4C64-9D9C-05F06311C237}">
  <sheetPr>
    <tabColor rgb="FFCCFF33"/>
  </sheetPr>
  <dimension ref="A1:H866"/>
  <sheetViews>
    <sheetView tabSelected="1" zoomScale="120" zoomScaleNormal="120" workbookViewId="0"/>
  </sheetViews>
  <sheetFormatPr defaultRowHeight="15" x14ac:dyDescent="0.25"/>
  <cols>
    <col min="1" max="1" width="4.140625" style="357" customWidth="1"/>
    <col min="2" max="2" width="6" style="357" customWidth="1"/>
    <col min="3" max="3" width="5" style="357" customWidth="1"/>
    <col min="4" max="4" width="39.5703125" style="357" customWidth="1"/>
    <col min="5" max="5" width="13" style="357" customWidth="1"/>
    <col min="6" max="6" width="10.5703125" style="357" customWidth="1"/>
    <col min="7" max="7" width="10.28515625" style="357" customWidth="1"/>
    <col min="8" max="8" width="13" style="357" customWidth="1"/>
    <col min="9" max="9" width="10.28515625" style="357" customWidth="1"/>
    <col min="10" max="16384" width="9.140625" style="357"/>
  </cols>
  <sheetData>
    <row r="1" spans="1:8" ht="12.75" customHeight="1" x14ac:dyDescent="0.25">
      <c r="A1" s="1"/>
      <c r="B1" s="1"/>
      <c r="C1" s="2"/>
      <c r="D1" s="3"/>
      <c r="E1" s="3"/>
      <c r="F1" s="3" t="s">
        <v>0</v>
      </c>
      <c r="G1" s="1"/>
      <c r="H1" s="1"/>
    </row>
    <row r="2" spans="1:8" ht="12.75" customHeight="1" x14ac:dyDescent="0.25">
      <c r="A2" s="1"/>
      <c r="B2" s="1"/>
      <c r="C2" s="2"/>
      <c r="D2" s="3"/>
      <c r="E2" s="3"/>
      <c r="F2" s="3" t="s">
        <v>266</v>
      </c>
      <c r="G2" s="1"/>
      <c r="H2" s="1"/>
    </row>
    <row r="3" spans="1:8" ht="12.75" customHeight="1" x14ac:dyDescent="0.25">
      <c r="A3" s="1"/>
      <c r="B3" s="1"/>
      <c r="C3" s="2"/>
      <c r="D3" s="3"/>
      <c r="E3" s="3"/>
      <c r="F3" s="3" t="s">
        <v>64</v>
      </c>
      <c r="G3" s="1"/>
      <c r="H3" s="1"/>
    </row>
    <row r="4" spans="1:8" ht="12.75" customHeight="1" x14ac:dyDescent="0.25">
      <c r="A4" s="1"/>
      <c r="B4" s="1"/>
      <c r="C4" s="2"/>
      <c r="D4" s="3"/>
      <c r="E4" s="3"/>
      <c r="F4" s="3" t="s">
        <v>267</v>
      </c>
      <c r="G4" s="1"/>
      <c r="H4" s="1"/>
    </row>
    <row r="5" spans="1:8" ht="16.5" customHeight="1" x14ac:dyDescent="0.25">
      <c r="A5" s="4" t="s">
        <v>22</v>
      </c>
      <c r="B5" s="368"/>
      <c r="C5" s="5"/>
      <c r="D5" s="5"/>
      <c r="E5" s="368"/>
      <c r="F5" s="368"/>
      <c r="G5" s="6"/>
      <c r="H5" s="368"/>
    </row>
    <row r="6" spans="1:8" ht="13.5" customHeight="1" x14ac:dyDescent="0.25">
      <c r="A6" s="1"/>
      <c r="B6" s="1"/>
      <c r="C6" s="2"/>
      <c r="D6" s="2"/>
      <c r="E6" s="7"/>
      <c r="F6" s="1"/>
      <c r="G6" s="8"/>
      <c r="H6" s="50" t="s">
        <v>1</v>
      </c>
    </row>
    <row r="7" spans="1:8" s="15" customFormat="1" ht="11.25" x14ac:dyDescent="0.2">
      <c r="A7" s="9"/>
      <c r="B7" s="9"/>
      <c r="C7" s="10"/>
      <c r="D7" s="11"/>
      <c r="E7" s="12" t="s">
        <v>2</v>
      </c>
      <c r="F7" s="13"/>
      <c r="G7" s="14"/>
      <c r="H7" s="12" t="s">
        <v>2</v>
      </c>
    </row>
    <row r="8" spans="1:8" s="15" customFormat="1" ht="11.25" x14ac:dyDescent="0.2">
      <c r="A8" s="16" t="s">
        <v>3</v>
      </c>
      <c r="B8" s="16" t="s">
        <v>4</v>
      </c>
      <c r="C8" s="17" t="s">
        <v>5</v>
      </c>
      <c r="D8" s="18" t="s">
        <v>6</v>
      </c>
      <c r="E8" s="16" t="s">
        <v>16</v>
      </c>
      <c r="F8" s="19" t="s">
        <v>7</v>
      </c>
      <c r="G8" s="16" t="s">
        <v>8</v>
      </c>
      <c r="H8" s="16" t="s">
        <v>9</v>
      </c>
    </row>
    <row r="9" spans="1:8" s="15" customFormat="1" ht="4.5" customHeight="1" x14ac:dyDescent="0.2">
      <c r="A9" s="20"/>
      <c r="B9" s="20"/>
      <c r="C9" s="21"/>
      <c r="D9" s="22"/>
      <c r="E9" s="20"/>
      <c r="F9" s="23"/>
      <c r="G9" s="23"/>
      <c r="H9" s="20"/>
    </row>
    <row r="10" spans="1:8" s="15" customFormat="1" ht="21" customHeight="1" thickBot="1" x14ac:dyDescent="0.25">
      <c r="A10" s="95"/>
      <c r="B10" s="95"/>
      <c r="C10" s="25"/>
      <c r="D10" s="26" t="s">
        <v>10</v>
      </c>
      <c r="E10" s="27">
        <v>823635699.06999969</v>
      </c>
      <c r="F10" s="27">
        <f>SUM(F11,F32,F44)</f>
        <v>773961</v>
      </c>
      <c r="G10" s="27">
        <f>SUM(G11,G32,G44)</f>
        <v>62676.83</v>
      </c>
      <c r="H10" s="27">
        <f t="shared" ref="H10:H11" si="0">SUM(E10+F10-G10)</f>
        <v>824346983.23999965</v>
      </c>
    </row>
    <row r="11" spans="1:8" s="15" customFormat="1" ht="18.75" customHeight="1" thickBot="1" x14ac:dyDescent="0.25">
      <c r="A11" s="95"/>
      <c r="B11" s="95"/>
      <c r="C11" s="25"/>
      <c r="D11" s="28" t="s">
        <v>11</v>
      </c>
      <c r="E11" s="29">
        <v>710633993.75999987</v>
      </c>
      <c r="F11" s="29">
        <f>SUM(F12,F17,F23,F27)</f>
        <v>314599</v>
      </c>
      <c r="G11" s="29">
        <f>SUM(G12,G17,G23,G27)</f>
        <v>62676.83</v>
      </c>
      <c r="H11" s="29">
        <f t="shared" si="0"/>
        <v>710885915.92999983</v>
      </c>
    </row>
    <row r="12" spans="1:8" s="15" customFormat="1" ht="17.25" customHeight="1" thickTop="1" thickBot="1" x14ac:dyDescent="0.25">
      <c r="A12" s="30">
        <v>750</v>
      </c>
      <c r="B12" s="31"/>
      <c r="C12" s="32"/>
      <c r="D12" s="33" t="s">
        <v>65</v>
      </c>
      <c r="E12" s="34">
        <v>26534915.539999999</v>
      </c>
      <c r="F12" s="34">
        <f>SUM(F110)</f>
        <v>50000</v>
      </c>
      <c r="G12" s="34">
        <f>SUM(G110)</f>
        <v>0</v>
      </c>
      <c r="H12" s="34">
        <f>SUM(E12+F12-G12)</f>
        <v>26584915.539999999</v>
      </c>
    </row>
    <row r="13" spans="1:8" s="15" customFormat="1" ht="12" customHeight="1" thickTop="1" x14ac:dyDescent="0.2">
      <c r="A13" s="95"/>
      <c r="B13" s="43">
        <v>75079</v>
      </c>
      <c r="C13" s="43"/>
      <c r="D13" s="96" t="s">
        <v>66</v>
      </c>
      <c r="E13" s="36">
        <v>0</v>
      </c>
      <c r="F13" s="37">
        <f t="shared" ref="F13:G13" si="1">SUM(F14)</f>
        <v>50000</v>
      </c>
      <c r="G13" s="37">
        <f t="shared" si="1"/>
        <v>0</v>
      </c>
      <c r="H13" s="36">
        <f>SUM(E13+F13-G13)</f>
        <v>50000</v>
      </c>
    </row>
    <row r="14" spans="1:8" s="15" customFormat="1" ht="12" customHeight="1" x14ac:dyDescent="0.2">
      <c r="A14" s="95"/>
      <c r="B14" s="35"/>
      <c r="C14" s="25"/>
      <c r="D14" s="369" t="s">
        <v>67</v>
      </c>
      <c r="E14" s="132">
        <v>0</v>
      </c>
      <c r="F14" s="370">
        <f>SUM(F15)</f>
        <v>50000</v>
      </c>
      <c r="G14" s="370">
        <f>SUM(G15)</f>
        <v>0</v>
      </c>
      <c r="H14" s="132">
        <f t="shared" ref="H14:H15" si="2">SUM(E14+F14-G14)</f>
        <v>50000</v>
      </c>
    </row>
    <row r="15" spans="1:8" s="15" customFormat="1" ht="24" customHeight="1" x14ac:dyDescent="0.2">
      <c r="A15" s="95"/>
      <c r="B15" s="31"/>
      <c r="C15" s="51" t="s">
        <v>68</v>
      </c>
      <c r="D15" s="97" t="s">
        <v>69</v>
      </c>
      <c r="E15" s="98">
        <v>0</v>
      </c>
      <c r="F15" s="98">
        <v>50000</v>
      </c>
      <c r="G15" s="99"/>
      <c r="H15" s="98">
        <f t="shared" si="2"/>
        <v>50000</v>
      </c>
    </row>
    <row r="16" spans="1:8" s="15" customFormat="1" ht="12" customHeight="1" x14ac:dyDescent="0.2">
      <c r="A16" s="30">
        <v>754</v>
      </c>
      <c r="B16" s="31"/>
      <c r="C16" s="32"/>
      <c r="D16" s="33" t="s">
        <v>70</v>
      </c>
      <c r="E16" s="100"/>
      <c r="F16" s="100"/>
      <c r="G16" s="100"/>
      <c r="H16" s="100"/>
    </row>
    <row r="17" spans="1:8" s="15" customFormat="1" ht="12" customHeight="1" thickBot="1" x14ac:dyDescent="0.25">
      <c r="A17" s="30"/>
      <c r="B17" s="31"/>
      <c r="C17" s="32"/>
      <c r="D17" s="33" t="s">
        <v>71</v>
      </c>
      <c r="E17" s="29">
        <v>190250</v>
      </c>
      <c r="F17" s="34">
        <f>SUM(F18)</f>
        <v>50000</v>
      </c>
      <c r="G17" s="34">
        <f>SUM(G18)</f>
        <v>62676.83</v>
      </c>
      <c r="H17" s="29">
        <f t="shared" ref="H17" si="3">SUM(E17+F17-G17)</f>
        <v>177573.16999999998</v>
      </c>
    </row>
    <row r="18" spans="1:8" s="15" customFormat="1" ht="12" customHeight="1" thickTop="1" x14ac:dyDescent="0.2">
      <c r="A18" s="101"/>
      <c r="B18" s="25" t="s">
        <v>72</v>
      </c>
      <c r="C18" s="44"/>
      <c r="D18" s="42" t="s">
        <v>73</v>
      </c>
      <c r="E18" s="36">
        <v>72000</v>
      </c>
      <c r="F18" s="37">
        <f>SUM(F19,F21)</f>
        <v>50000</v>
      </c>
      <c r="G18" s="37">
        <f>SUM(G19,G21)</f>
        <v>62676.83</v>
      </c>
      <c r="H18" s="36">
        <f>SUM(E18+F18-G18)</f>
        <v>59323.17</v>
      </c>
    </row>
    <row r="19" spans="1:8" s="15" customFormat="1" ht="12" customHeight="1" x14ac:dyDescent="0.2">
      <c r="A19" s="95"/>
      <c r="B19" s="31"/>
      <c r="C19" s="102"/>
      <c r="D19" s="371" t="s">
        <v>43</v>
      </c>
      <c r="E19" s="132">
        <v>72000</v>
      </c>
      <c r="F19" s="370">
        <f t="shared" ref="F19:G19" si="4">SUM(F20)</f>
        <v>0</v>
      </c>
      <c r="G19" s="370">
        <f t="shared" si="4"/>
        <v>12676.83</v>
      </c>
      <c r="H19" s="132">
        <f>SUM(E19+F19-G19)</f>
        <v>59323.17</v>
      </c>
    </row>
    <row r="20" spans="1:8" s="15" customFormat="1" ht="33.75" customHeight="1" x14ac:dyDescent="0.2">
      <c r="A20" s="95"/>
      <c r="B20" s="31"/>
      <c r="C20" s="51" t="s">
        <v>74</v>
      </c>
      <c r="D20" s="103" t="s">
        <v>75</v>
      </c>
      <c r="E20" s="41">
        <v>72000</v>
      </c>
      <c r="F20" s="41"/>
      <c r="G20" s="104">
        <v>12676.83</v>
      </c>
      <c r="H20" s="41">
        <f t="shared" ref="H20:H27" si="5">SUM(E20+F20-G20)</f>
        <v>59323.17</v>
      </c>
    </row>
    <row r="21" spans="1:8" s="15" customFormat="1" ht="12" customHeight="1" x14ac:dyDescent="0.2">
      <c r="A21" s="95"/>
      <c r="B21" s="31"/>
      <c r="C21" s="25"/>
      <c r="D21" s="369" t="s">
        <v>76</v>
      </c>
      <c r="E21" s="132">
        <v>0</v>
      </c>
      <c r="F21" s="370">
        <f>SUM(F22)</f>
        <v>50000</v>
      </c>
      <c r="G21" s="370">
        <f>SUM(G22)</f>
        <v>50000</v>
      </c>
      <c r="H21" s="132">
        <f t="shared" si="5"/>
        <v>0</v>
      </c>
    </row>
    <row r="22" spans="1:8" s="15" customFormat="1" ht="24.75" customHeight="1" x14ac:dyDescent="0.2">
      <c r="A22" s="95"/>
      <c r="B22" s="31"/>
      <c r="C22" s="51" t="s">
        <v>68</v>
      </c>
      <c r="D22" s="97" t="s">
        <v>69</v>
      </c>
      <c r="E22" s="98">
        <v>0</v>
      </c>
      <c r="F22" s="98">
        <v>50000</v>
      </c>
      <c r="G22" s="99">
        <v>50000</v>
      </c>
      <c r="H22" s="98">
        <f t="shared" si="5"/>
        <v>0</v>
      </c>
    </row>
    <row r="23" spans="1:8" s="15" customFormat="1" ht="12" customHeight="1" thickBot="1" x14ac:dyDescent="0.25">
      <c r="A23" s="101">
        <v>758</v>
      </c>
      <c r="B23" s="16"/>
      <c r="C23" s="16"/>
      <c r="D23" s="105" t="s">
        <v>77</v>
      </c>
      <c r="E23" s="29">
        <v>199069818.31</v>
      </c>
      <c r="F23" s="34">
        <f>SUM(F24)</f>
        <v>213882</v>
      </c>
      <c r="G23" s="34">
        <f t="shared" ref="F23:G24" si="6">SUM(G24)</f>
        <v>0</v>
      </c>
      <c r="H23" s="29">
        <f t="shared" si="5"/>
        <v>199283700.31</v>
      </c>
    </row>
    <row r="24" spans="1:8" s="15" customFormat="1" ht="12" customHeight="1" thickTop="1" x14ac:dyDescent="0.2">
      <c r="A24" s="101"/>
      <c r="B24" s="25" t="s">
        <v>78</v>
      </c>
      <c r="C24" s="106"/>
      <c r="D24" s="42" t="s">
        <v>79</v>
      </c>
      <c r="E24" s="36">
        <v>1837245.31</v>
      </c>
      <c r="F24" s="37">
        <f t="shared" si="6"/>
        <v>213882</v>
      </c>
      <c r="G24" s="37">
        <f t="shared" si="6"/>
        <v>0</v>
      </c>
      <c r="H24" s="36">
        <f t="shared" si="5"/>
        <v>2051127.31</v>
      </c>
    </row>
    <row r="25" spans="1:8" s="15" customFormat="1" ht="21.75" customHeight="1" x14ac:dyDescent="0.2">
      <c r="A25" s="95"/>
      <c r="B25" s="107"/>
      <c r="C25" s="25"/>
      <c r="D25" s="372" t="s">
        <v>80</v>
      </c>
      <c r="E25" s="132">
        <v>1046690</v>
      </c>
      <c r="F25" s="370">
        <f>SUM(F26:F26)</f>
        <v>213882</v>
      </c>
      <c r="G25" s="370">
        <f>SUM(G26:G26)</f>
        <v>0</v>
      </c>
      <c r="H25" s="132">
        <f t="shared" si="5"/>
        <v>1260572</v>
      </c>
    </row>
    <row r="26" spans="1:8" s="15" customFormat="1" ht="33.75" customHeight="1" x14ac:dyDescent="0.2">
      <c r="A26" s="95"/>
      <c r="B26" s="107"/>
      <c r="C26" s="51" t="s">
        <v>81</v>
      </c>
      <c r="D26" s="97" t="s">
        <v>82</v>
      </c>
      <c r="E26" s="41">
        <v>1046690</v>
      </c>
      <c r="F26" s="41">
        <f>194468+19414</f>
        <v>213882</v>
      </c>
      <c r="G26" s="104"/>
      <c r="H26" s="41">
        <f t="shared" si="5"/>
        <v>1260572</v>
      </c>
    </row>
    <row r="27" spans="1:8" s="15" customFormat="1" ht="12" customHeight="1" thickBot="1" x14ac:dyDescent="0.25">
      <c r="A27" s="31">
        <v>852</v>
      </c>
      <c r="B27" s="31"/>
      <c r="C27" s="32"/>
      <c r="D27" s="33" t="s">
        <v>83</v>
      </c>
      <c r="E27" s="29">
        <v>25231437.789999999</v>
      </c>
      <c r="F27" s="34">
        <f>SUM(F29)</f>
        <v>717</v>
      </c>
      <c r="G27" s="34">
        <f>SUM(G29)</f>
        <v>0</v>
      </c>
      <c r="H27" s="29">
        <f t="shared" si="5"/>
        <v>25232154.789999999</v>
      </c>
    </row>
    <row r="28" spans="1:8" s="15" customFormat="1" ht="12" customHeight="1" thickTop="1" x14ac:dyDescent="0.2">
      <c r="A28" s="31"/>
      <c r="B28" s="35">
        <v>85214</v>
      </c>
      <c r="C28" s="25"/>
      <c r="D28" s="108" t="s">
        <v>84</v>
      </c>
      <c r="E28" s="100"/>
      <c r="F28" s="109"/>
      <c r="G28" s="109"/>
      <c r="H28" s="100"/>
    </row>
    <row r="29" spans="1:8" s="15" customFormat="1" ht="12" customHeight="1" x14ac:dyDescent="0.2">
      <c r="A29" s="31"/>
      <c r="B29" s="35"/>
      <c r="C29" s="25"/>
      <c r="D29" s="110" t="s">
        <v>85</v>
      </c>
      <c r="E29" s="36">
        <v>7934434</v>
      </c>
      <c r="F29" s="37">
        <f t="shared" ref="F29:G29" si="7">SUM(F30)</f>
        <v>717</v>
      </c>
      <c r="G29" s="37">
        <f t="shared" si="7"/>
        <v>0</v>
      </c>
      <c r="H29" s="36">
        <f>SUM(E29+F29-G29)</f>
        <v>7935151</v>
      </c>
    </row>
    <row r="30" spans="1:8" s="15" customFormat="1" ht="12" customHeight="1" x14ac:dyDescent="0.2">
      <c r="A30" s="31"/>
      <c r="B30" s="31"/>
      <c r="C30" s="134"/>
      <c r="D30" s="371" t="s">
        <v>86</v>
      </c>
      <c r="E30" s="132">
        <v>0</v>
      </c>
      <c r="F30" s="370">
        <f>SUM(F31:F31)</f>
        <v>717</v>
      </c>
      <c r="G30" s="370">
        <f>SUM(G31:G31)</f>
        <v>0</v>
      </c>
      <c r="H30" s="132">
        <f t="shared" ref="H30:H60" si="8">SUM(E30+F30-G30)</f>
        <v>717</v>
      </c>
    </row>
    <row r="31" spans="1:8" s="15" customFormat="1" ht="33" customHeight="1" x14ac:dyDescent="0.2">
      <c r="A31" s="31"/>
      <c r="B31" s="31"/>
      <c r="C31" s="51" t="s">
        <v>81</v>
      </c>
      <c r="D31" s="97" t="s">
        <v>82</v>
      </c>
      <c r="E31" s="41">
        <v>0</v>
      </c>
      <c r="F31" s="41">
        <v>717</v>
      </c>
      <c r="G31" s="104"/>
      <c r="H31" s="41">
        <f t="shared" si="8"/>
        <v>717</v>
      </c>
    </row>
    <row r="32" spans="1:8" s="15" customFormat="1" ht="18.75" customHeight="1" thickBot="1" x14ac:dyDescent="0.25">
      <c r="A32" s="95"/>
      <c r="B32" s="95"/>
      <c r="C32" s="25"/>
      <c r="D32" s="28" t="s">
        <v>87</v>
      </c>
      <c r="E32" s="29">
        <v>92665121.789999992</v>
      </c>
      <c r="F32" s="34">
        <f>SUM(F33,F40)</f>
        <v>441813</v>
      </c>
      <c r="G32" s="34">
        <f>SUM(G33,G40)</f>
        <v>0</v>
      </c>
      <c r="H32" s="29">
        <f t="shared" si="8"/>
        <v>93106934.789999992</v>
      </c>
    </row>
    <row r="33" spans="1:8" s="15" customFormat="1" ht="14.25" customHeight="1" thickTop="1" thickBot="1" x14ac:dyDescent="0.25">
      <c r="A33" s="31">
        <v>852</v>
      </c>
      <c r="B33" s="31"/>
      <c r="C33" s="32"/>
      <c r="D33" s="33" t="s">
        <v>83</v>
      </c>
      <c r="E33" s="29">
        <v>8754656.620000001</v>
      </c>
      <c r="F33" s="34">
        <f>SUM(F34,F37)</f>
        <v>363479</v>
      </c>
      <c r="G33" s="34">
        <f>SUM(G34,G37)</f>
        <v>0</v>
      </c>
      <c r="H33" s="34">
        <f>SUM(E33+F33-G33)</f>
        <v>9118135.620000001</v>
      </c>
    </row>
    <row r="34" spans="1:8" s="15" customFormat="1" ht="12" customHeight="1" thickTop="1" x14ac:dyDescent="0.2">
      <c r="A34" s="31"/>
      <c r="B34" s="35">
        <v>85219</v>
      </c>
      <c r="C34" s="25"/>
      <c r="D34" s="42" t="s">
        <v>88</v>
      </c>
      <c r="E34" s="36">
        <v>23361</v>
      </c>
      <c r="F34" s="37">
        <f t="shared" ref="F34:G35" si="9">SUM(F35)</f>
        <v>2039</v>
      </c>
      <c r="G34" s="37">
        <f t="shared" si="9"/>
        <v>0</v>
      </c>
      <c r="H34" s="36">
        <f t="shared" ref="H34:H39" si="10">SUM(E34+F34-G34)</f>
        <v>25400</v>
      </c>
    </row>
    <row r="35" spans="1:8" s="15" customFormat="1" ht="12" customHeight="1" x14ac:dyDescent="0.2">
      <c r="A35" s="31"/>
      <c r="B35" s="35"/>
      <c r="C35" s="25"/>
      <c r="D35" s="373" t="s">
        <v>43</v>
      </c>
      <c r="E35" s="132">
        <v>23361</v>
      </c>
      <c r="F35" s="370">
        <f t="shared" si="9"/>
        <v>2039</v>
      </c>
      <c r="G35" s="370">
        <f t="shared" si="9"/>
        <v>0</v>
      </c>
      <c r="H35" s="132">
        <f t="shared" si="10"/>
        <v>25400</v>
      </c>
    </row>
    <row r="36" spans="1:8" s="15" customFormat="1" ht="45.75" customHeight="1" x14ac:dyDescent="0.2">
      <c r="A36" s="31"/>
      <c r="B36" s="31"/>
      <c r="C36" s="51" t="s">
        <v>89</v>
      </c>
      <c r="D36" s="88" t="s">
        <v>90</v>
      </c>
      <c r="E36" s="39">
        <v>23361</v>
      </c>
      <c r="F36" s="41">
        <v>2039</v>
      </c>
      <c r="G36" s="41"/>
      <c r="H36" s="39">
        <f t="shared" si="10"/>
        <v>25400</v>
      </c>
    </row>
    <row r="37" spans="1:8" s="15" customFormat="1" ht="12" customHeight="1" x14ac:dyDescent="0.2">
      <c r="A37" s="31"/>
      <c r="B37" s="35">
        <v>85228</v>
      </c>
      <c r="C37" s="25"/>
      <c r="D37" s="111" t="s">
        <v>91</v>
      </c>
      <c r="E37" s="36">
        <v>2820752</v>
      </c>
      <c r="F37" s="37">
        <f t="shared" ref="F37:G38" si="11">SUM(F38)</f>
        <v>361440</v>
      </c>
      <c r="G37" s="37">
        <f t="shared" si="11"/>
        <v>0</v>
      </c>
      <c r="H37" s="36">
        <f t="shared" si="10"/>
        <v>3182192</v>
      </c>
    </row>
    <row r="38" spans="1:8" s="15" customFormat="1" ht="12" customHeight="1" x14ac:dyDescent="0.2">
      <c r="A38" s="31"/>
      <c r="B38" s="35"/>
      <c r="C38" s="25"/>
      <c r="D38" s="373" t="s">
        <v>43</v>
      </c>
      <c r="E38" s="132">
        <v>2820752</v>
      </c>
      <c r="F38" s="370">
        <f t="shared" si="11"/>
        <v>361440</v>
      </c>
      <c r="G38" s="370">
        <f t="shared" si="11"/>
        <v>0</v>
      </c>
      <c r="H38" s="132">
        <f t="shared" si="10"/>
        <v>3182192</v>
      </c>
    </row>
    <row r="39" spans="1:8" s="15" customFormat="1" ht="45" customHeight="1" x14ac:dyDescent="0.2">
      <c r="A39" s="31"/>
      <c r="B39" s="31"/>
      <c r="C39" s="51" t="s">
        <v>89</v>
      </c>
      <c r="D39" s="88" t="s">
        <v>90</v>
      </c>
      <c r="E39" s="39">
        <v>2820752</v>
      </c>
      <c r="F39" s="41">
        <v>361440</v>
      </c>
      <c r="G39" s="41"/>
      <c r="H39" s="39">
        <f t="shared" si="10"/>
        <v>3182192</v>
      </c>
    </row>
    <row r="40" spans="1:8" s="15" customFormat="1" ht="12.75" customHeight="1" thickBot="1" x14ac:dyDescent="0.25">
      <c r="A40" s="31">
        <v>855</v>
      </c>
      <c r="B40" s="31"/>
      <c r="C40" s="32"/>
      <c r="D40" s="33" t="s">
        <v>92</v>
      </c>
      <c r="E40" s="34">
        <v>71280018</v>
      </c>
      <c r="F40" s="34">
        <f>SUM(F43)</f>
        <v>78334</v>
      </c>
      <c r="G40" s="34">
        <f>SUM(G43)</f>
        <v>0</v>
      </c>
      <c r="H40" s="34">
        <f>SUM(E40+F40-G40)</f>
        <v>71358352</v>
      </c>
    </row>
    <row r="41" spans="1:8" s="15" customFormat="1" ht="12.75" customHeight="1" thickTop="1" x14ac:dyDescent="0.2">
      <c r="A41" s="31"/>
      <c r="B41" s="44">
        <v>85501</v>
      </c>
      <c r="C41" s="107"/>
      <c r="D41" s="112" t="s">
        <v>93</v>
      </c>
      <c r="E41" s="36">
        <v>36710846</v>
      </c>
      <c r="F41" s="37">
        <f t="shared" ref="F41:G41" si="12">SUM(F42)</f>
        <v>78334</v>
      </c>
      <c r="G41" s="37">
        <f t="shared" si="12"/>
        <v>0</v>
      </c>
      <c r="H41" s="36">
        <f>SUM(E41+F41-G41)</f>
        <v>36789180</v>
      </c>
    </row>
    <row r="42" spans="1:8" s="15" customFormat="1" ht="12.75" customHeight="1" x14ac:dyDescent="0.2">
      <c r="A42" s="31"/>
      <c r="B42" s="35"/>
      <c r="C42" s="25"/>
      <c r="D42" s="373" t="s">
        <v>43</v>
      </c>
      <c r="E42" s="132">
        <v>36710846</v>
      </c>
      <c r="F42" s="370">
        <f>SUM(F43)</f>
        <v>78334</v>
      </c>
      <c r="G42" s="370">
        <f>SUM(G43)</f>
        <v>0</v>
      </c>
      <c r="H42" s="132">
        <f>SUM(E42+F42-G42)</f>
        <v>36789180</v>
      </c>
    </row>
    <row r="43" spans="1:8" s="15" customFormat="1" ht="57" customHeight="1" x14ac:dyDescent="0.2">
      <c r="A43" s="113"/>
      <c r="B43" s="113"/>
      <c r="C43" s="114">
        <v>2060</v>
      </c>
      <c r="D43" s="115" t="s">
        <v>94</v>
      </c>
      <c r="E43" s="116">
        <v>36710846</v>
      </c>
      <c r="F43" s="37">
        <v>78334</v>
      </c>
      <c r="G43" s="117"/>
      <c r="H43" s="116">
        <f t="shared" ref="H43:H44" si="13">SUM(E43+F43-G43)</f>
        <v>36789180</v>
      </c>
    </row>
    <row r="44" spans="1:8" s="15" customFormat="1" ht="22.5" customHeight="1" thickBot="1" x14ac:dyDescent="0.25">
      <c r="A44" s="95"/>
      <c r="B44" s="95"/>
      <c r="C44" s="25"/>
      <c r="D44" s="28" t="s">
        <v>95</v>
      </c>
      <c r="E44" s="29">
        <v>20336583.52</v>
      </c>
      <c r="F44" s="29">
        <f>SUM(F45,F49,F55)</f>
        <v>17549</v>
      </c>
      <c r="G44" s="29">
        <f>SUM(G49,G55)</f>
        <v>0</v>
      </c>
      <c r="H44" s="29">
        <f t="shared" si="13"/>
        <v>20354132.52</v>
      </c>
    </row>
    <row r="45" spans="1:8" s="15" customFormat="1" ht="22.5" customHeight="1" thickTop="1" thickBot="1" x14ac:dyDescent="0.25">
      <c r="A45" s="31">
        <v>700</v>
      </c>
      <c r="B45" s="31"/>
      <c r="C45" s="32"/>
      <c r="D45" s="33" t="s">
        <v>96</v>
      </c>
      <c r="E45" s="29">
        <v>419855.8</v>
      </c>
      <c r="F45" s="29">
        <f t="shared" ref="F45:G47" si="14">SUM(F46)</f>
        <v>2500</v>
      </c>
      <c r="G45" s="29">
        <f t="shared" si="14"/>
        <v>0</v>
      </c>
      <c r="H45" s="29">
        <f>SUM(E45+F45-G45)</f>
        <v>422355.8</v>
      </c>
    </row>
    <row r="46" spans="1:8" s="15" customFormat="1" ht="12" customHeight="1" thickTop="1" x14ac:dyDescent="0.2">
      <c r="A46" s="31"/>
      <c r="B46" s="35">
        <v>70005</v>
      </c>
      <c r="C46" s="25"/>
      <c r="D46" s="110" t="s">
        <v>97</v>
      </c>
      <c r="E46" s="36">
        <v>419855.8</v>
      </c>
      <c r="F46" s="36">
        <f t="shared" si="14"/>
        <v>2500</v>
      </c>
      <c r="G46" s="36">
        <f t="shared" si="14"/>
        <v>0</v>
      </c>
      <c r="H46" s="36">
        <f>SUM(E46+F46-G46)</f>
        <v>422355.8</v>
      </c>
    </row>
    <row r="47" spans="1:8" s="15" customFormat="1" ht="12" customHeight="1" x14ac:dyDescent="0.2">
      <c r="A47" s="95"/>
      <c r="B47" s="35"/>
      <c r="C47" s="25"/>
      <c r="D47" s="373" t="s">
        <v>43</v>
      </c>
      <c r="E47" s="132">
        <v>419855.8</v>
      </c>
      <c r="F47" s="370">
        <f t="shared" si="14"/>
        <v>2500</v>
      </c>
      <c r="G47" s="370">
        <f t="shared" si="14"/>
        <v>0</v>
      </c>
      <c r="H47" s="132">
        <f>SUM(E47+F47-G47)</f>
        <v>422355.8</v>
      </c>
    </row>
    <row r="48" spans="1:8" s="15" customFormat="1" ht="34.5" customHeight="1" x14ac:dyDescent="0.2">
      <c r="A48" s="31"/>
      <c r="B48" s="95"/>
      <c r="C48" s="118">
        <v>2110</v>
      </c>
      <c r="D48" s="119" t="s">
        <v>98</v>
      </c>
      <c r="E48" s="120">
        <v>419855.8</v>
      </c>
      <c r="F48" s="98">
        <v>2500</v>
      </c>
      <c r="G48" s="98"/>
      <c r="H48" s="120">
        <f t="shared" ref="H48" si="15">SUM(E48+F48-G48)</f>
        <v>422355.8</v>
      </c>
    </row>
    <row r="49" spans="1:8" s="15" customFormat="1" ht="12" customHeight="1" thickBot="1" x14ac:dyDescent="0.25">
      <c r="A49" s="30">
        <v>851</v>
      </c>
      <c r="B49" s="31"/>
      <c r="C49" s="32"/>
      <c r="D49" s="33" t="s">
        <v>99</v>
      </c>
      <c r="E49" s="29">
        <v>49600</v>
      </c>
      <c r="F49" s="29">
        <f>SUM(F52)</f>
        <v>4249</v>
      </c>
      <c r="G49" s="29">
        <f>SUM(G52)</f>
        <v>0</v>
      </c>
      <c r="H49" s="29">
        <f>SUM(E49+F49-G49)</f>
        <v>53849</v>
      </c>
    </row>
    <row r="50" spans="1:8" s="15" customFormat="1" ht="12" customHeight="1" thickTop="1" x14ac:dyDescent="0.2">
      <c r="A50" s="30"/>
      <c r="B50" s="121">
        <v>85156</v>
      </c>
      <c r="C50" s="122"/>
      <c r="D50" s="123" t="s">
        <v>100</v>
      </c>
      <c r="E50" s="100"/>
      <c r="F50" s="100"/>
      <c r="G50" s="100"/>
      <c r="H50" s="100"/>
    </row>
    <row r="51" spans="1:8" s="15" customFormat="1" ht="12" customHeight="1" x14ac:dyDescent="0.2">
      <c r="A51" s="30"/>
      <c r="B51" s="121"/>
      <c r="C51" s="122"/>
      <c r="D51" s="123" t="s">
        <v>101</v>
      </c>
      <c r="E51" s="100"/>
      <c r="F51" s="100"/>
      <c r="G51" s="100"/>
      <c r="H51" s="100"/>
    </row>
    <row r="52" spans="1:8" s="15" customFormat="1" ht="12" customHeight="1" x14ac:dyDescent="0.2">
      <c r="A52" s="30"/>
      <c r="B52" s="121"/>
      <c r="C52" s="122"/>
      <c r="D52" s="124" t="s">
        <v>102</v>
      </c>
      <c r="E52" s="36">
        <v>49600</v>
      </c>
      <c r="F52" s="36">
        <f t="shared" ref="F52:G52" si="16">SUM(F53)</f>
        <v>4249</v>
      </c>
      <c r="G52" s="36">
        <f t="shared" si="16"/>
        <v>0</v>
      </c>
      <c r="H52" s="36">
        <f>SUM(E52+F52-G52)</f>
        <v>53849</v>
      </c>
    </row>
    <row r="53" spans="1:8" s="15" customFormat="1" ht="12.75" customHeight="1" x14ac:dyDescent="0.2">
      <c r="A53" s="24"/>
      <c r="B53" s="35"/>
      <c r="C53" s="25"/>
      <c r="D53" s="373" t="s">
        <v>43</v>
      </c>
      <c r="E53" s="132">
        <v>49600</v>
      </c>
      <c r="F53" s="370">
        <f>SUM(F54:F54)</f>
        <v>4249</v>
      </c>
      <c r="G53" s="370">
        <f>SUM(G54:G54)</f>
        <v>0</v>
      </c>
      <c r="H53" s="132">
        <f>SUM(E53+F53-G53)</f>
        <v>53849</v>
      </c>
    </row>
    <row r="54" spans="1:8" s="15" customFormat="1" ht="33" customHeight="1" x14ac:dyDescent="0.2">
      <c r="A54" s="30"/>
      <c r="B54" s="95"/>
      <c r="C54" s="118">
        <v>2110</v>
      </c>
      <c r="D54" s="119" t="s">
        <v>98</v>
      </c>
      <c r="E54" s="41">
        <v>49600</v>
      </c>
      <c r="F54" s="104">
        <v>4249</v>
      </c>
      <c r="G54" s="104"/>
      <c r="H54" s="41">
        <f>SUM(E54+F54-G54)</f>
        <v>53849</v>
      </c>
    </row>
    <row r="55" spans="1:8" s="15" customFormat="1" ht="12" customHeight="1" thickBot="1" x14ac:dyDescent="0.25">
      <c r="A55" s="31">
        <v>852</v>
      </c>
      <c r="B55" s="31"/>
      <c r="C55" s="32"/>
      <c r="D55" s="33" t="s">
        <v>83</v>
      </c>
      <c r="E55" s="29">
        <v>476400</v>
      </c>
      <c r="F55" s="29">
        <f>SUM(F56)</f>
        <v>10800</v>
      </c>
      <c r="G55" s="29">
        <f>SUM(G56)</f>
        <v>0</v>
      </c>
      <c r="H55" s="29">
        <f>SUM(E55+F55-G55)</f>
        <v>487200</v>
      </c>
    </row>
    <row r="56" spans="1:8" s="15" customFormat="1" ht="12" customHeight="1" thickTop="1" x14ac:dyDescent="0.2">
      <c r="A56" s="31"/>
      <c r="B56" s="35">
        <v>85205</v>
      </c>
      <c r="C56" s="25"/>
      <c r="D56" s="110" t="s">
        <v>103</v>
      </c>
      <c r="E56" s="36">
        <v>476400</v>
      </c>
      <c r="F56" s="36">
        <f t="shared" ref="F56:G56" si="17">SUM(F57)</f>
        <v>10800</v>
      </c>
      <c r="G56" s="36">
        <f t="shared" si="17"/>
        <v>0</v>
      </c>
      <c r="H56" s="36">
        <f t="shared" ref="H56:H58" si="18">SUM(E56+F56-G56)</f>
        <v>487200</v>
      </c>
    </row>
    <row r="57" spans="1:8" s="15" customFormat="1" ht="12" customHeight="1" x14ac:dyDescent="0.2">
      <c r="A57" s="24"/>
      <c r="B57" s="35"/>
      <c r="C57" s="25"/>
      <c r="D57" s="373" t="s">
        <v>43</v>
      </c>
      <c r="E57" s="132">
        <v>476400</v>
      </c>
      <c r="F57" s="370">
        <f>SUM(F58:F58)</f>
        <v>10800</v>
      </c>
      <c r="G57" s="370">
        <f>SUM(G58:G58)</f>
        <v>0</v>
      </c>
      <c r="H57" s="132">
        <f t="shared" si="18"/>
        <v>487200</v>
      </c>
    </row>
    <row r="58" spans="1:8" s="15" customFormat="1" ht="33" customHeight="1" x14ac:dyDescent="0.2">
      <c r="A58" s="30"/>
      <c r="B58" s="95"/>
      <c r="C58" s="118">
        <v>2110</v>
      </c>
      <c r="D58" s="119" t="s">
        <v>98</v>
      </c>
      <c r="E58" s="41">
        <v>476400</v>
      </c>
      <c r="F58" s="104">
        <v>10800</v>
      </c>
      <c r="G58" s="125"/>
      <c r="H58" s="41">
        <f t="shared" si="18"/>
        <v>487200</v>
      </c>
    </row>
    <row r="59" spans="1:8" s="15" customFormat="1" ht="25.5" customHeight="1" thickBot="1" x14ac:dyDescent="0.25">
      <c r="A59" s="35"/>
      <c r="B59" s="35"/>
      <c r="C59" s="25"/>
      <c r="D59" s="26" t="s">
        <v>13</v>
      </c>
      <c r="E59" s="27">
        <v>956900710.30000019</v>
      </c>
      <c r="F59" s="27">
        <f>SUM(F60,F556,F594)</f>
        <v>5339239.8499999996</v>
      </c>
      <c r="G59" s="27">
        <f>SUM(G60,G556,G594)</f>
        <v>4627955.68</v>
      </c>
      <c r="H59" s="27">
        <f t="shared" si="8"/>
        <v>957611994.47000027</v>
      </c>
    </row>
    <row r="60" spans="1:8" s="15" customFormat="1" ht="17.25" customHeight="1" thickBot="1" x14ac:dyDescent="0.25">
      <c r="A60" s="35"/>
      <c r="B60" s="35"/>
      <c r="C60" s="25"/>
      <c r="D60" s="28" t="s">
        <v>14</v>
      </c>
      <c r="E60" s="29">
        <v>843899004.99000013</v>
      </c>
      <c r="F60" s="29">
        <f>SUM(F61,F93,F129,F136,F140,F409,F448,F465,F492,F519,F545)</f>
        <v>4688509.55</v>
      </c>
      <c r="G60" s="29">
        <f>SUM(G61,G93,G129,G136,G140,G409,G448,G465,G492,G519,G545)</f>
        <v>4436587.38</v>
      </c>
      <c r="H60" s="29">
        <f t="shared" si="8"/>
        <v>844150927.16000009</v>
      </c>
    </row>
    <row r="61" spans="1:8" s="15" customFormat="1" ht="17.25" customHeight="1" thickTop="1" thickBot="1" x14ac:dyDescent="0.25">
      <c r="A61" s="31">
        <v>600</v>
      </c>
      <c r="B61" s="31"/>
      <c r="C61" s="32"/>
      <c r="D61" s="33" t="s">
        <v>15</v>
      </c>
      <c r="E61" s="45">
        <v>108769342.74000001</v>
      </c>
      <c r="F61" s="45">
        <f>SUM(F62,F69,F75,F78,F82)</f>
        <v>150200</v>
      </c>
      <c r="G61" s="45">
        <f>SUM(G62,G69,G75,G78,G82)</f>
        <v>150200</v>
      </c>
      <c r="H61" s="29">
        <f>SUM(E61+F61-G61)</f>
        <v>108769342.74000001</v>
      </c>
    </row>
    <row r="62" spans="1:8" s="15" customFormat="1" ht="12" customHeight="1" thickTop="1" x14ac:dyDescent="0.2">
      <c r="A62" s="31"/>
      <c r="B62" s="35">
        <v>60004</v>
      </c>
      <c r="C62" s="25"/>
      <c r="D62" s="42" t="s">
        <v>104</v>
      </c>
      <c r="E62" s="46">
        <v>35570820.589999996</v>
      </c>
      <c r="F62" s="46">
        <f>SUM(F63)</f>
        <v>51000</v>
      </c>
      <c r="G62" s="46">
        <f>SUM(G63)</f>
        <v>4000</v>
      </c>
      <c r="H62" s="36">
        <f>SUM(E62+F62-G62)</f>
        <v>35617820.589999996</v>
      </c>
    </row>
    <row r="63" spans="1:8" s="15" customFormat="1" ht="12" customHeight="1" x14ac:dyDescent="0.2">
      <c r="A63" s="31"/>
      <c r="B63" s="35"/>
      <c r="C63" s="126"/>
      <c r="D63" s="369" t="s">
        <v>105</v>
      </c>
      <c r="E63" s="132">
        <v>115000</v>
      </c>
      <c r="F63" s="132">
        <f>SUM(F64:F68)</f>
        <v>51000</v>
      </c>
      <c r="G63" s="132">
        <f>SUM(G64:G68)</f>
        <v>4000</v>
      </c>
      <c r="H63" s="132">
        <f>SUM(E63+F63-G63)</f>
        <v>162000</v>
      </c>
    </row>
    <row r="64" spans="1:8" s="15" customFormat="1" ht="12" customHeight="1" x14ac:dyDescent="0.2">
      <c r="A64" s="31"/>
      <c r="B64" s="31"/>
      <c r="C64" s="43">
        <v>4260</v>
      </c>
      <c r="D64" s="123" t="s">
        <v>106</v>
      </c>
      <c r="E64" s="40">
        <v>35000</v>
      </c>
      <c r="F64" s="40">
        <v>30000</v>
      </c>
      <c r="G64" s="40"/>
      <c r="H64" s="41">
        <f t="shared" ref="H64:H68" si="19">SUM(E64+F64-G64)</f>
        <v>65000</v>
      </c>
    </row>
    <row r="65" spans="1:8" s="15" customFormat="1" ht="12" customHeight="1" x14ac:dyDescent="0.2">
      <c r="A65" s="31"/>
      <c r="B65" s="31"/>
      <c r="C65" s="43">
        <v>4270</v>
      </c>
      <c r="D65" s="123" t="s">
        <v>107</v>
      </c>
      <c r="E65" s="40">
        <v>14000</v>
      </c>
      <c r="F65" s="40">
        <v>16000</v>
      </c>
      <c r="G65" s="40"/>
      <c r="H65" s="41">
        <f t="shared" si="19"/>
        <v>30000</v>
      </c>
    </row>
    <row r="66" spans="1:8" s="15" customFormat="1" ht="12" customHeight="1" x14ac:dyDescent="0.2">
      <c r="A66" s="31"/>
      <c r="B66" s="31"/>
      <c r="C66" s="43">
        <v>4300</v>
      </c>
      <c r="D66" s="123" t="s">
        <v>108</v>
      </c>
      <c r="E66" s="40">
        <v>23000</v>
      </c>
      <c r="F66" s="40">
        <v>4000</v>
      </c>
      <c r="G66" s="40"/>
      <c r="H66" s="41">
        <f t="shared" si="19"/>
        <v>27000</v>
      </c>
    </row>
    <row r="67" spans="1:8" s="15" customFormat="1" ht="12" customHeight="1" x14ac:dyDescent="0.2">
      <c r="A67" s="31"/>
      <c r="B67" s="31"/>
      <c r="C67" s="43">
        <v>4360</v>
      </c>
      <c r="D67" s="123" t="s">
        <v>109</v>
      </c>
      <c r="E67" s="40">
        <v>28000</v>
      </c>
      <c r="F67" s="40"/>
      <c r="G67" s="40">
        <v>4000</v>
      </c>
      <c r="H67" s="41">
        <f t="shared" si="19"/>
        <v>24000</v>
      </c>
    </row>
    <row r="68" spans="1:8" s="15" customFormat="1" ht="12" customHeight="1" x14ac:dyDescent="0.2">
      <c r="A68" s="31"/>
      <c r="B68" s="31"/>
      <c r="C68" s="43">
        <v>4610</v>
      </c>
      <c r="D68" s="123" t="s">
        <v>110</v>
      </c>
      <c r="E68" s="40">
        <v>5000</v>
      </c>
      <c r="F68" s="40">
        <v>1000</v>
      </c>
      <c r="G68" s="40"/>
      <c r="H68" s="41">
        <f t="shared" si="19"/>
        <v>6000</v>
      </c>
    </row>
    <row r="69" spans="1:8" s="15" customFormat="1" ht="12" customHeight="1" x14ac:dyDescent="0.2">
      <c r="A69" s="31"/>
      <c r="B69" s="35">
        <v>60015</v>
      </c>
      <c r="C69" s="25"/>
      <c r="D69" s="42" t="s">
        <v>111</v>
      </c>
      <c r="E69" s="46">
        <v>30823735.77</v>
      </c>
      <c r="F69" s="46">
        <f>SUM(F70)</f>
        <v>66000</v>
      </c>
      <c r="G69" s="46">
        <f>SUM(G70)</f>
        <v>60000</v>
      </c>
      <c r="H69" s="36">
        <f>SUM(E69+F69-G69)</f>
        <v>30829735.77</v>
      </c>
    </row>
    <row r="70" spans="1:8" s="15" customFormat="1" ht="12" customHeight="1" x14ac:dyDescent="0.2">
      <c r="A70" s="31"/>
      <c r="B70" s="35"/>
      <c r="C70" s="126"/>
      <c r="D70" s="369" t="s">
        <v>105</v>
      </c>
      <c r="E70" s="132">
        <v>11995885</v>
      </c>
      <c r="F70" s="132">
        <f>SUM(F71:F74)</f>
        <v>66000</v>
      </c>
      <c r="G70" s="132">
        <f>SUM(G71:G74)</f>
        <v>60000</v>
      </c>
      <c r="H70" s="132">
        <f>SUM(E70+F70-G70)</f>
        <v>12001885</v>
      </c>
    </row>
    <row r="71" spans="1:8" s="15" customFormat="1" ht="12" customHeight="1" x14ac:dyDescent="0.2">
      <c r="A71" s="31"/>
      <c r="B71" s="35"/>
      <c r="C71" s="43">
        <v>4260</v>
      </c>
      <c r="D71" s="123" t="s">
        <v>106</v>
      </c>
      <c r="E71" s="40">
        <v>277000</v>
      </c>
      <c r="F71" s="40">
        <v>66000</v>
      </c>
      <c r="G71" s="40"/>
      <c r="H71" s="41">
        <f t="shared" ref="H71:H74" si="20">SUM(E71+F71-G71)</f>
        <v>343000</v>
      </c>
    </row>
    <row r="72" spans="1:8" s="15" customFormat="1" ht="12" customHeight="1" x14ac:dyDescent="0.2">
      <c r="A72" s="31"/>
      <c r="B72" s="35"/>
      <c r="C72" s="44">
        <v>4430</v>
      </c>
      <c r="D72" s="38" t="s">
        <v>112</v>
      </c>
      <c r="E72" s="40">
        <v>499676</v>
      </c>
      <c r="F72" s="40"/>
      <c r="G72" s="40">
        <v>20000</v>
      </c>
      <c r="H72" s="41">
        <f t="shared" si="20"/>
        <v>479676</v>
      </c>
    </row>
    <row r="73" spans="1:8" s="15" customFormat="1" ht="21.75" customHeight="1" x14ac:dyDescent="0.2">
      <c r="A73" s="31"/>
      <c r="B73" s="35"/>
      <c r="C73" s="118">
        <v>4600</v>
      </c>
      <c r="D73" s="119" t="s">
        <v>113</v>
      </c>
      <c r="E73" s="40">
        <v>33700</v>
      </c>
      <c r="F73" s="40"/>
      <c r="G73" s="40">
        <v>30000</v>
      </c>
      <c r="H73" s="41">
        <f t="shared" si="20"/>
        <v>3700</v>
      </c>
    </row>
    <row r="74" spans="1:8" s="15" customFormat="1" ht="12" customHeight="1" x14ac:dyDescent="0.2">
      <c r="A74" s="31"/>
      <c r="B74" s="35"/>
      <c r="C74" s="44">
        <v>4610</v>
      </c>
      <c r="D74" s="127" t="s">
        <v>114</v>
      </c>
      <c r="E74" s="40">
        <v>12000</v>
      </c>
      <c r="F74" s="40"/>
      <c r="G74" s="40">
        <v>10000</v>
      </c>
      <c r="H74" s="41">
        <f t="shared" si="20"/>
        <v>2000</v>
      </c>
    </row>
    <row r="75" spans="1:8" s="15" customFormat="1" ht="12" customHeight="1" x14ac:dyDescent="0.2">
      <c r="A75" s="31"/>
      <c r="B75" s="35">
        <v>60016</v>
      </c>
      <c r="C75" s="25"/>
      <c r="D75" s="42" t="s">
        <v>20</v>
      </c>
      <c r="E75" s="46">
        <v>32005676.379999999</v>
      </c>
      <c r="F75" s="46">
        <f>SUM(F76)</f>
        <v>0</v>
      </c>
      <c r="G75" s="46">
        <f>SUM(G76)</f>
        <v>2000</v>
      </c>
      <c r="H75" s="36">
        <f>SUM(E75+F75-G75)</f>
        <v>32003676.379999999</v>
      </c>
    </row>
    <row r="76" spans="1:8" s="15" customFormat="1" ht="12" customHeight="1" x14ac:dyDescent="0.2">
      <c r="A76" s="31"/>
      <c r="B76" s="35"/>
      <c r="C76" s="43"/>
      <c r="D76" s="369" t="s">
        <v>105</v>
      </c>
      <c r="E76" s="132">
        <v>4628944</v>
      </c>
      <c r="F76" s="132">
        <f>SUM(F77:F77)</f>
        <v>0</v>
      </c>
      <c r="G76" s="132">
        <f>SUM(G77:G77)</f>
        <v>2000</v>
      </c>
      <c r="H76" s="132">
        <f>SUM(E76+F76-G76)</f>
        <v>4626944</v>
      </c>
    </row>
    <row r="77" spans="1:8" s="15" customFormat="1" ht="12" customHeight="1" x14ac:dyDescent="0.2">
      <c r="A77" s="31"/>
      <c r="B77" s="31"/>
      <c r="C77" s="43">
        <v>4270</v>
      </c>
      <c r="D77" s="123" t="s">
        <v>107</v>
      </c>
      <c r="E77" s="40">
        <v>2190000</v>
      </c>
      <c r="F77" s="40"/>
      <c r="G77" s="40">
        <v>2000</v>
      </c>
      <c r="H77" s="41">
        <f t="shared" ref="H77" si="21">SUM(E77+F77-G77)</f>
        <v>2188000</v>
      </c>
    </row>
    <row r="78" spans="1:8" s="15" customFormat="1" ht="12" customHeight="1" x14ac:dyDescent="0.2">
      <c r="A78" s="31"/>
      <c r="B78" s="35">
        <v>60021</v>
      </c>
      <c r="C78" s="25"/>
      <c r="D78" s="42" t="s">
        <v>115</v>
      </c>
      <c r="E78" s="46">
        <v>109530</v>
      </c>
      <c r="F78" s="46">
        <f>SUM(F79)</f>
        <v>18000</v>
      </c>
      <c r="G78" s="46">
        <f>SUM(G79)</f>
        <v>0</v>
      </c>
      <c r="H78" s="36">
        <f>SUM(E78+F78-G78)</f>
        <v>127530</v>
      </c>
    </row>
    <row r="79" spans="1:8" s="15" customFormat="1" ht="12" customHeight="1" x14ac:dyDescent="0.2">
      <c r="A79" s="31"/>
      <c r="B79" s="35"/>
      <c r="C79" s="126"/>
      <c r="D79" s="369" t="s">
        <v>105</v>
      </c>
      <c r="E79" s="132">
        <v>109530</v>
      </c>
      <c r="F79" s="132">
        <f>SUM(F80:F81)</f>
        <v>18000</v>
      </c>
      <c r="G79" s="132">
        <f>SUM(G80:G81)</f>
        <v>0</v>
      </c>
      <c r="H79" s="132">
        <f>SUM(E79+F79-G79)</f>
        <v>127530</v>
      </c>
    </row>
    <row r="80" spans="1:8" s="15" customFormat="1" ht="12" customHeight="1" x14ac:dyDescent="0.2">
      <c r="A80" s="31"/>
      <c r="B80" s="35"/>
      <c r="C80" s="44">
        <v>4260</v>
      </c>
      <c r="D80" s="38" t="s">
        <v>106</v>
      </c>
      <c r="E80" s="40">
        <v>18000</v>
      </c>
      <c r="F80" s="40">
        <v>15000</v>
      </c>
      <c r="G80" s="40"/>
      <c r="H80" s="41">
        <f t="shared" ref="H80:H82" si="22">SUM(E80+F80-G80)</f>
        <v>33000</v>
      </c>
    </row>
    <row r="81" spans="1:8" s="15" customFormat="1" ht="12" customHeight="1" x14ac:dyDescent="0.2">
      <c r="A81" s="31"/>
      <c r="B81" s="31"/>
      <c r="C81" s="44">
        <v>4300</v>
      </c>
      <c r="D81" s="38" t="s">
        <v>108</v>
      </c>
      <c r="E81" s="40">
        <v>88000</v>
      </c>
      <c r="F81" s="40">
        <v>3000</v>
      </c>
      <c r="G81" s="40"/>
      <c r="H81" s="41">
        <f t="shared" si="22"/>
        <v>91000</v>
      </c>
    </row>
    <row r="82" spans="1:8" s="15" customFormat="1" ht="12" customHeight="1" x14ac:dyDescent="0.2">
      <c r="A82" s="31"/>
      <c r="B82" s="35">
        <v>60095</v>
      </c>
      <c r="C82" s="25"/>
      <c r="D82" s="42" t="s">
        <v>12</v>
      </c>
      <c r="E82" s="46">
        <v>8182340</v>
      </c>
      <c r="F82" s="37">
        <f>SUM(F83)</f>
        <v>15200</v>
      </c>
      <c r="G82" s="37">
        <f>SUM(G83)</f>
        <v>84200</v>
      </c>
      <c r="H82" s="36">
        <f t="shared" si="22"/>
        <v>8113340</v>
      </c>
    </row>
    <row r="83" spans="1:8" s="15" customFormat="1" ht="12" customHeight="1" x14ac:dyDescent="0.2">
      <c r="A83" s="31"/>
      <c r="B83" s="35"/>
      <c r="C83" s="126"/>
      <c r="D83" s="369" t="s">
        <v>105</v>
      </c>
      <c r="E83" s="132">
        <v>4175880</v>
      </c>
      <c r="F83" s="132">
        <f>SUM(F84:F92)</f>
        <v>15200</v>
      </c>
      <c r="G83" s="132">
        <f>SUM(G84:G92)</f>
        <v>84200</v>
      </c>
      <c r="H83" s="132">
        <f>SUM(E83+F83-G83)</f>
        <v>4106880</v>
      </c>
    </row>
    <row r="84" spans="1:8" s="15" customFormat="1" ht="12" customHeight="1" x14ac:dyDescent="0.2">
      <c r="A84" s="31"/>
      <c r="B84" s="35"/>
      <c r="C84" s="44">
        <v>3020</v>
      </c>
      <c r="D84" s="38" t="s">
        <v>116</v>
      </c>
      <c r="E84" s="40">
        <v>30820</v>
      </c>
      <c r="F84" s="40">
        <v>2000</v>
      </c>
      <c r="G84" s="40"/>
      <c r="H84" s="41">
        <f t="shared" ref="H84:H92" si="23">SUM(E84+F84-G84)</f>
        <v>32820</v>
      </c>
    </row>
    <row r="85" spans="1:8" s="15" customFormat="1" ht="12" customHeight="1" x14ac:dyDescent="0.2">
      <c r="A85" s="31"/>
      <c r="B85" s="35"/>
      <c r="C85" s="43">
        <v>4260</v>
      </c>
      <c r="D85" s="123" t="s">
        <v>106</v>
      </c>
      <c r="E85" s="40">
        <v>40500</v>
      </c>
      <c r="F85" s="40">
        <v>2000</v>
      </c>
      <c r="G85" s="40"/>
      <c r="H85" s="41">
        <f t="shared" si="23"/>
        <v>42500</v>
      </c>
    </row>
    <row r="86" spans="1:8" s="15" customFormat="1" ht="12" customHeight="1" x14ac:dyDescent="0.2">
      <c r="A86" s="31"/>
      <c r="B86" s="35"/>
      <c r="C86" s="43">
        <v>4270</v>
      </c>
      <c r="D86" s="123" t="s">
        <v>107</v>
      </c>
      <c r="E86" s="40">
        <v>8000</v>
      </c>
      <c r="F86" s="40">
        <v>2000</v>
      </c>
      <c r="G86" s="40"/>
      <c r="H86" s="41">
        <f t="shared" si="23"/>
        <v>10000</v>
      </c>
    </row>
    <row r="87" spans="1:8" s="15" customFormat="1" ht="12" customHeight="1" x14ac:dyDescent="0.2">
      <c r="A87" s="31"/>
      <c r="B87" s="35"/>
      <c r="C87" s="44">
        <v>4280</v>
      </c>
      <c r="D87" s="38" t="s">
        <v>117</v>
      </c>
      <c r="E87" s="40">
        <v>6300</v>
      </c>
      <c r="F87" s="40">
        <v>2000</v>
      </c>
      <c r="G87" s="40"/>
      <c r="H87" s="41">
        <f t="shared" si="23"/>
        <v>8300</v>
      </c>
    </row>
    <row r="88" spans="1:8" s="15" customFormat="1" ht="12" customHeight="1" x14ac:dyDescent="0.2">
      <c r="A88" s="31"/>
      <c r="B88" s="35"/>
      <c r="C88" s="43">
        <v>4300</v>
      </c>
      <c r="D88" s="123" t="s">
        <v>108</v>
      </c>
      <c r="E88" s="40">
        <v>170000</v>
      </c>
      <c r="F88" s="40">
        <v>6000</v>
      </c>
      <c r="G88" s="40"/>
      <c r="H88" s="41">
        <f t="shared" si="23"/>
        <v>176000</v>
      </c>
    </row>
    <row r="89" spans="1:8" s="15" customFormat="1" ht="12" customHeight="1" x14ac:dyDescent="0.2">
      <c r="A89" s="31"/>
      <c r="B89" s="35"/>
      <c r="C89" s="44">
        <v>4580</v>
      </c>
      <c r="D89" s="38" t="s">
        <v>118</v>
      </c>
      <c r="E89" s="40">
        <v>41500</v>
      </c>
      <c r="F89" s="40"/>
      <c r="G89" s="40">
        <v>12000</v>
      </c>
      <c r="H89" s="41">
        <f t="shared" si="23"/>
        <v>29500</v>
      </c>
    </row>
    <row r="90" spans="1:8" s="15" customFormat="1" ht="20.25" customHeight="1" x14ac:dyDescent="0.2">
      <c r="A90" s="31"/>
      <c r="B90" s="35"/>
      <c r="C90" s="118">
        <v>4600</v>
      </c>
      <c r="D90" s="119" t="s">
        <v>113</v>
      </c>
      <c r="E90" s="40">
        <v>112000</v>
      </c>
      <c r="F90" s="40"/>
      <c r="G90" s="40">
        <v>50000</v>
      </c>
      <c r="H90" s="41">
        <f t="shared" si="23"/>
        <v>62000</v>
      </c>
    </row>
    <row r="91" spans="1:8" s="15" customFormat="1" ht="20.25" customHeight="1" x14ac:dyDescent="0.2">
      <c r="A91" s="31"/>
      <c r="B91" s="35"/>
      <c r="C91" s="118">
        <v>4700</v>
      </c>
      <c r="D91" s="128" t="s">
        <v>119</v>
      </c>
      <c r="E91" s="40">
        <v>12000</v>
      </c>
      <c r="F91" s="40">
        <v>1200</v>
      </c>
      <c r="G91" s="40"/>
      <c r="H91" s="41">
        <f t="shared" si="23"/>
        <v>13200</v>
      </c>
    </row>
    <row r="92" spans="1:8" s="15" customFormat="1" ht="12" customHeight="1" x14ac:dyDescent="0.2">
      <c r="A92" s="113"/>
      <c r="B92" s="129"/>
      <c r="C92" s="130">
        <v>4710</v>
      </c>
      <c r="D92" s="96" t="s">
        <v>120</v>
      </c>
      <c r="E92" s="46">
        <v>30307</v>
      </c>
      <c r="F92" s="46"/>
      <c r="G92" s="46">
        <v>22200</v>
      </c>
      <c r="H92" s="36">
        <f t="shared" si="23"/>
        <v>8107</v>
      </c>
    </row>
    <row r="93" spans="1:8" s="15" customFormat="1" ht="12" customHeight="1" thickBot="1" x14ac:dyDescent="0.25">
      <c r="A93" s="30">
        <v>750</v>
      </c>
      <c r="B93" s="30"/>
      <c r="C93" s="32"/>
      <c r="D93" s="33" t="s">
        <v>65</v>
      </c>
      <c r="E93" s="29">
        <v>83245005.080000013</v>
      </c>
      <c r="F93" s="34">
        <f>SUM(F94,F99,F110,F113)</f>
        <v>90838</v>
      </c>
      <c r="G93" s="34">
        <f>SUM(G94,G99,G110,G113)</f>
        <v>40838</v>
      </c>
      <c r="H93" s="29">
        <f t="shared" ref="H93:H127" si="24">SUM(E93+F93-G93)</f>
        <v>83295005.080000013</v>
      </c>
    </row>
    <row r="94" spans="1:8" s="15" customFormat="1" ht="12" customHeight="1" thickTop="1" x14ac:dyDescent="0.2">
      <c r="A94" s="30"/>
      <c r="B94" s="25" t="s">
        <v>121</v>
      </c>
      <c r="C94" s="44"/>
      <c r="D94" s="42" t="s">
        <v>122</v>
      </c>
      <c r="E94" s="36">
        <v>31975439.280000001</v>
      </c>
      <c r="F94" s="36">
        <f>SUM(F95)</f>
        <v>25000</v>
      </c>
      <c r="G94" s="36">
        <f>SUM(G95)</f>
        <v>25000</v>
      </c>
      <c r="H94" s="36">
        <f t="shared" ref="H94:H99" si="25">SUM(E94+F94-G94)</f>
        <v>31975439.280000001</v>
      </c>
    </row>
    <row r="95" spans="1:8" s="15" customFormat="1" ht="12" customHeight="1" x14ac:dyDescent="0.2">
      <c r="A95" s="30"/>
      <c r="B95" s="44"/>
      <c r="C95" s="44"/>
      <c r="D95" s="369" t="s">
        <v>123</v>
      </c>
      <c r="E95" s="132">
        <v>27797860.690000001</v>
      </c>
      <c r="F95" s="374">
        <f>SUM(F96:F98)</f>
        <v>25000</v>
      </c>
      <c r="G95" s="374">
        <f>SUM(G96:G98)</f>
        <v>25000</v>
      </c>
      <c r="H95" s="374">
        <f t="shared" si="25"/>
        <v>27797860.690000001</v>
      </c>
    </row>
    <row r="96" spans="1:8" s="15" customFormat="1" ht="12" customHeight="1" x14ac:dyDescent="0.2">
      <c r="A96" s="30"/>
      <c r="B96" s="44"/>
      <c r="C96" s="44">
        <v>3020</v>
      </c>
      <c r="D96" s="38" t="s">
        <v>116</v>
      </c>
      <c r="E96" s="104">
        <v>65100</v>
      </c>
      <c r="F96" s="104">
        <v>25000</v>
      </c>
      <c r="G96" s="104"/>
      <c r="H96" s="104">
        <f t="shared" si="25"/>
        <v>90100</v>
      </c>
    </row>
    <row r="97" spans="1:8" s="15" customFormat="1" ht="12" customHeight="1" x14ac:dyDescent="0.2">
      <c r="A97" s="30"/>
      <c r="B97" s="44"/>
      <c r="C97" s="44">
        <v>4410</v>
      </c>
      <c r="D97" s="131" t="s">
        <v>124</v>
      </c>
      <c r="E97" s="104">
        <v>65000</v>
      </c>
      <c r="F97" s="104"/>
      <c r="G97" s="104">
        <v>15000</v>
      </c>
      <c r="H97" s="104">
        <f t="shared" si="25"/>
        <v>50000</v>
      </c>
    </row>
    <row r="98" spans="1:8" s="15" customFormat="1" ht="12" customHeight="1" x14ac:dyDescent="0.2">
      <c r="A98" s="30"/>
      <c r="B98" s="44"/>
      <c r="C98" s="44">
        <v>4610</v>
      </c>
      <c r="D98" s="127" t="s">
        <v>114</v>
      </c>
      <c r="E98" s="104">
        <v>86970</v>
      </c>
      <c r="F98" s="104"/>
      <c r="G98" s="104">
        <v>10000</v>
      </c>
      <c r="H98" s="104">
        <f t="shared" si="25"/>
        <v>76970</v>
      </c>
    </row>
    <row r="99" spans="1:8" s="15" customFormat="1" ht="12" customHeight="1" x14ac:dyDescent="0.2">
      <c r="A99" s="30"/>
      <c r="B99" s="43">
        <v>75058</v>
      </c>
      <c r="C99" s="121"/>
      <c r="D99" s="124" t="s">
        <v>125</v>
      </c>
      <c r="E99" s="36">
        <v>99052.63</v>
      </c>
      <c r="F99" s="36">
        <f>SUM(F100,F105)</f>
        <v>3050</v>
      </c>
      <c r="G99" s="36">
        <f>SUM(G100,G105)</f>
        <v>50</v>
      </c>
      <c r="H99" s="36">
        <f t="shared" si="25"/>
        <v>102052.63</v>
      </c>
    </row>
    <row r="100" spans="1:8" s="15" customFormat="1" ht="12" customHeight="1" x14ac:dyDescent="0.2">
      <c r="A100" s="30"/>
      <c r="B100" s="123"/>
      <c r="C100" s="25"/>
      <c r="D100" s="375" t="s">
        <v>67</v>
      </c>
      <c r="E100" s="132">
        <v>3764.63</v>
      </c>
      <c r="F100" s="370">
        <f>SUM(F101:F101)</f>
        <v>3000</v>
      </c>
      <c r="G100" s="370">
        <f>SUM(G101:G101)</f>
        <v>0</v>
      </c>
      <c r="H100" s="132">
        <f>SUM(E100+F100-G100)</f>
        <v>6764.63</v>
      </c>
    </row>
    <row r="101" spans="1:8" s="15" customFormat="1" ht="12" customHeight="1" x14ac:dyDescent="0.2">
      <c r="A101" s="30"/>
      <c r="B101" s="31"/>
      <c r="C101" s="44">
        <v>4420</v>
      </c>
      <c r="D101" s="131" t="s">
        <v>126</v>
      </c>
      <c r="E101" s="40">
        <v>3156.63</v>
      </c>
      <c r="F101" s="39">
        <v>3000</v>
      </c>
      <c r="G101" s="39"/>
      <c r="H101" s="40">
        <f t="shared" ref="H101" si="26">SUM(E101+F101-G101)</f>
        <v>6156.63</v>
      </c>
    </row>
    <row r="102" spans="1:8" s="15" customFormat="1" ht="12" customHeight="1" x14ac:dyDescent="0.2">
      <c r="A102" s="30"/>
      <c r="B102" s="31"/>
      <c r="C102" s="121"/>
      <c r="D102" s="123" t="s">
        <v>127</v>
      </c>
      <c r="E102" s="41"/>
      <c r="F102" s="41"/>
      <c r="G102" s="41"/>
      <c r="H102" s="41"/>
    </row>
    <row r="103" spans="1:8" s="15" customFormat="1" ht="12" customHeight="1" x14ac:dyDescent="0.2">
      <c r="A103" s="30"/>
      <c r="B103" s="31"/>
      <c r="C103" s="121"/>
      <c r="D103" s="123" t="s">
        <v>128</v>
      </c>
      <c r="E103" s="41"/>
      <c r="F103" s="41"/>
      <c r="G103" s="41"/>
      <c r="H103" s="41"/>
    </row>
    <row r="104" spans="1:8" s="15" customFormat="1" ht="12" customHeight="1" x14ac:dyDescent="0.2">
      <c r="A104" s="30"/>
      <c r="B104" s="31"/>
      <c r="C104" s="121"/>
      <c r="D104" s="123" t="s">
        <v>129</v>
      </c>
      <c r="E104" s="41"/>
      <c r="F104" s="41"/>
      <c r="G104" s="41"/>
      <c r="H104" s="41"/>
    </row>
    <row r="105" spans="1:8" s="15" customFormat="1" ht="12" customHeight="1" x14ac:dyDescent="0.2">
      <c r="A105" s="30"/>
      <c r="B105" s="31"/>
      <c r="C105" s="25"/>
      <c r="D105" s="375" t="s">
        <v>130</v>
      </c>
      <c r="E105" s="132">
        <v>88198</v>
      </c>
      <c r="F105" s="370">
        <f>SUM(F106:F109)</f>
        <v>50</v>
      </c>
      <c r="G105" s="370">
        <f>SUM(G106:G109)</f>
        <v>50</v>
      </c>
      <c r="H105" s="132">
        <f>SUM(E105+F105-G105)</f>
        <v>88198</v>
      </c>
    </row>
    <row r="106" spans="1:8" s="15" customFormat="1" ht="12" customHeight="1" x14ac:dyDescent="0.2">
      <c r="A106" s="30"/>
      <c r="B106" s="31"/>
      <c r="C106" s="43">
        <v>4418</v>
      </c>
      <c r="D106" s="123" t="s">
        <v>124</v>
      </c>
      <c r="E106" s="40">
        <v>1020</v>
      </c>
      <c r="F106" s="39"/>
      <c r="G106" s="39">
        <v>40</v>
      </c>
      <c r="H106" s="40">
        <f t="shared" ref="H106:H109" si="27">SUM(E106+F106-G106)</f>
        <v>980</v>
      </c>
    </row>
    <row r="107" spans="1:8" s="15" customFormat="1" ht="12" customHeight="1" x14ac:dyDescent="0.2">
      <c r="A107" s="30"/>
      <c r="B107" s="31"/>
      <c r="C107" s="43">
        <v>4419</v>
      </c>
      <c r="D107" s="123" t="s">
        <v>124</v>
      </c>
      <c r="E107" s="40">
        <v>180</v>
      </c>
      <c r="F107" s="39"/>
      <c r="G107" s="39">
        <v>10</v>
      </c>
      <c r="H107" s="40">
        <f t="shared" si="27"/>
        <v>170</v>
      </c>
    </row>
    <row r="108" spans="1:8" s="15" customFormat="1" ht="12" customHeight="1" x14ac:dyDescent="0.2">
      <c r="A108" s="30"/>
      <c r="B108" s="31"/>
      <c r="C108" s="43">
        <v>4718</v>
      </c>
      <c r="D108" s="123" t="s">
        <v>120</v>
      </c>
      <c r="E108" s="40">
        <v>68</v>
      </c>
      <c r="F108" s="39">
        <v>40</v>
      </c>
      <c r="G108" s="39"/>
      <c r="H108" s="40">
        <f t="shared" si="27"/>
        <v>108</v>
      </c>
    </row>
    <row r="109" spans="1:8" s="15" customFormat="1" ht="12" customHeight="1" x14ac:dyDescent="0.2">
      <c r="A109" s="30"/>
      <c r="B109" s="31"/>
      <c r="C109" s="43">
        <v>4719</v>
      </c>
      <c r="D109" s="123" t="s">
        <v>120</v>
      </c>
      <c r="E109" s="40">
        <v>12</v>
      </c>
      <c r="F109" s="39">
        <v>10</v>
      </c>
      <c r="G109" s="39"/>
      <c r="H109" s="40">
        <f t="shared" si="27"/>
        <v>22</v>
      </c>
    </row>
    <row r="110" spans="1:8" s="15" customFormat="1" ht="12" customHeight="1" x14ac:dyDescent="0.2">
      <c r="A110" s="30"/>
      <c r="B110" s="43">
        <v>75079</v>
      </c>
      <c r="C110" s="43"/>
      <c r="D110" s="96" t="s">
        <v>66</v>
      </c>
      <c r="E110" s="36">
        <v>0</v>
      </c>
      <c r="F110" s="37">
        <f t="shared" ref="F110:G110" si="28">SUM(F111)</f>
        <v>50000</v>
      </c>
      <c r="G110" s="37">
        <f t="shared" si="28"/>
        <v>0</v>
      </c>
      <c r="H110" s="36">
        <f>SUM(E110+F110-G110)</f>
        <v>50000</v>
      </c>
    </row>
    <row r="111" spans="1:8" s="15" customFormat="1" ht="12" customHeight="1" x14ac:dyDescent="0.2">
      <c r="A111" s="30"/>
      <c r="B111" s="35"/>
      <c r="C111" s="25"/>
      <c r="D111" s="369" t="s">
        <v>67</v>
      </c>
      <c r="E111" s="132">
        <v>0</v>
      </c>
      <c r="F111" s="370">
        <f>SUM(F112)</f>
        <v>50000</v>
      </c>
      <c r="G111" s="370">
        <f>SUM(G112)</f>
        <v>0</v>
      </c>
      <c r="H111" s="132">
        <f t="shared" ref="H111:H112" si="29">SUM(E111+F111-G111)</f>
        <v>50000</v>
      </c>
    </row>
    <row r="112" spans="1:8" s="15" customFormat="1" ht="23.25" customHeight="1" x14ac:dyDescent="0.2">
      <c r="A112" s="30"/>
      <c r="B112" s="31"/>
      <c r="C112" s="133" t="s">
        <v>131</v>
      </c>
      <c r="D112" s="128" t="s">
        <v>132</v>
      </c>
      <c r="E112" s="98">
        <v>0</v>
      </c>
      <c r="F112" s="98">
        <v>50000</v>
      </c>
      <c r="G112" s="99"/>
      <c r="H112" s="98">
        <f t="shared" si="29"/>
        <v>50000</v>
      </c>
    </row>
    <row r="113" spans="1:8" s="15" customFormat="1" ht="12" customHeight="1" x14ac:dyDescent="0.2">
      <c r="A113" s="35"/>
      <c r="B113" s="25" t="s">
        <v>133</v>
      </c>
      <c r="C113" s="44"/>
      <c r="D113" s="42" t="s">
        <v>12</v>
      </c>
      <c r="E113" s="36">
        <v>35845475.170000002</v>
      </c>
      <c r="F113" s="37">
        <f>SUM(F114,F117)</f>
        <v>12788</v>
      </c>
      <c r="G113" s="37">
        <f>SUM(G114,G117)</f>
        <v>15788</v>
      </c>
      <c r="H113" s="36">
        <f t="shared" si="24"/>
        <v>35842475.170000002</v>
      </c>
    </row>
    <row r="114" spans="1:8" s="15" customFormat="1" ht="12" customHeight="1" x14ac:dyDescent="0.2">
      <c r="A114" s="35"/>
      <c r="B114" s="25"/>
      <c r="C114" s="44"/>
      <c r="D114" s="369" t="s">
        <v>67</v>
      </c>
      <c r="E114" s="374">
        <v>265000</v>
      </c>
      <c r="F114" s="370">
        <f>SUM(F115:F116)</f>
        <v>0</v>
      </c>
      <c r="G114" s="370">
        <f>SUM(G115:G116)</f>
        <v>3000</v>
      </c>
      <c r="H114" s="132">
        <f>SUM(E114+F114-G114)</f>
        <v>262000</v>
      </c>
    </row>
    <row r="115" spans="1:8" s="15" customFormat="1" ht="12" customHeight="1" x14ac:dyDescent="0.2">
      <c r="A115" s="35"/>
      <c r="B115" s="25"/>
      <c r="C115" s="44">
        <v>4170</v>
      </c>
      <c r="D115" s="131" t="s">
        <v>134</v>
      </c>
      <c r="E115" s="40">
        <v>3000</v>
      </c>
      <c r="F115" s="39"/>
      <c r="G115" s="39">
        <v>2000</v>
      </c>
      <c r="H115" s="40">
        <f t="shared" ref="H115:H116" si="30">SUM(E115+F115-G115)</f>
        <v>1000</v>
      </c>
    </row>
    <row r="116" spans="1:8" s="15" customFormat="1" ht="12" customHeight="1" x14ac:dyDescent="0.2">
      <c r="A116" s="35"/>
      <c r="B116" s="25"/>
      <c r="C116" s="134" t="s">
        <v>23</v>
      </c>
      <c r="D116" s="131" t="s">
        <v>135</v>
      </c>
      <c r="E116" s="40">
        <v>2000</v>
      </c>
      <c r="F116" s="39"/>
      <c r="G116" s="39">
        <v>1000</v>
      </c>
      <c r="H116" s="40">
        <f t="shared" si="30"/>
        <v>1000</v>
      </c>
    </row>
    <row r="117" spans="1:8" s="15" customFormat="1" ht="33" customHeight="1" x14ac:dyDescent="0.2">
      <c r="A117" s="35"/>
      <c r="B117" s="35"/>
      <c r="C117" s="43"/>
      <c r="D117" s="376" t="s">
        <v>136</v>
      </c>
      <c r="E117" s="374">
        <v>372334.01</v>
      </c>
      <c r="F117" s="374">
        <f>SUM(F118:F127)</f>
        <v>12788</v>
      </c>
      <c r="G117" s="374">
        <f>SUM(G118:G127)</f>
        <v>12788</v>
      </c>
      <c r="H117" s="374">
        <f t="shared" si="24"/>
        <v>372334.01</v>
      </c>
    </row>
    <row r="118" spans="1:8" s="15" customFormat="1" ht="12" customHeight="1" x14ac:dyDescent="0.2">
      <c r="A118" s="35"/>
      <c r="B118" s="35"/>
      <c r="C118" s="44">
        <v>4016</v>
      </c>
      <c r="D118" s="38" t="s">
        <v>137</v>
      </c>
      <c r="E118" s="104">
        <v>19190.91</v>
      </c>
      <c r="F118" s="135">
        <v>1419</v>
      </c>
      <c r="G118" s="104"/>
      <c r="H118" s="104">
        <f t="shared" ref="H118:H121" si="31">SUM(E118+F118-G118)</f>
        <v>20609.91</v>
      </c>
    </row>
    <row r="119" spans="1:8" s="15" customFormat="1" ht="12" customHeight="1" x14ac:dyDescent="0.2">
      <c r="A119" s="35"/>
      <c r="B119" s="35"/>
      <c r="C119" s="44">
        <v>4017</v>
      </c>
      <c r="D119" s="38" t="s">
        <v>137</v>
      </c>
      <c r="E119" s="104">
        <v>108748.48</v>
      </c>
      <c r="F119" s="40">
        <v>7994</v>
      </c>
      <c r="G119" s="104"/>
      <c r="H119" s="104">
        <f t="shared" si="31"/>
        <v>116742.48</v>
      </c>
    </row>
    <row r="120" spans="1:8" s="15" customFormat="1" ht="12" customHeight="1" x14ac:dyDescent="0.2">
      <c r="A120" s="35"/>
      <c r="B120" s="35"/>
      <c r="C120" s="44">
        <v>4116</v>
      </c>
      <c r="D120" s="38" t="s">
        <v>138</v>
      </c>
      <c r="E120" s="104">
        <v>3323.76</v>
      </c>
      <c r="F120" s="135">
        <v>207</v>
      </c>
      <c r="G120" s="104"/>
      <c r="H120" s="104">
        <f t="shared" si="31"/>
        <v>3530.76</v>
      </c>
    </row>
    <row r="121" spans="1:8" s="15" customFormat="1" ht="12" customHeight="1" x14ac:dyDescent="0.2">
      <c r="A121" s="35"/>
      <c r="B121" s="35"/>
      <c r="C121" s="44">
        <v>4117</v>
      </c>
      <c r="D121" s="38" t="s">
        <v>138</v>
      </c>
      <c r="E121" s="104">
        <v>18834.64</v>
      </c>
      <c r="F121" s="40">
        <v>1168</v>
      </c>
      <c r="G121" s="104"/>
      <c r="H121" s="104">
        <f t="shared" si="31"/>
        <v>20002.64</v>
      </c>
    </row>
    <row r="122" spans="1:8" s="15" customFormat="1" ht="12" customHeight="1" x14ac:dyDescent="0.2">
      <c r="A122" s="35"/>
      <c r="B122" s="35"/>
      <c r="C122" s="44">
        <v>4306</v>
      </c>
      <c r="D122" s="38" t="s">
        <v>108</v>
      </c>
      <c r="E122" s="104">
        <v>28992.39</v>
      </c>
      <c r="F122" s="135"/>
      <c r="G122" s="104">
        <v>1626</v>
      </c>
      <c r="H122" s="104">
        <f t="shared" si="24"/>
        <v>27366.39</v>
      </c>
    </row>
    <row r="123" spans="1:8" s="15" customFormat="1" ht="12" customHeight="1" x14ac:dyDescent="0.2">
      <c r="A123" s="35"/>
      <c r="B123" s="35"/>
      <c r="C123" s="44">
        <v>4307</v>
      </c>
      <c r="D123" s="38" t="s">
        <v>108</v>
      </c>
      <c r="E123" s="104">
        <v>164290.22</v>
      </c>
      <c r="F123" s="40"/>
      <c r="G123" s="104">
        <v>9162</v>
      </c>
      <c r="H123" s="104">
        <f t="shared" si="24"/>
        <v>155128.22</v>
      </c>
    </row>
    <row r="124" spans="1:8" s="15" customFormat="1" ht="12" customHeight="1" x14ac:dyDescent="0.2">
      <c r="A124" s="35"/>
      <c r="B124" s="35"/>
      <c r="C124" s="43">
        <v>4416</v>
      </c>
      <c r="D124" s="123" t="s">
        <v>139</v>
      </c>
      <c r="E124" s="104">
        <v>1365</v>
      </c>
      <c r="F124" s="40"/>
      <c r="G124" s="104">
        <v>300</v>
      </c>
      <c r="H124" s="104">
        <f t="shared" si="24"/>
        <v>1065</v>
      </c>
    </row>
    <row r="125" spans="1:8" s="15" customFormat="1" ht="12" customHeight="1" x14ac:dyDescent="0.2">
      <c r="A125" s="35"/>
      <c r="B125" s="35"/>
      <c r="C125" s="43">
        <v>4417</v>
      </c>
      <c r="D125" s="123" t="s">
        <v>139</v>
      </c>
      <c r="E125" s="104">
        <v>7735</v>
      </c>
      <c r="F125" s="40"/>
      <c r="G125" s="104">
        <v>1700</v>
      </c>
      <c r="H125" s="104">
        <f t="shared" si="24"/>
        <v>6035</v>
      </c>
    </row>
    <row r="126" spans="1:8" s="15" customFormat="1" ht="21" customHeight="1" x14ac:dyDescent="0.2">
      <c r="A126" s="35"/>
      <c r="B126" s="35"/>
      <c r="C126" s="118">
        <v>4706</v>
      </c>
      <c r="D126" s="128" t="s">
        <v>140</v>
      </c>
      <c r="E126" s="104">
        <v>0</v>
      </c>
      <c r="F126" s="104">
        <v>300</v>
      </c>
      <c r="G126" s="104"/>
      <c r="H126" s="104">
        <f t="shared" si="24"/>
        <v>300</v>
      </c>
    </row>
    <row r="127" spans="1:8" s="15" customFormat="1" ht="21" customHeight="1" x14ac:dyDescent="0.2">
      <c r="A127" s="35"/>
      <c r="B127" s="35"/>
      <c r="C127" s="118">
        <v>4707</v>
      </c>
      <c r="D127" s="128" t="s">
        <v>140</v>
      </c>
      <c r="E127" s="104">
        <v>0</v>
      </c>
      <c r="F127" s="104">
        <v>1700</v>
      </c>
      <c r="G127" s="104"/>
      <c r="H127" s="104">
        <f t="shared" si="24"/>
        <v>1700</v>
      </c>
    </row>
    <row r="128" spans="1:8" s="15" customFormat="1" ht="12" customHeight="1" x14ac:dyDescent="0.2">
      <c r="A128" s="136">
        <v>754</v>
      </c>
      <c r="B128" s="137"/>
      <c r="C128" s="138"/>
      <c r="D128" s="139" t="s">
        <v>141</v>
      </c>
      <c r="E128" s="39"/>
      <c r="F128" s="40"/>
      <c r="G128" s="40"/>
      <c r="H128" s="41"/>
    </row>
    <row r="129" spans="1:8" s="15" customFormat="1" ht="12" customHeight="1" thickBot="1" x14ac:dyDescent="0.25">
      <c r="A129" s="136"/>
      <c r="B129" s="137"/>
      <c r="C129" s="138"/>
      <c r="D129" s="139" t="s">
        <v>71</v>
      </c>
      <c r="E129" s="29">
        <v>6653913</v>
      </c>
      <c r="F129" s="34">
        <f>SUM(F130)</f>
        <v>28500</v>
      </c>
      <c r="G129" s="34">
        <f>SUM(G130)</f>
        <v>41176.83</v>
      </c>
      <c r="H129" s="29">
        <f>SUM(E129+F129-G129)</f>
        <v>6641236.1699999999</v>
      </c>
    </row>
    <row r="130" spans="1:8" s="15" customFormat="1" ht="12" customHeight="1" thickTop="1" x14ac:dyDescent="0.2">
      <c r="A130" s="24"/>
      <c r="B130" s="25" t="s">
        <v>72</v>
      </c>
      <c r="C130" s="44"/>
      <c r="D130" s="42" t="s">
        <v>73</v>
      </c>
      <c r="E130" s="36">
        <v>159522.00000000003</v>
      </c>
      <c r="F130" s="37">
        <f>SUM(F131,F133)</f>
        <v>28500</v>
      </c>
      <c r="G130" s="37">
        <f>SUM(G131,G133)</f>
        <v>41176.83</v>
      </c>
      <c r="H130" s="36">
        <f>SUM(E130+F130-G130)</f>
        <v>146845.17000000004</v>
      </c>
    </row>
    <row r="131" spans="1:8" s="15" customFormat="1" ht="12" customHeight="1" x14ac:dyDescent="0.2">
      <c r="A131" s="24"/>
      <c r="B131" s="25"/>
      <c r="C131" s="134"/>
      <c r="D131" s="377" t="s">
        <v>76</v>
      </c>
      <c r="E131" s="374">
        <v>60686.83</v>
      </c>
      <c r="F131" s="374">
        <f>SUM(F132:F132)</f>
        <v>0</v>
      </c>
      <c r="G131" s="374">
        <f>SUM(G132:G132)</f>
        <v>12676.83</v>
      </c>
      <c r="H131" s="132">
        <f>SUM(E131+F131-G131)</f>
        <v>48010</v>
      </c>
    </row>
    <row r="132" spans="1:8" s="15" customFormat="1" ht="12" customHeight="1" x14ac:dyDescent="0.2">
      <c r="A132" s="24"/>
      <c r="B132" s="25"/>
      <c r="C132" s="35">
        <v>4370</v>
      </c>
      <c r="D132" s="35" t="s">
        <v>142</v>
      </c>
      <c r="E132" s="40">
        <v>50686.83</v>
      </c>
      <c r="F132" s="40"/>
      <c r="G132" s="40">
        <v>12676.83</v>
      </c>
      <c r="H132" s="41">
        <f t="shared" ref="H132:H135" si="32">SUM(E132+F132-G132)</f>
        <v>38010</v>
      </c>
    </row>
    <row r="133" spans="1:8" s="15" customFormat="1" ht="12" customHeight="1" x14ac:dyDescent="0.2">
      <c r="A133" s="24"/>
      <c r="B133" s="25"/>
      <c r="C133" s="134"/>
      <c r="D133" s="377" t="s">
        <v>143</v>
      </c>
      <c r="E133" s="132">
        <v>28500</v>
      </c>
      <c r="F133" s="370">
        <f>SUM(F134:F135)</f>
        <v>28500</v>
      </c>
      <c r="G133" s="370">
        <f>SUM(G134:G135)</f>
        <v>28500</v>
      </c>
      <c r="H133" s="132">
        <f t="shared" si="32"/>
        <v>28500</v>
      </c>
    </row>
    <row r="134" spans="1:8" s="15" customFormat="1" ht="12" customHeight="1" x14ac:dyDescent="0.2">
      <c r="A134" s="24"/>
      <c r="B134" s="25"/>
      <c r="C134" s="44">
        <v>6060</v>
      </c>
      <c r="D134" s="38" t="s">
        <v>144</v>
      </c>
      <c r="E134" s="40">
        <v>28500</v>
      </c>
      <c r="F134" s="104"/>
      <c r="G134" s="104">
        <v>28500</v>
      </c>
      <c r="H134" s="104">
        <f t="shared" si="32"/>
        <v>0</v>
      </c>
    </row>
    <row r="135" spans="1:8" s="15" customFormat="1" ht="20.25" customHeight="1" x14ac:dyDescent="0.2">
      <c r="A135" s="24"/>
      <c r="B135" s="25"/>
      <c r="C135" s="140">
        <v>6490</v>
      </c>
      <c r="D135" s="119" t="s">
        <v>145</v>
      </c>
      <c r="E135" s="40">
        <v>0</v>
      </c>
      <c r="F135" s="40">
        <v>28500</v>
      </c>
      <c r="G135" s="40"/>
      <c r="H135" s="104">
        <f t="shared" si="32"/>
        <v>28500</v>
      </c>
    </row>
    <row r="136" spans="1:8" s="15" customFormat="1" ht="12" customHeight="1" thickBot="1" x14ac:dyDescent="0.25">
      <c r="A136" s="31">
        <v>758</v>
      </c>
      <c r="B136" s="31"/>
      <c r="C136" s="32"/>
      <c r="D136" s="33" t="s">
        <v>77</v>
      </c>
      <c r="E136" s="29">
        <v>18059900.719999999</v>
      </c>
      <c r="F136" s="34">
        <f>SUM(F137)</f>
        <v>0</v>
      </c>
      <c r="G136" s="34">
        <f>SUM(G137)</f>
        <v>1838846</v>
      </c>
      <c r="H136" s="29">
        <f>SUM(E136+F136-G136)</f>
        <v>16221054.719999999</v>
      </c>
    </row>
    <row r="137" spans="1:8" s="15" customFormat="1" ht="12" customHeight="1" thickTop="1" x14ac:dyDescent="0.2">
      <c r="A137" s="95"/>
      <c r="B137" s="35">
        <v>75818</v>
      </c>
      <c r="C137" s="25"/>
      <c r="D137" s="111" t="s">
        <v>146</v>
      </c>
      <c r="E137" s="36">
        <v>18059900.719999999</v>
      </c>
      <c r="F137" s="37">
        <f>SUM(F138)</f>
        <v>0</v>
      </c>
      <c r="G137" s="37">
        <f>SUM(G138)</f>
        <v>1838846</v>
      </c>
      <c r="H137" s="36">
        <f>SUM(E137+F137-G137)</f>
        <v>16221054.719999999</v>
      </c>
    </row>
    <row r="138" spans="1:8" s="15" customFormat="1" ht="12" customHeight="1" x14ac:dyDescent="0.2">
      <c r="A138" s="95"/>
      <c r="B138" s="35"/>
      <c r="C138" s="25" t="s">
        <v>147</v>
      </c>
      <c r="D138" s="108" t="s">
        <v>148</v>
      </c>
      <c r="E138" s="141">
        <v>15818084.41</v>
      </c>
      <c r="F138" s="141">
        <f>SUM(F139:F139)</f>
        <v>0</v>
      </c>
      <c r="G138" s="141">
        <f>SUM(G139:G139)</f>
        <v>1838846</v>
      </c>
      <c r="H138" s="141">
        <f>SUM(E138+F138-G138)</f>
        <v>13979238.41</v>
      </c>
    </row>
    <row r="139" spans="1:8" s="15" customFormat="1" ht="12" customHeight="1" x14ac:dyDescent="0.2">
      <c r="A139" s="95"/>
      <c r="B139" s="35"/>
      <c r="C139" s="25"/>
      <c r="D139" s="131" t="s">
        <v>149</v>
      </c>
      <c r="E139" s="40">
        <v>14244877.539999999</v>
      </c>
      <c r="F139" s="40"/>
      <c r="G139" s="40">
        <f>1663990+125000+22501+13752+13603</f>
        <v>1838846</v>
      </c>
      <c r="H139" s="40">
        <f t="shared" ref="H139" si="33">SUM(E139+F139-G139)</f>
        <v>12406031.539999999</v>
      </c>
    </row>
    <row r="140" spans="1:8" s="15" customFormat="1" ht="12" customHeight="1" thickBot="1" x14ac:dyDescent="0.25">
      <c r="A140" s="31">
        <v>801</v>
      </c>
      <c r="B140" s="31"/>
      <c r="C140" s="32"/>
      <c r="D140" s="33" t="s">
        <v>150</v>
      </c>
      <c r="E140" s="29">
        <v>303194016.36999995</v>
      </c>
      <c r="F140" s="34">
        <f>SUM(F141,F169,F183,F190,F216,F228,F237,F245,F271,F274,F288,F309,F320,F334,F341,F344,F347,F351,F364,F377,F386,F399)</f>
        <v>4001415.3499999992</v>
      </c>
      <c r="G140" s="34">
        <f>SUM(G141,G169,G183,G190,G216,G228,G237,G245,G271,G274,G288,G309,G320,G334,G341,G344,G347,G351,G364,G377,G386,G399)</f>
        <v>2123543.3499999996</v>
      </c>
      <c r="H140" s="29">
        <f>SUM(E140+F140-G140)</f>
        <v>305071888.36999995</v>
      </c>
    </row>
    <row r="141" spans="1:8" s="15" customFormat="1" ht="12" customHeight="1" thickTop="1" x14ac:dyDescent="0.2">
      <c r="A141" s="31"/>
      <c r="B141" s="35">
        <v>80101</v>
      </c>
      <c r="C141" s="25"/>
      <c r="D141" s="42" t="s">
        <v>151</v>
      </c>
      <c r="E141" s="36">
        <v>83449119.730000004</v>
      </c>
      <c r="F141" s="37">
        <f>SUM(F142,F145,F162)</f>
        <v>1410867.4</v>
      </c>
      <c r="G141" s="37">
        <f>SUM(G145,G162)</f>
        <v>294348.90999999997</v>
      </c>
      <c r="H141" s="36">
        <f>SUM(E141+F141-G141)</f>
        <v>84565638.220000014</v>
      </c>
    </row>
    <row r="142" spans="1:8" s="15" customFormat="1" ht="12" customHeight="1" x14ac:dyDescent="0.2">
      <c r="A142" s="31"/>
      <c r="B142" s="35"/>
      <c r="C142" s="25"/>
      <c r="D142" s="377" t="s">
        <v>152</v>
      </c>
      <c r="E142" s="374">
        <v>7664397.5199999996</v>
      </c>
      <c r="F142" s="374">
        <f>SUM(F143:F144)</f>
        <v>638000</v>
      </c>
      <c r="G142" s="374">
        <f>SUM(G143:G144)</f>
        <v>0</v>
      </c>
      <c r="H142" s="374">
        <f t="shared" ref="H142:H144" si="34">SUM(E142+F142-G142)</f>
        <v>8302397.5199999996</v>
      </c>
    </row>
    <row r="143" spans="1:8" s="15" customFormat="1" ht="21.75" customHeight="1" x14ac:dyDescent="0.2">
      <c r="A143" s="31"/>
      <c r="B143" s="35"/>
      <c r="C143" s="118">
        <v>2540</v>
      </c>
      <c r="D143" s="119" t="s">
        <v>153</v>
      </c>
      <c r="E143" s="104">
        <v>2419563.79</v>
      </c>
      <c r="F143" s="104">
        <v>120000</v>
      </c>
      <c r="G143" s="104"/>
      <c r="H143" s="104">
        <f t="shared" si="34"/>
        <v>2539563.79</v>
      </c>
    </row>
    <row r="144" spans="1:8" s="15" customFormat="1" ht="31.5" customHeight="1" x14ac:dyDescent="0.2">
      <c r="A144" s="31"/>
      <c r="B144" s="35"/>
      <c r="C144" s="118">
        <v>2590</v>
      </c>
      <c r="D144" s="142" t="s">
        <v>154</v>
      </c>
      <c r="E144" s="40">
        <v>5220035.88</v>
      </c>
      <c r="F144" s="40">
        <v>518000</v>
      </c>
      <c r="G144" s="40"/>
      <c r="H144" s="39">
        <f t="shared" si="34"/>
        <v>5738035.8799999999</v>
      </c>
    </row>
    <row r="145" spans="1:8" s="15" customFormat="1" ht="12" customHeight="1" x14ac:dyDescent="0.2">
      <c r="A145" s="31"/>
      <c r="B145" s="35"/>
      <c r="C145" s="25"/>
      <c r="D145" s="369" t="s">
        <v>155</v>
      </c>
      <c r="E145" s="374">
        <v>73947358.879999995</v>
      </c>
      <c r="F145" s="374">
        <f>SUM(F146:F161)</f>
        <v>408400</v>
      </c>
      <c r="G145" s="374">
        <f>SUM(G146:G161)</f>
        <v>79746</v>
      </c>
      <c r="H145" s="132">
        <f>SUM(E145+F145-G145)</f>
        <v>74276012.879999995</v>
      </c>
    </row>
    <row r="146" spans="1:8" s="15" customFormat="1" ht="12" customHeight="1" x14ac:dyDescent="0.2">
      <c r="A146" s="113"/>
      <c r="B146" s="129"/>
      <c r="C146" s="130">
        <v>3020</v>
      </c>
      <c r="D146" s="42" t="s">
        <v>116</v>
      </c>
      <c r="E146" s="46">
        <v>502419</v>
      </c>
      <c r="F146" s="46"/>
      <c r="G146" s="46">
        <v>9344</v>
      </c>
      <c r="H146" s="36">
        <f t="shared" ref="H146:H161" si="35">SUM(E146+F146-G146)</f>
        <v>493075</v>
      </c>
    </row>
    <row r="147" spans="1:8" s="15" customFormat="1" ht="12" customHeight="1" x14ac:dyDescent="0.2">
      <c r="A147" s="31"/>
      <c r="B147" s="35"/>
      <c r="C147" s="44">
        <v>4010</v>
      </c>
      <c r="D147" s="38" t="s">
        <v>137</v>
      </c>
      <c r="E147" s="40">
        <v>8704340</v>
      </c>
      <c r="F147" s="40">
        <v>210900</v>
      </c>
      <c r="G147" s="40"/>
      <c r="H147" s="41">
        <f t="shared" si="35"/>
        <v>8915240</v>
      </c>
    </row>
    <row r="148" spans="1:8" s="15" customFormat="1" ht="12" customHeight="1" x14ac:dyDescent="0.2">
      <c r="A148" s="31"/>
      <c r="B148" s="35"/>
      <c r="C148" s="44">
        <v>4040</v>
      </c>
      <c r="D148" s="38" t="s">
        <v>156</v>
      </c>
      <c r="E148" s="40">
        <v>692687</v>
      </c>
      <c r="F148" s="40"/>
      <c r="G148" s="40">
        <f>15000+2100</f>
        <v>17100</v>
      </c>
      <c r="H148" s="41">
        <f t="shared" si="35"/>
        <v>675587</v>
      </c>
    </row>
    <row r="149" spans="1:8" s="15" customFormat="1" ht="12" customHeight="1" x14ac:dyDescent="0.2">
      <c r="A149" s="31"/>
      <c r="B149" s="35"/>
      <c r="C149" s="44">
        <v>4110</v>
      </c>
      <c r="D149" s="38" t="s">
        <v>138</v>
      </c>
      <c r="E149" s="40">
        <v>8969205.9399999995</v>
      </c>
      <c r="F149" s="40">
        <v>36500</v>
      </c>
      <c r="G149" s="40"/>
      <c r="H149" s="41">
        <f t="shared" si="35"/>
        <v>9005705.9399999995</v>
      </c>
    </row>
    <row r="150" spans="1:8" s="15" customFormat="1" ht="22.9" customHeight="1" x14ac:dyDescent="0.2">
      <c r="A150" s="31"/>
      <c r="B150" s="35"/>
      <c r="C150" s="143">
        <v>4140</v>
      </c>
      <c r="D150" s="128" t="s">
        <v>157</v>
      </c>
      <c r="E150" s="40">
        <v>40741</v>
      </c>
      <c r="F150" s="40"/>
      <c r="G150" s="40">
        <v>10000</v>
      </c>
      <c r="H150" s="41">
        <f t="shared" si="35"/>
        <v>30741</v>
      </c>
    </row>
    <row r="151" spans="1:8" s="15" customFormat="1" ht="12" customHeight="1" x14ac:dyDescent="0.2">
      <c r="A151" s="31"/>
      <c r="B151" s="35"/>
      <c r="C151" s="134" t="s">
        <v>23</v>
      </c>
      <c r="D151" s="131" t="s">
        <v>135</v>
      </c>
      <c r="E151" s="40">
        <v>658597</v>
      </c>
      <c r="F151" s="40">
        <v>4000</v>
      </c>
      <c r="G151" s="40">
        <v>902</v>
      </c>
      <c r="H151" s="41">
        <f t="shared" si="35"/>
        <v>661695</v>
      </c>
    </row>
    <row r="152" spans="1:8" s="15" customFormat="1" ht="12" customHeight="1" x14ac:dyDescent="0.2">
      <c r="A152" s="31"/>
      <c r="B152" s="35"/>
      <c r="C152" s="44">
        <v>4240</v>
      </c>
      <c r="D152" s="38" t="s">
        <v>158</v>
      </c>
      <c r="E152" s="39">
        <v>496966</v>
      </c>
      <c r="F152" s="39"/>
      <c r="G152" s="39">
        <v>4300</v>
      </c>
      <c r="H152" s="41">
        <f t="shared" si="35"/>
        <v>492666</v>
      </c>
    </row>
    <row r="153" spans="1:8" s="15" customFormat="1" ht="12" customHeight="1" x14ac:dyDescent="0.2">
      <c r="A153" s="31"/>
      <c r="B153" s="35"/>
      <c r="C153" s="44">
        <v>4260</v>
      </c>
      <c r="D153" s="38" t="s">
        <v>106</v>
      </c>
      <c r="E153" s="39">
        <v>4059286</v>
      </c>
      <c r="F153" s="39">
        <v>135000</v>
      </c>
      <c r="G153" s="39"/>
      <c r="H153" s="41">
        <f t="shared" si="35"/>
        <v>4194286</v>
      </c>
    </row>
    <row r="154" spans="1:8" s="15" customFormat="1" ht="12" customHeight="1" x14ac:dyDescent="0.2">
      <c r="A154" s="31"/>
      <c r="B154" s="35"/>
      <c r="C154" s="44">
        <v>4270</v>
      </c>
      <c r="D154" s="38" t="s">
        <v>107</v>
      </c>
      <c r="E154" s="39">
        <v>230228</v>
      </c>
      <c r="F154" s="39">
        <v>2100</v>
      </c>
      <c r="G154" s="39">
        <v>2500</v>
      </c>
      <c r="H154" s="41">
        <f t="shared" si="35"/>
        <v>229828</v>
      </c>
    </row>
    <row r="155" spans="1:8" s="15" customFormat="1" ht="12" customHeight="1" x14ac:dyDescent="0.2">
      <c r="A155" s="31"/>
      <c r="B155" s="35"/>
      <c r="C155" s="44">
        <v>4280</v>
      </c>
      <c r="D155" s="38" t="s">
        <v>117</v>
      </c>
      <c r="E155" s="39">
        <v>56677</v>
      </c>
      <c r="F155" s="39">
        <f>9800+700</f>
        <v>10500</v>
      </c>
      <c r="G155" s="39"/>
      <c r="H155" s="41">
        <f t="shared" si="35"/>
        <v>67177</v>
      </c>
    </row>
    <row r="156" spans="1:8" s="15" customFormat="1" ht="12" customHeight="1" x14ac:dyDescent="0.2">
      <c r="A156" s="31"/>
      <c r="B156" s="35"/>
      <c r="C156" s="35">
        <v>4300</v>
      </c>
      <c r="D156" s="38" t="s">
        <v>108</v>
      </c>
      <c r="E156" s="39">
        <v>844652</v>
      </c>
      <c r="F156" s="39">
        <v>8000</v>
      </c>
      <c r="G156" s="39">
        <v>4300</v>
      </c>
      <c r="H156" s="41">
        <f t="shared" si="35"/>
        <v>848352</v>
      </c>
    </row>
    <row r="157" spans="1:8" s="15" customFormat="1" ht="12" customHeight="1" x14ac:dyDescent="0.2">
      <c r="A157" s="31"/>
      <c r="B157" s="35"/>
      <c r="C157" s="44">
        <v>4360</v>
      </c>
      <c r="D157" s="38" t="s">
        <v>109</v>
      </c>
      <c r="E157" s="39">
        <v>54610</v>
      </c>
      <c r="F157" s="39">
        <v>1100</v>
      </c>
      <c r="G157" s="39"/>
      <c r="H157" s="41">
        <f t="shared" si="35"/>
        <v>55710</v>
      </c>
    </row>
    <row r="158" spans="1:8" s="15" customFormat="1" ht="12" customHeight="1" x14ac:dyDescent="0.2">
      <c r="A158" s="31"/>
      <c r="B158" s="35"/>
      <c r="C158" s="44">
        <v>4410</v>
      </c>
      <c r="D158" s="131" t="s">
        <v>124</v>
      </c>
      <c r="E158" s="39">
        <v>19828</v>
      </c>
      <c r="F158" s="39">
        <v>300</v>
      </c>
      <c r="G158" s="39"/>
      <c r="H158" s="41">
        <f t="shared" si="35"/>
        <v>20128</v>
      </c>
    </row>
    <row r="159" spans="1:8" s="15" customFormat="1" ht="21.6" customHeight="1" x14ac:dyDescent="0.2">
      <c r="A159" s="31"/>
      <c r="B159" s="35"/>
      <c r="C159" s="118">
        <v>4700</v>
      </c>
      <c r="D159" s="128" t="s">
        <v>119</v>
      </c>
      <c r="E159" s="39">
        <v>62621</v>
      </c>
      <c r="F159" s="39"/>
      <c r="G159" s="39">
        <v>700</v>
      </c>
      <c r="H159" s="41">
        <f t="shared" si="35"/>
        <v>61921</v>
      </c>
    </row>
    <row r="160" spans="1:8" s="15" customFormat="1" ht="12" customHeight="1" x14ac:dyDescent="0.2">
      <c r="A160" s="31"/>
      <c r="B160" s="35"/>
      <c r="C160" s="44">
        <v>4710</v>
      </c>
      <c r="D160" s="131" t="s">
        <v>120</v>
      </c>
      <c r="E160" s="39">
        <v>127449.18</v>
      </c>
      <c r="F160" s="39"/>
      <c r="G160" s="39">
        <v>10500</v>
      </c>
      <c r="H160" s="41">
        <f t="shared" si="35"/>
        <v>116949.18</v>
      </c>
    </row>
    <row r="161" spans="1:8" s="15" customFormat="1" ht="12" customHeight="1" x14ac:dyDescent="0.2">
      <c r="A161" s="31"/>
      <c r="B161" s="35"/>
      <c r="C161" s="43">
        <v>4800</v>
      </c>
      <c r="D161" s="144" t="s">
        <v>159</v>
      </c>
      <c r="E161" s="39">
        <v>3213900</v>
      </c>
      <c r="F161" s="39"/>
      <c r="G161" s="39">
        <f>11200+8900</f>
        <v>20100</v>
      </c>
      <c r="H161" s="41">
        <f t="shared" si="35"/>
        <v>3193800</v>
      </c>
    </row>
    <row r="162" spans="1:8" s="15" customFormat="1" ht="23.1" customHeight="1" x14ac:dyDescent="0.2">
      <c r="A162" s="31"/>
      <c r="B162" s="35"/>
      <c r="C162" s="25"/>
      <c r="D162" s="372" t="s">
        <v>160</v>
      </c>
      <c r="E162" s="374">
        <v>868885.79</v>
      </c>
      <c r="F162" s="374">
        <f>SUM(F163:F168)</f>
        <v>364467.4</v>
      </c>
      <c r="G162" s="374">
        <f>SUM(G163:G168)</f>
        <v>214602.90999999997</v>
      </c>
      <c r="H162" s="132">
        <f>SUM(E162+F162-G162)</f>
        <v>1018750.28</v>
      </c>
    </row>
    <row r="163" spans="1:8" s="15" customFormat="1" ht="23.1" customHeight="1" x14ac:dyDescent="0.2">
      <c r="A163" s="31"/>
      <c r="B163" s="35"/>
      <c r="C163" s="133" t="s">
        <v>131</v>
      </c>
      <c r="D163" s="128" t="s">
        <v>132</v>
      </c>
      <c r="E163" s="39">
        <v>6956.19</v>
      </c>
      <c r="F163" s="40">
        <v>152362</v>
      </c>
      <c r="G163" s="40"/>
      <c r="H163" s="41">
        <f t="shared" ref="H163:H168" si="36">SUM(E163+F163-G163)</f>
        <v>159318.19</v>
      </c>
    </row>
    <row r="164" spans="1:8" s="15" customFormat="1" ht="12" customHeight="1" x14ac:dyDescent="0.2">
      <c r="A164" s="31"/>
      <c r="B164" s="35"/>
      <c r="C164" s="35">
        <v>4370</v>
      </c>
      <c r="D164" s="35" t="s">
        <v>142</v>
      </c>
      <c r="E164" s="39">
        <v>0</v>
      </c>
      <c r="F164" s="40">
        <v>4832.25</v>
      </c>
      <c r="G164" s="40"/>
      <c r="H164" s="41">
        <f t="shared" si="36"/>
        <v>4832.25</v>
      </c>
    </row>
    <row r="165" spans="1:8" s="15" customFormat="1" ht="21" customHeight="1" x14ac:dyDescent="0.2">
      <c r="A165" s="31"/>
      <c r="B165" s="35"/>
      <c r="C165" s="118">
        <v>4740</v>
      </c>
      <c r="D165" s="119" t="s">
        <v>161</v>
      </c>
      <c r="E165" s="40">
        <v>47103.29</v>
      </c>
      <c r="F165" s="40"/>
      <c r="G165" s="40">
        <v>7052.34</v>
      </c>
      <c r="H165" s="41">
        <f t="shared" si="36"/>
        <v>40050.949999999997</v>
      </c>
    </row>
    <row r="166" spans="1:8" s="15" customFormat="1" ht="21.75" customHeight="1" x14ac:dyDescent="0.2">
      <c r="A166" s="31"/>
      <c r="B166" s="35"/>
      <c r="C166" s="118">
        <v>4750</v>
      </c>
      <c r="D166" s="119" t="s">
        <v>162</v>
      </c>
      <c r="E166" s="40">
        <v>652452.53999999992</v>
      </c>
      <c r="F166" s="40">
        <v>109303.95</v>
      </c>
      <c r="G166" s="40">
        <f>179292.49+18060.81</f>
        <v>197353.3</v>
      </c>
      <c r="H166" s="41">
        <f t="shared" si="36"/>
        <v>564403.18999999994</v>
      </c>
    </row>
    <row r="167" spans="1:8" s="15" customFormat="1" ht="23.1" customHeight="1" x14ac:dyDescent="0.2">
      <c r="A167" s="31"/>
      <c r="B167" s="35"/>
      <c r="C167" s="118">
        <v>4850</v>
      </c>
      <c r="D167" s="119" t="s">
        <v>163</v>
      </c>
      <c r="E167" s="40">
        <v>162373.76999999999</v>
      </c>
      <c r="F167" s="40">
        <v>57265.18</v>
      </c>
      <c r="G167" s="40">
        <v>10197.27</v>
      </c>
      <c r="H167" s="41">
        <f t="shared" si="36"/>
        <v>209441.68</v>
      </c>
    </row>
    <row r="168" spans="1:8" s="15" customFormat="1" ht="20.25" customHeight="1" x14ac:dyDescent="0.2">
      <c r="A168" s="31"/>
      <c r="B168" s="35"/>
      <c r="C168" s="118">
        <v>4860</v>
      </c>
      <c r="D168" s="119" t="s">
        <v>164</v>
      </c>
      <c r="E168" s="40">
        <v>0</v>
      </c>
      <c r="F168" s="40">
        <v>40704.019999999997</v>
      </c>
      <c r="G168" s="40"/>
      <c r="H168" s="41">
        <f t="shared" si="36"/>
        <v>40704.019999999997</v>
      </c>
    </row>
    <row r="169" spans="1:8" s="15" customFormat="1" ht="12" customHeight="1" x14ac:dyDescent="0.2">
      <c r="A169" s="31"/>
      <c r="B169" s="35">
        <v>80102</v>
      </c>
      <c r="C169" s="25"/>
      <c r="D169" s="42" t="s">
        <v>165</v>
      </c>
      <c r="E169" s="37">
        <v>10422616.02</v>
      </c>
      <c r="F169" s="37">
        <f>SUM(F170,F177)</f>
        <v>85200</v>
      </c>
      <c r="G169" s="37">
        <f>SUM(G170,G177)</f>
        <v>30700</v>
      </c>
      <c r="H169" s="36">
        <f>SUM(E169+F169-G169)</f>
        <v>10477116.02</v>
      </c>
    </row>
    <row r="170" spans="1:8" s="15" customFormat="1" ht="12" customHeight="1" x14ac:dyDescent="0.2">
      <c r="A170" s="31"/>
      <c r="B170" s="35"/>
      <c r="C170" s="25"/>
      <c r="D170" s="369" t="s">
        <v>155</v>
      </c>
      <c r="E170" s="374">
        <v>10401870.01</v>
      </c>
      <c r="F170" s="374">
        <f>SUM(F171:F176)</f>
        <v>71000</v>
      </c>
      <c r="G170" s="374">
        <f>SUM(G171:G176)</f>
        <v>16500</v>
      </c>
      <c r="H170" s="132">
        <f>SUM(E170+F170-G170)</f>
        <v>10456370.01</v>
      </c>
    </row>
    <row r="171" spans="1:8" s="15" customFormat="1" ht="12" customHeight="1" x14ac:dyDescent="0.2">
      <c r="A171" s="31"/>
      <c r="B171" s="35"/>
      <c r="C171" s="44">
        <v>4010</v>
      </c>
      <c r="D171" s="38" t="s">
        <v>137</v>
      </c>
      <c r="E171" s="40">
        <v>1121231</v>
      </c>
      <c r="F171" s="40">
        <v>67000</v>
      </c>
      <c r="G171" s="40"/>
      <c r="H171" s="40">
        <f t="shared" ref="H171:H176" si="37">SUM(E171+F171-G171)</f>
        <v>1188231</v>
      </c>
    </row>
    <row r="172" spans="1:8" s="15" customFormat="1" ht="12" customHeight="1" x14ac:dyDescent="0.2">
      <c r="A172" s="31"/>
      <c r="B172" s="35"/>
      <c r="C172" s="134" t="s">
        <v>23</v>
      </c>
      <c r="D172" s="131" t="s">
        <v>135</v>
      </c>
      <c r="E172" s="40">
        <v>33558</v>
      </c>
      <c r="F172" s="40">
        <v>4000</v>
      </c>
      <c r="G172" s="40"/>
      <c r="H172" s="40">
        <f t="shared" si="37"/>
        <v>37558</v>
      </c>
    </row>
    <row r="173" spans="1:8" s="15" customFormat="1" ht="12" customHeight="1" x14ac:dyDescent="0.2">
      <c r="A173" s="31"/>
      <c r="B173" s="35"/>
      <c r="C173" s="44">
        <v>4240</v>
      </c>
      <c r="D173" s="38" t="s">
        <v>158</v>
      </c>
      <c r="E173" s="40">
        <v>24591</v>
      </c>
      <c r="F173" s="40"/>
      <c r="G173" s="40">
        <v>6000</v>
      </c>
      <c r="H173" s="40">
        <f t="shared" si="37"/>
        <v>18591</v>
      </c>
    </row>
    <row r="174" spans="1:8" s="15" customFormat="1" ht="12" customHeight="1" x14ac:dyDescent="0.2">
      <c r="A174" s="31"/>
      <c r="B174" s="35"/>
      <c r="C174" s="44">
        <v>4270</v>
      </c>
      <c r="D174" s="38" t="s">
        <v>107</v>
      </c>
      <c r="E174" s="40">
        <v>8263</v>
      </c>
      <c r="F174" s="40"/>
      <c r="G174" s="40">
        <v>500</v>
      </c>
      <c r="H174" s="40">
        <f t="shared" si="37"/>
        <v>7763</v>
      </c>
    </row>
    <row r="175" spans="1:8" s="15" customFormat="1" ht="12" customHeight="1" x14ac:dyDescent="0.2">
      <c r="A175" s="31"/>
      <c r="B175" s="35"/>
      <c r="C175" s="44">
        <v>4710</v>
      </c>
      <c r="D175" s="131" t="s">
        <v>120</v>
      </c>
      <c r="E175" s="40">
        <v>22204</v>
      </c>
      <c r="F175" s="40"/>
      <c r="G175" s="40">
        <f>5000+3000</f>
        <v>8000</v>
      </c>
      <c r="H175" s="40">
        <f t="shared" si="37"/>
        <v>14204</v>
      </c>
    </row>
    <row r="176" spans="1:8" s="15" customFormat="1" ht="12" customHeight="1" x14ac:dyDescent="0.2">
      <c r="A176" s="31"/>
      <c r="B176" s="35"/>
      <c r="C176" s="43">
        <v>4800</v>
      </c>
      <c r="D176" s="144" t="s">
        <v>159</v>
      </c>
      <c r="E176" s="40">
        <v>578151</v>
      </c>
      <c r="F176" s="40"/>
      <c r="G176" s="40">
        <v>2000</v>
      </c>
      <c r="H176" s="40">
        <f t="shared" si="37"/>
        <v>576151</v>
      </c>
    </row>
    <row r="177" spans="1:8" s="15" customFormat="1" ht="24.75" customHeight="1" x14ac:dyDescent="0.2">
      <c r="A177" s="31"/>
      <c r="B177" s="35"/>
      <c r="C177" s="25"/>
      <c r="D177" s="372" t="s">
        <v>160</v>
      </c>
      <c r="E177" s="374">
        <v>20746.010000000002</v>
      </c>
      <c r="F177" s="374">
        <f>SUM(F178:F182)</f>
        <v>14200</v>
      </c>
      <c r="G177" s="374">
        <f>SUM(G178:G182)</f>
        <v>14200</v>
      </c>
      <c r="H177" s="132">
        <f>SUM(E177+F177-G177)</f>
        <v>20746.010000000002</v>
      </c>
    </row>
    <row r="178" spans="1:8" s="15" customFormat="1" ht="21" customHeight="1" x14ac:dyDescent="0.2">
      <c r="A178" s="31"/>
      <c r="B178" s="35"/>
      <c r="C178" s="133" t="s">
        <v>131</v>
      </c>
      <c r="D178" s="128" t="s">
        <v>132</v>
      </c>
      <c r="E178" s="39">
        <v>0</v>
      </c>
      <c r="F178" s="40">
        <v>14000</v>
      </c>
      <c r="G178" s="40"/>
      <c r="H178" s="41">
        <f t="shared" ref="H178:H182" si="38">SUM(E178+F178-G178)</f>
        <v>14000</v>
      </c>
    </row>
    <row r="179" spans="1:8" s="15" customFormat="1" ht="23.1" customHeight="1" x14ac:dyDescent="0.2">
      <c r="A179" s="31"/>
      <c r="B179" s="35"/>
      <c r="C179" s="118">
        <v>4740</v>
      </c>
      <c r="D179" s="119" t="s">
        <v>161</v>
      </c>
      <c r="E179" s="40">
        <v>3900</v>
      </c>
      <c r="F179" s="40"/>
      <c r="G179" s="40">
        <v>200</v>
      </c>
      <c r="H179" s="41">
        <f t="shared" si="38"/>
        <v>3700</v>
      </c>
    </row>
    <row r="180" spans="1:8" s="15" customFormat="1" ht="23.1" customHeight="1" x14ac:dyDescent="0.2">
      <c r="A180" s="31"/>
      <c r="B180" s="35"/>
      <c r="C180" s="118">
        <v>4750</v>
      </c>
      <c r="D180" s="119" t="s">
        <v>162</v>
      </c>
      <c r="E180" s="40">
        <v>12295</v>
      </c>
      <c r="F180" s="40"/>
      <c r="G180" s="40">
        <v>12000</v>
      </c>
      <c r="H180" s="41">
        <f t="shared" si="38"/>
        <v>295</v>
      </c>
    </row>
    <row r="181" spans="1:8" s="15" customFormat="1" ht="21.75" customHeight="1" x14ac:dyDescent="0.2">
      <c r="A181" s="31"/>
      <c r="B181" s="35"/>
      <c r="C181" s="118">
        <v>4850</v>
      </c>
      <c r="D181" s="119" t="s">
        <v>163</v>
      </c>
      <c r="E181" s="40">
        <v>4138.51</v>
      </c>
      <c r="F181" s="40"/>
      <c r="G181" s="40">
        <v>2000</v>
      </c>
      <c r="H181" s="41">
        <f t="shared" si="38"/>
        <v>2138.5100000000002</v>
      </c>
    </row>
    <row r="182" spans="1:8" s="15" customFormat="1" ht="21.75" customHeight="1" x14ac:dyDescent="0.2">
      <c r="A182" s="31"/>
      <c r="B182" s="35"/>
      <c r="C182" s="118">
        <v>4860</v>
      </c>
      <c r="D182" s="119" t="s">
        <v>164</v>
      </c>
      <c r="E182" s="40">
        <v>0</v>
      </c>
      <c r="F182" s="40">
        <v>200</v>
      </c>
      <c r="G182" s="40"/>
      <c r="H182" s="41">
        <f t="shared" si="38"/>
        <v>200</v>
      </c>
    </row>
    <row r="183" spans="1:8" s="15" customFormat="1" ht="12" customHeight="1" x14ac:dyDescent="0.2">
      <c r="A183" s="31"/>
      <c r="B183" s="43">
        <v>80103</v>
      </c>
      <c r="C183" s="121"/>
      <c r="D183" s="124" t="s">
        <v>166</v>
      </c>
      <c r="E183" s="37">
        <v>674702</v>
      </c>
      <c r="F183" s="37">
        <f>SUM(F184,F186)</f>
        <v>18000</v>
      </c>
      <c r="G183" s="37">
        <f>SUM(G184,G186)</f>
        <v>7800</v>
      </c>
      <c r="H183" s="36">
        <f>SUM(E183+F183-G183)</f>
        <v>684902</v>
      </c>
    </row>
    <row r="184" spans="1:8" s="15" customFormat="1" ht="12" customHeight="1" x14ac:dyDescent="0.2">
      <c r="A184" s="31"/>
      <c r="B184" s="121"/>
      <c r="C184" s="121"/>
      <c r="D184" s="377" t="s">
        <v>167</v>
      </c>
      <c r="E184" s="374">
        <v>124687</v>
      </c>
      <c r="F184" s="374">
        <f>SUM(F185:F185)</f>
        <v>15000</v>
      </c>
      <c r="G184" s="374">
        <f>SUM(G185:G185)</f>
        <v>0</v>
      </c>
      <c r="H184" s="132">
        <f>SUM(E184+F184-G184)</f>
        <v>139687</v>
      </c>
    </row>
    <row r="185" spans="1:8" s="15" customFormat="1" ht="21" customHeight="1" x14ac:dyDescent="0.2">
      <c r="A185" s="31"/>
      <c r="B185" s="121"/>
      <c r="C185" s="118">
        <v>2540</v>
      </c>
      <c r="D185" s="119" t="s">
        <v>153</v>
      </c>
      <c r="E185" s="40">
        <v>124687</v>
      </c>
      <c r="F185" s="40">
        <v>15000</v>
      </c>
      <c r="G185" s="40"/>
      <c r="H185" s="41">
        <f t="shared" ref="H185" si="39">SUM(E185+F185-G185)</f>
        <v>139687</v>
      </c>
    </row>
    <row r="186" spans="1:8" s="15" customFormat="1" ht="12" customHeight="1" x14ac:dyDescent="0.2">
      <c r="A186" s="31"/>
      <c r="B186" s="121"/>
      <c r="C186" s="121"/>
      <c r="D186" s="375" t="s">
        <v>155</v>
      </c>
      <c r="E186" s="374">
        <v>550015</v>
      </c>
      <c r="F186" s="374">
        <f>SUM(F187:F189)</f>
        <v>3000</v>
      </c>
      <c r="G186" s="374">
        <f>SUM(G187:G189)</f>
        <v>7800</v>
      </c>
      <c r="H186" s="132">
        <f>SUM(E186+F186-G186)</f>
        <v>545215</v>
      </c>
    </row>
    <row r="187" spans="1:8" s="15" customFormat="1" ht="12" customHeight="1" x14ac:dyDescent="0.2">
      <c r="A187" s="31"/>
      <c r="B187" s="121"/>
      <c r="C187" s="43">
        <v>4110</v>
      </c>
      <c r="D187" s="123" t="s">
        <v>168</v>
      </c>
      <c r="E187" s="40">
        <v>64280</v>
      </c>
      <c r="F187" s="40">
        <v>1000</v>
      </c>
      <c r="G187" s="40"/>
      <c r="H187" s="41">
        <f t="shared" ref="H187:H189" si="40">SUM(E187+F187-G187)</f>
        <v>65280</v>
      </c>
    </row>
    <row r="188" spans="1:8" s="15" customFormat="1" ht="12" customHeight="1" x14ac:dyDescent="0.2">
      <c r="A188" s="31"/>
      <c r="B188" s="121"/>
      <c r="C188" s="43">
        <v>4790</v>
      </c>
      <c r="D188" s="144" t="s">
        <v>169</v>
      </c>
      <c r="E188" s="40">
        <v>314894</v>
      </c>
      <c r="F188" s="40">
        <v>2000</v>
      </c>
      <c r="G188" s="40"/>
      <c r="H188" s="41">
        <f t="shared" si="40"/>
        <v>316894</v>
      </c>
    </row>
    <row r="189" spans="1:8" s="15" customFormat="1" ht="12" customHeight="1" x14ac:dyDescent="0.2">
      <c r="A189" s="31"/>
      <c r="B189" s="121"/>
      <c r="C189" s="43">
        <v>4800</v>
      </c>
      <c r="D189" s="144" t="s">
        <v>159</v>
      </c>
      <c r="E189" s="40">
        <v>46207</v>
      </c>
      <c r="F189" s="40"/>
      <c r="G189" s="40">
        <v>7800</v>
      </c>
      <c r="H189" s="41">
        <f t="shared" si="40"/>
        <v>38407</v>
      </c>
    </row>
    <row r="190" spans="1:8" s="15" customFormat="1" ht="12" customHeight="1" x14ac:dyDescent="0.2">
      <c r="A190" s="31"/>
      <c r="B190" s="35">
        <v>80104</v>
      </c>
      <c r="C190" s="25"/>
      <c r="D190" s="42" t="s">
        <v>170</v>
      </c>
      <c r="E190" s="37">
        <v>38718161.390000001</v>
      </c>
      <c r="F190" s="37">
        <f>SUM(F191,F194,F209,F214)</f>
        <v>870847.74</v>
      </c>
      <c r="G190" s="37">
        <f>SUM(G191,G194,G209,G214)</f>
        <v>100744.23</v>
      </c>
      <c r="H190" s="36">
        <f>SUM(E190+F190-G190)</f>
        <v>39488264.900000006</v>
      </c>
    </row>
    <row r="191" spans="1:8" s="15" customFormat="1" ht="12" customHeight="1" x14ac:dyDescent="0.2">
      <c r="A191" s="31"/>
      <c r="B191" s="35"/>
      <c r="C191" s="25"/>
      <c r="D191" s="377" t="s">
        <v>152</v>
      </c>
      <c r="E191" s="374">
        <v>9080632.3900000006</v>
      </c>
      <c r="F191" s="374">
        <f>SUM(F192:F193)</f>
        <v>430000</v>
      </c>
      <c r="G191" s="374">
        <f>SUM(G192:G193)</f>
        <v>0</v>
      </c>
      <c r="H191" s="374">
        <f t="shared" ref="H191:H193" si="41">SUM(E191+F191-G191)</f>
        <v>9510632.3900000006</v>
      </c>
    </row>
    <row r="192" spans="1:8" s="15" customFormat="1" ht="21" customHeight="1" x14ac:dyDescent="0.2">
      <c r="A192" s="113"/>
      <c r="B192" s="129"/>
      <c r="C192" s="114">
        <v>2540</v>
      </c>
      <c r="D192" s="145" t="s">
        <v>153</v>
      </c>
      <c r="E192" s="37">
        <v>7087196.3700000001</v>
      </c>
      <c r="F192" s="37">
        <v>230000</v>
      </c>
      <c r="G192" s="37"/>
      <c r="H192" s="37">
        <f t="shared" si="41"/>
        <v>7317196.3700000001</v>
      </c>
    </row>
    <row r="193" spans="1:8" s="15" customFormat="1" ht="34.5" customHeight="1" x14ac:dyDescent="0.2">
      <c r="A193" s="31"/>
      <c r="B193" s="35"/>
      <c r="C193" s="118">
        <v>2590</v>
      </c>
      <c r="D193" s="142" t="s">
        <v>154</v>
      </c>
      <c r="E193" s="40">
        <v>1753436.02</v>
      </c>
      <c r="F193" s="40">
        <v>200000</v>
      </c>
      <c r="G193" s="40"/>
      <c r="H193" s="39">
        <f t="shared" si="41"/>
        <v>1953436.02</v>
      </c>
    </row>
    <row r="194" spans="1:8" s="15" customFormat="1" ht="12" customHeight="1" x14ac:dyDescent="0.2">
      <c r="A194" s="31"/>
      <c r="B194" s="35"/>
      <c r="C194" s="25"/>
      <c r="D194" s="369" t="s">
        <v>155</v>
      </c>
      <c r="E194" s="374">
        <v>28628062.25</v>
      </c>
      <c r="F194" s="374">
        <f>SUM(F195:F208)</f>
        <v>394450</v>
      </c>
      <c r="G194" s="374">
        <f>SUM(G195:G208)</f>
        <v>98950</v>
      </c>
      <c r="H194" s="132">
        <f>SUM(E194+F194-G194)</f>
        <v>28923562.25</v>
      </c>
    </row>
    <row r="195" spans="1:8" s="15" customFormat="1" ht="12" customHeight="1" x14ac:dyDescent="0.2">
      <c r="A195" s="31"/>
      <c r="B195" s="35"/>
      <c r="C195" s="44">
        <v>3020</v>
      </c>
      <c r="D195" s="38" t="s">
        <v>116</v>
      </c>
      <c r="E195" s="40">
        <v>42088</v>
      </c>
      <c r="F195" s="40">
        <v>6250</v>
      </c>
      <c r="G195" s="40"/>
      <c r="H195" s="41">
        <f t="shared" ref="H195:H208" si="42">SUM(E195+F195-G195)</f>
        <v>48338</v>
      </c>
    </row>
    <row r="196" spans="1:8" s="15" customFormat="1" ht="12" customHeight="1" x14ac:dyDescent="0.2">
      <c r="A196" s="31"/>
      <c r="B196" s="35"/>
      <c r="C196" s="44">
        <v>4010</v>
      </c>
      <c r="D196" s="38" t="s">
        <v>137</v>
      </c>
      <c r="E196" s="40">
        <v>8150785</v>
      </c>
      <c r="F196" s="40">
        <v>20000</v>
      </c>
      <c r="G196" s="40">
        <v>2000</v>
      </c>
      <c r="H196" s="41">
        <f t="shared" si="42"/>
        <v>8168785</v>
      </c>
    </row>
    <row r="197" spans="1:8" s="15" customFormat="1" ht="12" customHeight="1" x14ac:dyDescent="0.2">
      <c r="A197" s="31"/>
      <c r="B197" s="35"/>
      <c r="C197" s="44">
        <v>4040</v>
      </c>
      <c r="D197" s="38" t="s">
        <v>156</v>
      </c>
      <c r="E197" s="40">
        <v>668939</v>
      </c>
      <c r="F197" s="40"/>
      <c r="G197" s="40">
        <f>34500+4600</f>
        <v>39100</v>
      </c>
      <c r="H197" s="41">
        <f t="shared" si="42"/>
        <v>629839</v>
      </c>
    </row>
    <row r="198" spans="1:8" s="15" customFormat="1" ht="12" customHeight="1" x14ac:dyDescent="0.2">
      <c r="A198" s="31"/>
      <c r="B198" s="35"/>
      <c r="C198" s="43">
        <v>4110</v>
      </c>
      <c r="D198" s="123" t="s">
        <v>168</v>
      </c>
      <c r="E198" s="40">
        <v>3499773</v>
      </c>
      <c r="F198" s="40">
        <v>41000</v>
      </c>
      <c r="G198" s="40"/>
      <c r="H198" s="41">
        <f t="shared" si="42"/>
        <v>3540773</v>
      </c>
    </row>
    <row r="199" spans="1:8" s="15" customFormat="1" ht="12" customHeight="1" x14ac:dyDescent="0.2">
      <c r="A199" s="31"/>
      <c r="B199" s="35"/>
      <c r="C199" s="134" t="s">
        <v>23</v>
      </c>
      <c r="D199" s="131" t="s">
        <v>135</v>
      </c>
      <c r="E199" s="39">
        <v>691705</v>
      </c>
      <c r="F199" s="39">
        <v>1200</v>
      </c>
      <c r="G199" s="39"/>
      <c r="H199" s="41">
        <f t="shared" si="42"/>
        <v>692905</v>
      </c>
    </row>
    <row r="200" spans="1:8" s="15" customFormat="1" ht="12" customHeight="1" x14ac:dyDescent="0.2">
      <c r="A200" s="31"/>
      <c r="B200" s="35"/>
      <c r="C200" s="44">
        <v>4260</v>
      </c>
      <c r="D200" s="38" t="s">
        <v>106</v>
      </c>
      <c r="E200" s="39">
        <v>1370382</v>
      </c>
      <c r="F200" s="39">
        <v>70000</v>
      </c>
      <c r="G200" s="39"/>
      <c r="H200" s="41">
        <f t="shared" si="42"/>
        <v>1440382</v>
      </c>
    </row>
    <row r="201" spans="1:8" s="15" customFormat="1" ht="12" customHeight="1" x14ac:dyDescent="0.2">
      <c r="A201" s="31"/>
      <c r="B201" s="35"/>
      <c r="C201" s="44">
        <v>4270</v>
      </c>
      <c r="D201" s="38" t="s">
        <v>107</v>
      </c>
      <c r="E201" s="39">
        <v>203053</v>
      </c>
      <c r="F201" s="39">
        <v>2500</v>
      </c>
      <c r="G201" s="39">
        <v>250</v>
      </c>
      <c r="H201" s="41">
        <f t="shared" si="42"/>
        <v>205303</v>
      </c>
    </row>
    <row r="202" spans="1:8" s="15" customFormat="1" ht="12" customHeight="1" x14ac:dyDescent="0.2">
      <c r="A202" s="31"/>
      <c r="B202" s="35"/>
      <c r="C202" s="44">
        <v>4280</v>
      </c>
      <c r="D202" s="38" t="s">
        <v>117</v>
      </c>
      <c r="E202" s="39">
        <v>28752</v>
      </c>
      <c r="F202" s="39">
        <v>3000</v>
      </c>
      <c r="G202" s="39"/>
      <c r="H202" s="41">
        <f t="shared" si="42"/>
        <v>31752</v>
      </c>
    </row>
    <row r="203" spans="1:8" s="15" customFormat="1" ht="12" customHeight="1" x14ac:dyDescent="0.2">
      <c r="A203" s="31"/>
      <c r="B203" s="35"/>
      <c r="C203" s="35">
        <v>4300</v>
      </c>
      <c r="D203" s="38" t="s">
        <v>108</v>
      </c>
      <c r="E203" s="39">
        <v>585421</v>
      </c>
      <c r="F203" s="39">
        <v>9890</v>
      </c>
      <c r="G203" s="39"/>
      <c r="H203" s="41">
        <f t="shared" si="42"/>
        <v>595311</v>
      </c>
    </row>
    <row r="204" spans="1:8" s="15" customFormat="1" ht="12" customHeight="1" x14ac:dyDescent="0.2">
      <c r="A204" s="31"/>
      <c r="B204" s="35"/>
      <c r="C204" s="44">
        <v>4360</v>
      </c>
      <c r="D204" s="38" t="s">
        <v>109</v>
      </c>
      <c r="E204" s="39">
        <v>23435</v>
      </c>
      <c r="F204" s="39">
        <v>110</v>
      </c>
      <c r="G204" s="39"/>
      <c r="H204" s="41">
        <f t="shared" si="42"/>
        <v>23545</v>
      </c>
    </row>
    <row r="205" spans="1:8" s="15" customFormat="1" ht="20.45" customHeight="1" x14ac:dyDescent="0.2">
      <c r="A205" s="31"/>
      <c r="B205" s="35"/>
      <c r="C205" s="118">
        <v>4700</v>
      </c>
      <c r="D205" s="128" t="s">
        <v>140</v>
      </c>
      <c r="E205" s="39">
        <v>30422</v>
      </c>
      <c r="F205" s="39">
        <v>1500</v>
      </c>
      <c r="G205" s="39"/>
      <c r="H205" s="41">
        <f t="shared" si="42"/>
        <v>31922</v>
      </c>
    </row>
    <row r="206" spans="1:8" s="15" customFormat="1" ht="12" customHeight="1" x14ac:dyDescent="0.2">
      <c r="A206" s="31"/>
      <c r="B206" s="35"/>
      <c r="C206" s="44">
        <v>4710</v>
      </c>
      <c r="D206" s="131" t="s">
        <v>120</v>
      </c>
      <c r="E206" s="39">
        <v>121578</v>
      </c>
      <c r="F206" s="39"/>
      <c r="G206" s="39">
        <f>27400+1500</f>
        <v>28900</v>
      </c>
      <c r="H206" s="41">
        <f t="shared" si="42"/>
        <v>92678</v>
      </c>
    </row>
    <row r="207" spans="1:8" s="15" customFormat="1" ht="12" customHeight="1" x14ac:dyDescent="0.2">
      <c r="A207" s="31"/>
      <c r="B207" s="35"/>
      <c r="C207" s="43">
        <v>4790</v>
      </c>
      <c r="D207" s="144" t="s">
        <v>169</v>
      </c>
      <c r="E207" s="39">
        <v>10712279.25</v>
      </c>
      <c r="F207" s="39">
        <v>239000</v>
      </c>
      <c r="G207" s="39"/>
      <c r="H207" s="41">
        <f t="shared" si="42"/>
        <v>10951279.25</v>
      </c>
    </row>
    <row r="208" spans="1:8" s="15" customFormat="1" ht="12" customHeight="1" x14ac:dyDescent="0.2">
      <c r="A208" s="31"/>
      <c r="B208" s="35"/>
      <c r="C208" s="43">
        <v>4800</v>
      </c>
      <c r="D208" s="144" t="s">
        <v>159</v>
      </c>
      <c r="E208" s="39">
        <v>929468</v>
      </c>
      <c r="F208" s="39"/>
      <c r="G208" s="39">
        <v>28700</v>
      </c>
      <c r="H208" s="41">
        <f t="shared" si="42"/>
        <v>900768</v>
      </c>
    </row>
    <row r="209" spans="1:8" s="15" customFormat="1" ht="23.1" customHeight="1" x14ac:dyDescent="0.2">
      <c r="A209" s="31"/>
      <c r="B209" s="35"/>
      <c r="C209" s="25"/>
      <c r="D209" s="372" t="s">
        <v>160</v>
      </c>
      <c r="E209" s="374">
        <v>60156.73</v>
      </c>
      <c r="F209" s="374">
        <f>SUM(F210:F213)</f>
        <v>44006.42</v>
      </c>
      <c r="G209" s="374">
        <f>SUM(G210:G213)</f>
        <v>1794.23</v>
      </c>
      <c r="H209" s="132">
        <f>SUM(E209+F209-G209)</f>
        <v>102368.92</v>
      </c>
    </row>
    <row r="210" spans="1:8" s="15" customFormat="1" ht="23.1" customHeight="1" x14ac:dyDescent="0.2">
      <c r="A210" s="31"/>
      <c r="B210" s="35"/>
      <c r="C210" s="133" t="s">
        <v>131</v>
      </c>
      <c r="D210" s="128" t="s">
        <v>132</v>
      </c>
      <c r="E210" s="39">
        <v>23691.119999999999</v>
      </c>
      <c r="F210" s="40">
        <f>150+18060.81</f>
        <v>18210.810000000001</v>
      </c>
      <c r="G210" s="40"/>
      <c r="H210" s="41">
        <f t="shared" ref="H210:H213" si="43">SUM(E210+F210-G210)</f>
        <v>41901.93</v>
      </c>
    </row>
    <row r="211" spans="1:8" s="15" customFormat="1" ht="23.1" customHeight="1" x14ac:dyDescent="0.2">
      <c r="A211" s="31"/>
      <c r="B211" s="35"/>
      <c r="C211" s="118">
        <v>4750</v>
      </c>
      <c r="D211" s="119" t="s">
        <v>162</v>
      </c>
      <c r="E211" s="40">
        <v>20405.04</v>
      </c>
      <c r="F211" s="39">
        <v>16738.05</v>
      </c>
      <c r="G211" s="40">
        <v>1481.12</v>
      </c>
      <c r="H211" s="41">
        <f t="shared" si="43"/>
        <v>35661.969999999994</v>
      </c>
    </row>
    <row r="212" spans="1:8" s="15" customFormat="1" ht="23.1" customHeight="1" x14ac:dyDescent="0.2">
      <c r="A212" s="31"/>
      <c r="B212" s="35"/>
      <c r="C212" s="118">
        <v>4850</v>
      </c>
      <c r="D212" s="119" t="s">
        <v>163</v>
      </c>
      <c r="E212" s="40">
        <v>6910.7300000000005</v>
      </c>
      <c r="F212" s="39">
        <v>8769.5</v>
      </c>
      <c r="G212" s="39">
        <v>313.11</v>
      </c>
      <c r="H212" s="41">
        <f t="shared" si="43"/>
        <v>15367.119999999999</v>
      </c>
    </row>
    <row r="213" spans="1:8" s="15" customFormat="1" ht="23.1" customHeight="1" x14ac:dyDescent="0.2">
      <c r="A213" s="31"/>
      <c r="B213" s="35"/>
      <c r="C213" s="118">
        <v>4860</v>
      </c>
      <c r="D213" s="119" t="s">
        <v>164</v>
      </c>
      <c r="E213" s="40">
        <v>0</v>
      </c>
      <c r="F213" s="39">
        <v>288.06</v>
      </c>
      <c r="G213" s="39"/>
      <c r="H213" s="41">
        <f t="shared" si="43"/>
        <v>288.06</v>
      </c>
    </row>
    <row r="214" spans="1:8" s="15" customFormat="1" ht="23.1" customHeight="1" x14ac:dyDescent="0.2">
      <c r="A214" s="31"/>
      <c r="B214" s="35"/>
      <c r="C214" s="25"/>
      <c r="D214" s="372" t="s">
        <v>171</v>
      </c>
      <c r="E214" s="374">
        <v>0</v>
      </c>
      <c r="F214" s="374">
        <f>SUM(F215)</f>
        <v>2391.3200000000002</v>
      </c>
      <c r="G214" s="374">
        <f>SUM(G215)</f>
        <v>0</v>
      </c>
      <c r="H214" s="132">
        <f>SUM(E214+F214-G214)</f>
        <v>2391.3200000000002</v>
      </c>
    </row>
    <row r="215" spans="1:8" s="15" customFormat="1" ht="34.5" customHeight="1" x14ac:dyDescent="0.2">
      <c r="A215" s="31"/>
      <c r="B215" s="35"/>
      <c r="C215" s="133" t="s">
        <v>172</v>
      </c>
      <c r="D215" s="128" t="s">
        <v>173</v>
      </c>
      <c r="E215" s="39">
        <v>0</v>
      </c>
      <c r="F215" s="40">
        <v>2391.3200000000002</v>
      </c>
      <c r="G215" s="40"/>
      <c r="H215" s="41">
        <f t="shared" ref="H215" si="44">SUM(E215+F215-G215)</f>
        <v>2391.3200000000002</v>
      </c>
    </row>
    <row r="216" spans="1:8" s="15" customFormat="1" ht="12" customHeight="1" x14ac:dyDescent="0.2">
      <c r="A216" s="31"/>
      <c r="B216" s="35">
        <v>80105</v>
      </c>
      <c r="C216" s="25"/>
      <c r="D216" s="42" t="s">
        <v>174</v>
      </c>
      <c r="E216" s="37">
        <v>697250.15999999992</v>
      </c>
      <c r="F216" s="37">
        <f>SUM(F217,F221)</f>
        <v>70100</v>
      </c>
      <c r="G216" s="37">
        <f>SUM(G217,G221)</f>
        <v>8100</v>
      </c>
      <c r="H216" s="36">
        <f>SUM(E216+F216-G216)</f>
        <v>759250.15999999992</v>
      </c>
    </row>
    <row r="217" spans="1:8" s="15" customFormat="1" ht="12" customHeight="1" x14ac:dyDescent="0.2">
      <c r="A217" s="31"/>
      <c r="B217" s="44"/>
      <c r="C217" s="25"/>
      <c r="D217" s="369" t="s">
        <v>155</v>
      </c>
      <c r="E217" s="374">
        <v>688660.96</v>
      </c>
      <c r="F217" s="374">
        <f>SUM(F218:F220)</f>
        <v>62000</v>
      </c>
      <c r="G217" s="374">
        <f>SUM(G218:G220)</f>
        <v>0</v>
      </c>
      <c r="H217" s="132">
        <f>SUM(E217+F217-G217)</f>
        <v>750660.96</v>
      </c>
    </row>
    <row r="218" spans="1:8" s="15" customFormat="1" ht="12" customHeight="1" x14ac:dyDescent="0.2">
      <c r="A218" s="31"/>
      <c r="B218" s="44"/>
      <c r="C218" s="44">
        <v>4010</v>
      </c>
      <c r="D218" s="38" t="s">
        <v>137</v>
      </c>
      <c r="E218" s="40">
        <v>116228</v>
      </c>
      <c r="F218" s="40">
        <v>7000</v>
      </c>
      <c r="G218" s="40"/>
      <c r="H218" s="41">
        <f t="shared" ref="H218:H220" si="45">SUM(E218+F218-G218)</f>
        <v>123228</v>
      </c>
    </row>
    <row r="219" spans="1:8" s="15" customFormat="1" ht="12" customHeight="1" x14ac:dyDescent="0.2">
      <c r="A219" s="31"/>
      <c r="B219" s="44"/>
      <c r="C219" s="43">
        <v>4110</v>
      </c>
      <c r="D219" s="123" t="s">
        <v>168</v>
      </c>
      <c r="E219" s="40">
        <v>91087</v>
      </c>
      <c r="F219" s="40">
        <v>8000</v>
      </c>
      <c r="G219" s="40"/>
      <c r="H219" s="41">
        <f t="shared" si="45"/>
        <v>99087</v>
      </c>
    </row>
    <row r="220" spans="1:8" s="15" customFormat="1" ht="12" customHeight="1" x14ac:dyDescent="0.2">
      <c r="A220" s="31"/>
      <c r="B220" s="44"/>
      <c r="C220" s="43">
        <v>4790</v>
      </c>
      <c r="D220" s="144" t="s">
        <v>169</v>
      </c>
      <c r="E220" s="40">
        <v>375520.96</v>
      </c>
      <c r="F220" s="40">
        <v>47000</v>
      </c>
      <c r="G220" s="40"/>
      <c r="H220" s="41">
        <f t="shared" si="45"/>
        <v>422520.96</v>
      </c>
    </row>
    <row r="221" spans="1:8" s="15" customFormat="1" ht="20.45" customHeight="1" x14ac:dyDescent="0.2">
      <c r="A221" s="31"/>
      <c r="B221" s="44"/>
      <c r="C221" s="25"/>
      <c r="D221" s="372" t="s">
        <v>160</v>
      </c>
      <c r="E221" s="374">
        <v>8589.2000000000007</v>
      </c>
      <c r="F221" s="374">
        <f>SUM(F222:F227)</f>
        <v>8100</v>
      </c>
      <c r="G221" s="374">
        <f>SUM(G222:G227)</f>
        <v>8100</v>
      </c>
      <c r="H221" s="132">
        <f>SUM(E221+F221-G221)</f>
        <v>8589.2000000000007</v>
      </c>
    </row>
    <row r="222" spans="1:8" s="15" customFormat="1" ht="21.6" customHeight="1" x14ac:dyDescent="0.2">
      <c r="A222" s="31"/>
      <c r="B222" s="44"/>
      <c r="C222" s="133" t="s">
        <v>131</v>
      </c>
      <c r="D222" s="128" t="s">
        <v>132</v>
      </c>
      <c r="E222" s="39">
        <v>0</v>
      </c>
      <c r="F222" s="40">
        <v>8000</v>
      </c>
      <c r="G222" s="40"/>
      <c r="H222" s="41">
        <f t="shared" ref="H222:H227" si="46">SUM(E222+F222-G222)</f>
        <v>8000</v>
      </c>
    </row>
    <row r="223" spans="1:8" s="15" customFormat="1" ht="12" customHeight="1" x14ac:dyDescent="0.2">
      <c r="A223" s="31"/>
      <c r="B223" s="44"/>
      <c r="C223" s="35">
        <v>4370</v>
      </c>
      <c r="D223" s="35" t="s">
        <v>142</v>
      </c>
      <c r="E223" s="39">
        <v>0</v>
      </c>
      <c r="F223" s="40">
        <v>50</v>
      </c>
      <c r="G223" s="40"/>
      <c r="H223" s="41">
        <f t="shared" si="46"/>
        <v>50</v>
      </c>
    </row>
    <row r="224" spans="1:8" s="15" customFormat="1" ht="20.25" customHeight="1" x14ac:dyDescent="0.2">
      <c r="A224" s="31"/>
      <c r="B224" s="44"/>
      <c r="C224" s="118">
        <v>4740</v>
      </c>
      <c r="D224" s="119" t="s">
        <v>161</v>
      </c>
      <c r="E224" s="40">
        <v>3000</v>
      </c>
      <c r="F224" s="40"/>
      <c r="G224" s="40">
        <v>3000</v>
      </c>
      <c r="H224" s="41">
        <f t="shared" si="46"/>
        <v>0</v>
      </c>
    </row>
    <row r="225" spans="1:8" s="15" customFormat="1" ht="21" customHeight="1" x14ac:dyDescent="0.2">
      <c r="A225" s="31"/>
      <c r="B225" s="44"/>
      <c r="C225" s="118">
        <v>4750</v>
      </c>
      <c r="D225" s="119" t="s">
        <v>162</v>
      </c>
      <c r="E225" s="40">
        <v>5000</v>
      </c>
      <c r="F225" s="40"/>
      <c r="G225" s="40">
        <v>5000</v>
      </c>
      <c r="H225" s="41">
        <f t="shared" si="46"/>
        <v>0</v>
      </c>
    </row>
    <row r="226" spans="1:8" s="15" customFormat="1" ht="21" customHeight="1" x14ac:dyDescent="0.2">
      <c r="A226" s="31"/>
      <c r="B226" s="44"/>
      <c r="C226" s="118">
        <v>4850</v>
      </c>
      <c r="D226" s="119" t="s">
        <v>163</v>
      </c>
      <c r="E226" s="40">
        <v>589.20000000000005</v>
      </c>
      <c r="F226" s="40"/>
      <c r="G226" s="40">
        <v>100</v>
      </c>
      <c r="H226" s="41">
        <f t="shared" si="46"/>
        <v>489.20000000000005</v>
      </c>
    </row>
    <row r="227" spans="1:8" s="15" customFormat="1" ht="21.75" customHeight="1" x14ac:dyDescent="0.2">
      <c r="A227" s="31"/>
      <c r="B227" s="44"/>
      <c r="C227" s="118">
        <v>4860</v>
      </c>
      <c r="D227" s="119" t="s">
        <v>164</v>
      </c>
      <c r="E227" s="40">
        <v>0</v>
      </c>
      <c r="F227" s="40">
        <v>50</v>
      </c>
      <c r="G227" s="40"/>
      <c r="H227" s="41">
        <f t="shared" si="46"/>
        <v>50</v>
      </c>
    </row>
    <row r="228" spans="1:8" s="15" customFormat="1" ht="12" customHeight="1" x14ac:dyDescent="0.2">
      <c r="A228" s="31"/>
      <c r="B228" s="35">
        <v>80107</v>
      </c>
      <c r="C228" s="25"/>
      <c r="D228" s="124" t="s">
        <v>175</v>
      </c>
      <c r="E228" s="37">
        <v>5645514</v>
      </c>
      <c r="F228" s="37">
        <f>SUM(F229)</f>
        <v>32237</v>
      </c>
      <c r="G228" s="37">
        <f>SUM(G229)</f>
        <v>43000</v>
      </c>
      <c r="H228" s="36">
        <f>SUM(E228+F228-G228)</f>
        <v>5634751</v>
      </c>
    </row>
    <row r="229" spans="1:8" s="15" customFormat="1" ht="12" customHeight="1" x14ac:dyDescent="0.2">
      <c r="A229" s="31"/>
      <c r="B229" s="44"/>
      <c r="C229" s="25"/>
      <c r="D229" s="369" t="s">
        <v>155</v>
      </c>
      <c r="E229" s="374">
        <v>5645514</v>
      </c>
      <c r="F229" s="374">
        <f>SUM(F230:F236)</f>
        <v>32237</v>
      </c>
      <c r="G229" s="374">
        <f>SUM(G230:G236)</f>
        <v>43000</v>
      </c>
      <c r="H229" s="132">
        <f>SUM(E229+F229-G229)</f>
        <v>5634751</v>
      </c>
    </row>
    <row r="230" spans="1:8" s="15" customFormat="1" ht="12" customHeight="1" x14ac:dyDescent="0.2">
      <c r="A230" s="31"/>
      <c r="B230" s="44"/>
      <c r="C230" s="44">
        <v>3020</v>
      </c>
      <c r="D230" s="38" t="s">
        <v>116</v>
      </c>
      <c r="E230" s="40">
        <v>39070</v>
      </c>
      <c r="F230" s="40">
        <v>13354</v>
      </c>
      <c r="G230" s="40"/>
      <c r="H230" s="41">
        <f t="shared" ref="H230:H236" si="47">SUM(E230+F230-G230)</f>
        <v>52424</v>
      </c>
    </row>
    <row r="231" spans="1:8" s="15" customFormat="1" ht="12" customHeight="1" x14ac:dyDescent="0.2">
      <c r="A231" s="31"/>
      <c r="B231" s="44"/>
      <c r="C231" s="44">
        <v>4110</v>
      </c>
      <c r="D231" s="38" t="s">
        <v>138</v>
      </c>
      <c r="E231" s="40">
        <v>762388</v>
      </c>
      <c r="F231" s="40">
        <v>5330</v>
      </c>
      <c r="G231" s="40"/>
      <c r="H231" s="41">
        <f t="shared" si="47"/>
        <v>767718</v>
      </c>
    </row>
    <row r="232" spans="1:8" s="15" customFormat="1" ht="12" customHeight="1" x14ac:dyDescent="0.2">
      <c r="A232" s="31"/>
      <c r="B232" s="44"/>
      <c r="C232" s="44">
        <v>4120</v>
      </c>
      <c r="D232" s="38" t="s">
        <v>176</v>
      </c>
      <c r="E232" s="40">
        <v>107506</v>
      </c>
      <c r="F232" s="40">
        <v>400</v>
      </c>
      <c r="G232" s="40"/>
      <c r="H232" s="41">
        <f t="shared" si="47"/>
        <v>107906</v>
      </c>
    </row>
    <row r="233" spans="1:8" s="15" customFormat="1" ht="12" customHeight="1" x14ac:dyDescent="0.2">
      <c r="A233" s="31"/>
      <c r="B233" s="44"/>
      <c r="C233" s="44">
        <v>4270</v>
      </c>
      <c r="D233" s="38" t="s">
        <v>107</v>
      </c>
      <c r="E233" s="40">
        <v>17835</v>
      </c>
      <c r="F233" s="40"/>
      <c r="G233" s="40">
        <v>5000</v>
      </c>
      <c r="H233" s="41">
        <f t="shared" si="47"/>
        <v>12835</v>
      </c>
    </row>
    <row r="234" spans="1:8" s="15" customFormat="1" ht="12" customHeight="1" x14ac:dyDescent="0.2">
      <c r="A234" s="31"/>
      <c r="B234" s="44"/>
      <c r="C234" s="44">
        <v>4710</v>
      </c>
      <c r="D234" s="131" t="s">
        <v>120</v>
      </c>
      <c r="E234" s="40">
        <v>48638</v>
      </c>
      <c r="F234" s="40"/>
      <c r="G234" s="40">
        <v>9000</v>
      </c>
      <c r="H234" s="41">
        <f t="shared" si="47"/>
        <v>39638</v>
      </c>
    </row>
    <row r="235" spans="1:8" s="15" customFormat="1" ht="12" customHeight="1" x14ac:dyDescent="0.2">
      <c r="A235" s="31"/>
      <c r="B235" s="44"/>
      <c r="C235" s="43">
        <v>4790</v>
      </c>
      <c r="D235" s="144" t="s">
        <v>169</v>
      </c>
      <c r="E235" s="40">
        <v>4074543</v>
      </c>
      <c r="F235" s="40">
        <v>13153</v>
      </c>
      <c r="G235" s="40"/>
      <c r="H235" s="41">
        <f t="shared" si="47"/>
        <v>4087696</v>
      </c>
    </row>
    <row r="236" spans="1:8" s="15" customFormat="1" ht="12" customHeight="1" x14ac:dyDescent="0.2">
      <c r="A236" s="113"/>
      <c r="B236" s="130"/>
      <c r="C236" s="146">
        <v>4800</v>
      </c>
      <c r="D236" s="147" t="s">
        <v>159</v>
      </c>
      <c r="E236" s="46">
        <v>339955</v>
      </c>
      <c r="F236" s="46"/>
      <c r="G236" s="46">
        <v>29000</v>
      </c>
      <c r="H236" s="36">
        <f t="shared" si="47"/>
        <v>310955</v>
      </c>
    </row>
    <row r="237" spans="1:8" s="15" customFormat="1" ht="12" customHeight="1" x14ac:dyDescent="0.2">
      <c r="A237" s="31"/>
      <c r="B237" s="43" t="s">
        <v>177</v>
      </c>
      <c r="C237" s="121"/>
      <c r="D237" s="124" t="s">
        <v>178</v>
      </c>
      <c r="E237" s="36">
        <v>708391</v>
      </c>
      <c r="F237" s="37">
        <f>SUM(F238)</f>
        <v>4000</v>
      </c>
      <c r="G237" s="37">
        <f>SUM(G238)</f>
        <v>9400</v>
      </c>
      <c r="H237" s="36">
        <f>SUM(E237+F237-G237)</f>
        <v>702991</v>
      </c>
    </row>
    <row r="238" spans="1:8" s="15" customFormat="1" ht="12" customHeight="1" x14ac:dyDescent="0.2">
      <c r="A238" s="31"/>
      <c r="B238" s="31"/>
      <c r="C238" s="25"/>
      <c r="D238" s="369" t="s">
        <v>155</v>
      </c>
      <c r="E238" s="374">
        <v>588391</v>
      </c>
      <c r="F238" s="374">
        <f>SUM(F239:F244)</f>
        <v>4000</v>
      </c>
      <c r="G238" s="374">
        <f>SUM(G239:G244)</f>
        <v>9400</v>
      </c>
      <c r="H238" s="374">
        <f t="shared" ref="H238:H244" si="48">SUM(E238+F238-G238)</f>
        <v>582991</v>
      </c>
    </row>
    <row r="239" spans="1:8" s="15" customFormat="1" ht="12" customHeight="1" x14ac:dyDescent="0.2">
      <c r="A239" s="31"/>
      <c r="B239" s="95"/>
      <c r="C239" s="44">
        <v>4040</v>
      </c>
      <c r="D239" s="38" t="s">
        <v>156</v>
      </c>
      <c r="E239" s="41">
        <v>23592</v>
      </c>
      <c r="F239" s="41"/>
      <c r="G239" s="104">
        <v>400</v>
      </c>
      <c r="H239" s="104">
        <f t="shared" si="48"/>
        <v>23192</v>
      </c>
    </row>
    <row r="240" spans="1:8" s="15" customFormat="1" ht="12" customHeight="1" x14ac:dyDescent="0.2">
      <c r="A240" s="31"/>
      <c r="B240" s="95"/>
      <c r="C240" s="44">
        <v>4110</v>
      </c>
      <c r="D240" s="38" t="s">
        <v>138</v>
      </c>
      <c r="E240" s="41">
        <v>56531</v>
      </c>
      <c r="F240" s="41">
        <v>3000</v>
      </c>
      <c r="G240" s="104"/>
      <c r="H240" s="104">
        <f t="shared" si="48"/>
        <v>59531</v>
      </c>
    </row>
    <row r="241" spans="1:8" s="15" customFormat="1" ht="12" customHeight="1" x14ac:dyDescent="0.2">
      <c r="A241" s="31"/>
      <c r="B241" s="95"/>
      <c r="C241" s="44">
        <v>4120</v>
      </c>
      <c r="D241" s="38" t="s">
        <v>176</v>
      </c>
      <c r="E241" s="41">
        <v>7575</v>
      </c>
      <c r="F241" s="41">
        <v>1000</v>
      </c>
      <c r="G241" s="104"/>
      <c r="H241" s="104">
        <f t="shared" si="48"/>
        <v>8575</v>
      </c>
    </row>
    <row r="242" spans="1:8" s="15" customFormat="1" ht="12" customHeight="1" x14ac:dyDescent="0.2">
      <c r="A242" s="31"/>
      <c r="B242" s="95"/>
      <c r="C242" s="44">
        <v>4270</v>
      </c>
      <c r="D242" s="38" t="s">
        <v>107</v>
      </c>
      <c r="E242" s="41">
        <v>11000</v>
      </c>
      <c r="F242" s="41"/>
      <c r="G242" s="104">
        <v>500</v>
      </c>
      <c r="H242" s="104">
        <f t="shared" si="48"/>
        <v>10500</v>
      </c>
    </row>
    <row r="243" spans="1:8" s="15" customFormat="1" ht="12" customHeight="1" x14ac:dyDescent="0.2">
      <c r="A243" s="31"/>
      <c r="B243" s="95"/>
      <c r="C243" s="35">
        <v>4300</v>
      </c>
      <c r="D243" s="38" t="s">
        <v>108</v>
      </c>
      <c r="E243" s="41">
        <v>32739</v>
      </c>
      <c r="F243" s="41"/>
      <c r="G243" s="104">
        <v>7500</v>
      </c>
      <c r="H243" s="104">
        <f t="shared" si="48"/>
        <v>25239</v>
      </c>
    </row>
    <row r="244" spans="1:8" s="15" customFormat="1" ht="12" customHeight="1" x14ac:dyDescent="0.2">
      <c r="A244" s="31"/>
      <c r="B244" s="31"/>
      <c r="C244" s="44">
        <v>4710</v>
      </c>
      <c r="D244" s="131" t="s">
        <v>120</v>
      </c>
      <c r="E244" s="41">
        <v>2220</v>
      </c>
      <c r="F244" s="41"/>
      <c r="G244" s="41">
        <v>1000</v>
      </c>
      <c r="H244" s="104">
        <f t="shared" si="48"/>
        <v>1220</v>
      </c>
    </row>
    <row r="245" spans="1:8" s="15" customFormat="1" ht="12" customHeight="1" x14ac:dyDescent="0.2">
      <c r="A245" s="31"/>
      <c r="B245" s="35">
        <v>80115</v>
      </c>
      <c r="C245" s="25"/>
      <c r="D245" s="42" t="s">
        <v>179</v>
      </c>
      <c r="E245" s="36">
        <v>41846522.539999992</v>
      </c>
      <c r="F245" s="37">
        <f>SUM(F246,F248,F264)</f>
        <v>447350.89</v>
      </c>
      <c r="G245" s="37">
        <f>SUM(G246,G248,G264)</f>
        <v>52802.96</v>
      </c>
      <c r="H245" s="36">
        <f>SUM(E245+F245-G245)</f>
        <v>42241070.469999991</v>
      </c>
    </row>
    <row r="246" spans="1:8" s="15" customFormat="1" ht="12" customHeight="1" x14ac:dyDescent="0.2">
      <c r="A246" s="31"/>
      <c r="B246" s="35"/>
      <c r="C246" s="25"/>
      <c r="D246" s="377" t="s">
        <v>152</v>
      </c>
      <c r="E246" s="374">
        <v>2517423.98</v>
      </c>
      <c r="F246" s="374">
        <f>SUM(F247:F247)</f>
        <v>164000</v>
      </c>
      <c r="G246" s="374">
        <f>SUM(G247:G247)</f>
        <v>0</v>
      </c>
      <c r="H246" s="374">
        <f t="shared" ref="H246:H263" si="49">SUM(E246+F246-G246)</f>
        <v>2681423.98</v>
      </c>
    </row>
    <row r="247" spans="1:8" s="15" customFormat="1" ht="21" customHeight="1" x14ac:dyDescent="0.2">
      <c r="A247" s="31"/>
      <c r="B247" s="35"/>
      <c r="C247" s="118">
        <v>2540</v>
      </c>
      <c r="D247" s="119" t="s">
        <v>153</v>
      </c>
      <c r="E247" s="104">
        <v>2517423.98</v>
      </c>
      <c r="F247" s="104">
        <v>164000</v>
      </c>
      <c r="G247" s="104"/>
      <c r="H247" s="104">
        <f t="shared" si="49"/>
        <v>2681423.98</v>
      </c>
    </row>
    <row r="248" spans="1:8" s="15" customFormat="1" ht="12" customHeight="1" x14ac:dyDescent="0.2">
      <c r="A248" s="31"/>
      <c r="B248" s="35"/>
      <c r="C248" s="44"/>
      <c r="D248" s="369" t="s">
        <v>155</v>
      </c>
      <c r="E248" s="374">
        <v>38399918.960000001</v>
      </c>
      <c r="F248" s="154">
        <f>SUM(F249:F263)</f>
        <v>280831</v>
      </c>
      <c r="G248" s="154">
        <f>SUM(G249:G263)</f>
        <v>51210</v>
      </c>
      <c r="H248" s="132">
        <f t="shared" si="49"/>
        <v>38629539.960000001</v>
      </c>
    </row>
    <row r="249" spans="1:8" s="15" customFormat="1" ht="12" customHeight="1" x14ac:dyDescent="0.2">
      <c r="A249" s="31"/>
      <c r="B249" s="35"/>
      <c r="C249" s="44">
        <v>3020</v>
      </c>
      <c r="D249" s="38" t="s">
        <v>116</v>
      </c>
      <c r="E249" s="39">
        <v>191416</v>
      </c>
      <c r="F249" s="40">
        <v>2000</v>
      </c>
      <c r="G249" s="40">
        <v>1000</v>
      </c>
      <c r="H249" s="41">
        <f t="shared" si="49"/>
        <v>192416</v>
      </c>
    </row>
    <row r="250" spans="1:8" s="15" customFormat="1" ht="12" customHeight="1" x14ac:dyDescent="0.2">
      <c r="A250" s="31"/>
      <c r="B250" s="35"/>
      <c r="C250" s="44">
        <v>4010</v>
      </c>
      <c r="D250" s="38" t="s">
        <v>137</v>
      </c>
      <c r="E250" s="39">
        <v>4505690</v>
      </c>
      <c r="F250" s="40">
        <v>164817</v>
      </c>
      <c r="G250" s="40"/>
      <c r="H250" s="41">
        <f t="shared" si="49"/>
        <v>4670507</v>
      </c>
    </row>
    <row r="251" spans="1:8" s="15" customFormat="1" ht="12" customHeight="1" x14ac:dyDescent="0.2">
      <c r="A251" s="31"/>
      <c r="B251" s="35"/>
      <c r="C251" s="44">
        <v>4040</v>
      </c>
      <c r="D251" s="38" t="s">
        <v>156</v>
      </c>
      <c r="E251" s="39">
        <v>375170</v>
      </c>
      <c r="F251" s="40"/>
      <c r="G251" s="40">
        <v>3810</v>
      </c>
      <c r="H251" s="41">
        <f t="shared" si="49"/>
        <v>371360</v>
      </c>
    </row>
    <row r="252" spans="1:8" s="15" customFormat="1" ht="12" customHeight="1" x14ac:dyDescent="0.2">
      <c r="A252" s="31"/>
      <c r="B252" s="35"/>
      <c r="C252" s="44">
        <v>4110</v>
      </c>
      <c r="D252" s="38" t="s">
        <v>138</v>
      </c>
      <c r="E252" s="39">
        <v>4757711.38</v>
      </c>
      <c r="F252" s="40">
        <f>16000+342</f>
        <v>16342</v>
      </c>
      <c r="G252" s="40"/>
      <c r="H252" s="41">
        <f t="shared" si="49"/>
        <v>4774053.38</v>
      </c>
    </row>
    <row r="253" spans="1:8" s="15" customFormat="1" ht="12" customHeight="1" x14ac:dyDescent="0.2">
      <c r="A253" s="31"/>
      <c r="B253" s="35"/>
      <c r="C253" s="44">
        <v>4120</v>
      </c>
      <c r="D253" s="38" t="s">
        <v>176</v>
      </c>
      <c r="E253" s="39">
        <v>715717.8</v>
      </c>
      <c r="F253" s="40">
        <v>49</v>
      </c>
      <c r="G253" s="40"/>
      <c r="H253" s="41">
        <f t="shared" si="49"/>
        <v>715766.8</v>
      </c>
    </row>
    <row r="254" spans="1:8" s="15" customFormat="1" ht="20.25" customHeight="1" x14ac:dyDescent="0.2">
      <c r="A254" s="31"/>
      <c r="B254" s="35"/>
      <c r="C254" s="143">
        <v>4140</v>
      </c>
      <c r="D254" s="128" t="s">
        <v>157</v>
      </c>
      <c r="E254" s="39">
        <v>18350</v>
      </c>
      <c r="F254" s="40"/>
      <c r="G254" s="40">
        <v>3000</v>
      </c>
      <c r="H254" s="41">
        <f t="shared" si="49"/>
        <v>15350</v>
      </c>
    </row>
    <row r="255" spans="1:8" s="15" customFormat="1" ht="12" customHeight="1" x14ac:dyDescent="0.2">
      <c r="A255" s="31"/>
      <c r="B255" s="35"/>
      <c r="C255" s="134" t="s">
        <v>23</v>
      </c>
      <c r="D255" s="131" t="s">
        <v>135</v>
      </c>
      <c r="E255" s="39">
        <v>302462</v>
      </c>
      <c r="F255" s="40">
        <v>6000</v>
      </c>
      <c r="G255" s="40"/>
      <c r="H255" s="41">
        <f t="shared" si="49"/>
        <v>308462</v>
      </c>
    </row>
    <row r="256" spans="1:8" s="15" customFormat="1" ht="12" customHeight="1" x14ac:dyDescent="0.2">
      <c r="A256" s="31"/>
      <c r="B256" s="35"/>
      <c r="C256" s="44">
        <v>4240</v>
      </c>
      <c r="D256" s="38" t="s">
        <v>158</v>
      </c>
      <c r="E256" s="39">
        <v>241310</v>
      </c>
      <c r="F256" s="40"/>
      <c r="G256" s="40">
        <v>10000</v>
      </c>
      <c r="H256" s="41">
        <f t="shared" si="49"/>
        <v>231310</v>
      </c>
    </row>
    <row r="257" spans="1:8" s="15" customFormat="1" ht="12" customHeight="1" x14ac:dyDescent="0.2">
      <c r="A257" s="31"/>
      <c r="B257" s="35"/>
      <c r="C257" s="44">
        <v>4260</v>
      </c>
      <c r="D257" s="38" t="s">
        <v>106</v>
      </c>
      <c r="E257" s="39">
        <v>1813022</v>
      </c>
      <c r="F257" s="40"/>
      <c r="G257" s="40">
        <v>6000</v>
      </c>
      <c r="H257" s="41">
        <f t="shared" si="49"/>
        <v>1807022</v>
      </c>
    </row>
    <row r="258" spans="1:8" s="15" customFormat="1" ht="12" customHeight="1" x14ac:dyDescent="0.2">
      <c r="A258" s="31"/>
      <c r="B258" s="35"/>
      <c r="C258" s="44">
        <v>4270</v>
      </c>
      <c r="D258" s="38" t="s">
        <v>107</v>
      </c>
      <c r="E258" s="39">
        <v>211648</v>
      </c>
      <c r="F258" s="40"/>
      <c r="G258" s="40">
        <v>5000</v>
      </c>
      <c r="H258" s="41">
        <f t="shared" si="49"/>
        <v>206648</v>
      </c>
    </row>
    <row r="259" spans="1:8" s="15" customFormat="1" ht="12" customHeight="1" x14ac:dyDescent="0.2">
      <c r="A259" s="31"/>
      <c r="B259" s="35"/>
      <c r="C259" s="44">
        <v>4280</v>
      </c>
      <c r="D259" s="38" t="s">
        <v>117</v>
      </c>
      <c r="E259" s="39">
        <v>24807</v>
      </c>
      <c r="F259" s="40">
        <v>1200</v>
      </c>
      <c r="G259" s="40"/>
      <c r="H259" s="41">
        <f t="shared" si="49"/>
        <v>26007</v>
      </c>
    </row>
    <row r="260" spans="1:8" s="15" customFormat="1" ht="12" customHeight="1" x14ac:dyDescent="0.2">
      <c r="A260" s="31"/>
      <c r="B260" s="35"/>
      <c r="C260" s="35">
        <v>4300</v>
      </c>
      <c r="D260" s="38" t="s">
        <v>108</v>
      </c>
      <c r="E260" s="39">
        <v>366158</v>
      </c>
      <c r="F260" s="40"/>
      <c r="G260" s="40">
        <v>10000</v>
      </c>
      <c r="H260" s="41">
        <f t="shared" si="49"/>
        <v>356158</v>
      </c>
    </row>
    <row r="261" spans="1:8" s="15" customFormat="1" ht="21" customHeight="1" x14ac:dyDescent="0.2">
      <c r="A261" s="31"/>
      <c r="B261" s="35"/>
      <c r="C261" s="118">
        <v>4700</v>
      </c>
      <c r="D261" s="128" t="s">
        <v>119</v>
      </c>
      <c r="E261" s="39">
        <v>31880</v>
      </c>
      <c r="F261" s="40"/>
      <c r="G261" s="40">
        <v>1200</v>
      </c>
      <c r="H261" s="41">
        <f t="shared" si="49"/>
        <v>30680</v>
      </c>
    </row>
    <row r="262" spans="1:8" s="15" customFormat="1" ht="12" customHeight="1" x14ac:dyDescent="0.2">
      <c r="A262" s="31"/>
      <c r="B262" s="35"/>
      <c r="C262" s="44">
        <v>4710</v>
      </c>
      <c r="D262" s="131" t="s">
        <v>120</v>
      </c>
      <c r="E262" s="39">
        <v>109749.16</v>
      </c>
      <c r="F262" s="40"/>
      <c r="G262" s="40">
        <v>11200</v>
      </c>
      <c r="H262" s="41">
        <f t="shared" si="49"/>
        <v>98549.16</v>
      </c>
    </row>
    <row r="263" spans="1:8" s="15" customFormat="1" ht="12" customHeight="1" x14ac:dyDescent="0.2">
      <c r="A263" s="31"/>
      <c r="B263" s="35"/>
      <c r="C263" s="43">
        <v>4790</v>
      </c>
      <c r="D263" s="144" t="s">
        <v>169</v>
      </c>
      <c r="E263" s="39">
        <v>21665725.620000001</v>
      </c>
      <c r="F263" s="40">
        <v>90423</v>
      </c>
      <c r="G263" s="40"/>
      <c r="H263" s="41">
        <f t="shared" si="49"/>
        <v>21756148.620000001</v>
      </c>
    </row>
    <row r="264" spans="1:8" s="15" customFormat="1" ht="23.1" customHeight="1" x14ac:dyDescent="0.2">
      <c r="A264" s="31"/>
      <c r="B264" s="35"/>
      <c r="C264" s="25"/>
      <c r="D264" s="372" t="s">
        <v>160</v>
      </c>
      <c r="E264" s="374">
        <v>15001.84</v>
      </c>
      <c r="F264" s="374">
        <f>SUM(F265:F270)</f>
        <v>2519.89</v>
      </c>
      <c r="G264" s="374">
        <f>SUM(G265:G270)</f>
        <v>1592.96</v>
      </c>
      <c r="H264" s="132">
        <f>SUM(E264+F264-G264)</f>
        <v>15928.77</v>
      </c>
    </row>
    <row r="265" spans="1:8" s="15" customFormat="1" ht="20.45" customHeight="1" x14ac:dyDescent="0.2">
      <c r="A265" s="31"/>
      <c r="B265" s="35"/>
      <c r="C265" s="133" t="s">
        <v>131</v>
      </c>
      <c r="D265" s="128" t="s">
        <v>132</v>
      </c>
      <c r="E265" s="40">
        <v>0</v>
      </c>
      <c r="F265" s="40">
        <v>739</v>
      </c>
      <c r="G265" s="40"/>
      <c r="H265" s="41">
        <f t="shared" ref="H265:H270" si="50">SUM(E265+F265-G265)</f>
        <v>739</v>
      </c>
    </row>
    <row r="266" spans="1:8" s="15" customFormat="1" ht="12" customHeight="1" x14ac:dyDescent="0.2">
      <c r="A266" s="31"/>
      <c r="B266" s="35"/>
      <c r="C266" s="35">
        <v>4370</v>
      </c>
      <c r="D266" s="35" t="s">
        <v>142</v>
      </c>
      <c r="E266" s="40">
        <v>0</v>
      </c>
      <c r="F266" s="40">
        <v>35.47</v>
      </c>
      <c r="G266" s="40"/>
      <c r="H266" s="41">
        <f t="shared" si="50"/>
        <v>35.47</v>
      </c>
    </row>
    <row r="267" spans="1:8" s="15" customFormat="1" ht="23.1" customHeight="1" x14ac:dyDescent="0.2">
      <c r="A267" s="31"/>
      <c r="B267" s="35"/>
      <c r="C267" s="118">
        <v>4740</v>
      </c>
      <c r="D267" s="119" t="s">
        <v>161</v>
      </c>
      <c r="E267" s="40">
        <v>60</v>
      </c>
      <c r="F267" s="40"/>
      <c r="G267" s="40">
        <v>60</v>
      </c>
      <c r="H267" s="41">
        <f t="shared" si="50"/>
        <v>0</v>
      </c>
    </row>
    <row r="268" spans="1:8" s="15" customFormat="1" ht="23.1" customHeight="1" x14ac:dyDescent="0.2">
      <c r="A268" s="31"/>
      <c r="B268" s="35"/>
      <c r="C268" s="118">
        <v>4750</v>
      </c>
      <c r="D268" s="119" t="s">
        <v>162</v>
      </c>
      <c r="E268" s="40">
        <v>11670.5</v>
      </c>
      <c r="F268" s="39">
        <v>744.88</v>
      </c>
      <c r="G268" s="39">
        <v>697.01</v>
      </c>
      <c r="H268" s="41">
        <f t="shared" si="50"/>
        <v>11718.369999999999</v>
      </c>
    </row>
    <row r="269" spans="1:8" s="15" customFormat="1" ht="23.1" customHeight="1" x14ac:dyDescent="0.2">
      <c r="A269" s="31"/>
      <c r="B269" s="35"/>
      <c r="C269" s="118">
        <v>4850</v>
      </c>
      <c r="D269" s="119" t="s">
        <v>163</v>
      </c>
      <c r="E269" s="40">
        <v>3271.34</v>
      </c>
      <c r="F269" s="40">
        <v>182.05</v>
      </c>
      <c r="G269" s="40">
        <v>835.95</v>
      </c>
      <c r="H269" s="41">
        <f t="shared" si="50"/>
        <v>2617.4400000000005</v>
      </c>
    </row>
    <row r="270" spans="1:8" s="15" customFormat="1" ht="20.25" customHeight="1" x14ac:dyDescent="0.2">
      <c r="A270" s="31"/>
      <c r="B270" s="35"/>
      <c r="C270" s="118">
        <v>4860</v>
      </c>
      <c r="D270" s="119" t="s">
        <v>164</v>
      </c>
      <c r="E270" s="40">
        <v>0</v>
      </c>
      <c r="F270" s="40">
        <v>818.49</v>
      </c>
      <c r="G270" s="40"/>
      <c r="H270" s="41">
        <f t="shared" si="50"/>
        <v>818.49</v>
      </c>
    </row>
    <row r="271" spans="1:8" s="15" customFormat="1" ht="12" customHeight="1" x14ac:dyDescent="0.2">
      <c r="A271" s="31"/>
      <c r="B271" s="35">
        <v>80116</v>
      </c>
      <c r="C271" s="25"/>
      <c r="D271" s="42" t="s">
        <v>180</v>
      </c>
      <c r="E271" s="46">
        <v>5889682.5800000001</v>
      </c>
      <c r="F271" s="37">
        <f>SUM(F272)</f>
        <v>0</v>
      </c>
      <c r="G271" s="37">
        <f>SUM(G272)</f>
        <v>200000</v>
      </c>
      <c r="H271" s="36">
        <f>SUM(E271+F271-G271)</f>
        <v>5689682.5800000001</v>
      </c>
    </row>
    <row r="272" spans="1:8" s="15" customFormat="1" ht="12" customHeight="1" x14ac:dyDescent="0.2">
      <c r="A272" s="31"/>
      <c r="B272" s="35"/>
      <c r="C272" s="25"/>
      <c r="D272" s="377" t="s">
        <v>152</v>
      </c>
      <c r="E272" s="374">
        <v>5106549.91</v>
      </c>
      <c r="F272" s="374">
        <f>SUM(F273:F273)</f>
        <v>0</v>
      </c>
      <c r="G272" s="374">
        <f>SUM(G273:G273)</f>
        <v>200000</v>
      </c>
      <c r="H272" s="374">
        <f t="shared" ref="H272:H273" si="51">SUM(E272+F272-G272)</f>
        <v>4906549.91</v>
      </c>
    </row>
    <row r="273" spans="1:8" s="15" customFormat="1" ht="21" customHeight="1" x14ac:dyDescent="0.2">
      <c r="A273" s="31"/>
      <c r="B273" s="35"/>
      <c r="C273" s="118">
        <v>2540</v>
      </c>
      <c r="D273" s="119" t="s">
        <v>153</v>
      </c>
      <c r="E273" s="104">
        <v>5106549.91</v>
      </c>
      <c r="F273" s="104"/>
      <c r="G273" s="104">
        <v>200000</v>
      </c>
      <c r="H273" s="104">
        <f t="shared" si="51"/>
        <v>4906549.91</v>
      </c>
    </row>
    <row r="274" spans="1:8" s="15" customFormat="1" ht="12" customHeight="1" x14ac:dyDescent="0.2">
      <c r="A274" s="31"/>
      <c r="B274" s="35">
        <v>80117</v>
      </c>
      <c r="C274" s="25"/>
      <c r="D274" s="42" t="s">
        <v>181</v>
      </c>
      <c r="E274" s="46">
        <v>8635576.8900000006</v>
      </c>
      <c r="F274" s="37">
        <f>SUM(F275,F278,F283)</f>
        <v>97189.53</v>
      </c>
      <c r="G274" s="37">
        <f>SUM(G275,G278,G283)</f>
        <v>213357.32</v>
      </c>
      <c r="H274" s="36">
        <f>SUM(E274+F274-G274)</f>
        <v>8519409.0999999996</v>
      </c>
    </row>
    <row r="275" spans="1:8" s="15" customFormat="1" ht="12" customHeight="1" x14ac:dyDescent="0.2">
      <c r="A275" s="31"/>
      <c r="B275" s="35"/>
      <c r="C275" s="25"/>
      <c r="D275" s="377" t="s">
        <v>152</v>
      </c>
      <c r="E275" s="374">
        <v>2668219.77</v>
      </c>
      <c r="F275" s="374">
        <f>SUM(F276:F277)</f>
        <v>85000</v>
      </c>
      <c r="G275" s="374">
        <f>SUM(G276:G277)</f>
        <v>200000</v>
      </c>
      <c r="H275" s="374">
        <f t="shared" ref="H275:H282" si="52">SUM(E275+F275-G275)</f>
        <v>2553219.77</v>
      </c>
    </row>
    <row r="276" spans="1:8" s="15" customFormat="1" ht="21" customHeight="1" x14ac:dyDescent="0.2">
      <c r="A276" s="31"/>
      <c r="B276" s="35"/>
      <c r="C276" s="118">
        <v>2540</v>
      </c>
      <c r="D276" s="119" t="s">
        <v>153</v>
      </c>
      <c r="E276" s="104">
        <v>1779028.5</v>
      </c>
      <c r="F276" s="104"/>
      <c r="G276" s="104">
        <v>200000</v>
      </c>
      <c r="H276" s="104">
        <f t="shared" si="52"/>
        <v>1579028.5</v>
      </c>
    </row>
    <row r="277" spans="1:8" s="15" customFormat="1" ht="34.5" customHeight="1" x14ac:dyDescent="0.2">
      <c r="A277" s="31"/>
      <c r="B277" s="35"/>
      <c r="C277" s="118">
        <v>2590</v>
      </c>
      <c r="D277" s="142" t="s">
        <v>154</v>
      </c>
      <c r="E277" s="40">
        <v>889191.27</v>
      </c>
      <c r="F277" s="40">
        <v>85000</v>
      </c>
      <c r="G277" s="40"/>
      <c r="H277" s="39">
        <f t="shared" si="52"/>
        <v>974191.27</v>
      </c>
    </row>
    <row r="278" spans="1:8" s="15" customFormat="1" ht="12" customHeight="1" x14ac:dyDescent="0.2">
      <c r="A278" s="31"/>
      <c r="B278" s="31"/>
      <c r="C278" s="25"/>
      <c r="D278" s="369" t="s">
        <v>155</v>
      </c>
      <c r="E278" s="374">
        <v>5964477.0499999998</v>
      </c>
      <c r="F278" s="374">
        <f>SUM(F279:F282)</f>
        <v>10873</v>
      </c>
      <c r="G278" s="374">
        <f>SUM(G279:G282)</f>
        <v>13000</v>
      </c>
      <c r="H278" s="374">
        <f t="shared" si="52"/>
        <v>5962350.0499999998</v>
      </c>
    </row>
    <row r="279" spans="1:8" s="15" customFormat="1" ht="12" customHeight="1" x14ac:dyDescent="0.2">
      <c r="A279" s="31"/>
      <c r="B279" s="31"/>
      <c r="C279" s="44">
        <v>4040</v>
      </c>
      <c r="D279" s="38" t="s">
        <v>156</v>
      </c>
      <c r="E279" s="40">
        <v>17082</v>
      </c>
      <c r="F279" s="40"/>
      <c r="G279" s="40">
        <v>3000</v>
      </c>
      <c r="H279" s="39">
        <f t="shared" si="52"/>
        <v>14082</v>
      </c>
    </row>
    <row r="280" spans="1:8" s="15" customFormat="1" ht="12" customHeight="1" x14ac:dyDescent="0.2">
      <c r="A280" s="31"/>
      <c r="B280" s="35"/>
      <c r="C280" s="44">
        <v>4110</v>
      </c>
      <c r="D280" s="38" t="s">
        <v>138</v>
      </c>
      <c r="E280" s="39">
        <v>706000.95</v>
      </c>
      <c r="F280" s="40">
        <v>5873</v>
      </c>
      <c r="G280" s="40"/>
      <c r="H280" s="39">
        <f t="shared" si="52"/>
        <v>711873.95</v>
      </c>
    </row>
    <row r="281" spans="1:8" s="15" customFormat="1" ht="12" customHeight="1" x14ac:dyDescent="0.2">
      <c r="A281" s="31"/>
      <c r="B281" s="35"/>
      <c r="C281" s="44">
        <v>4710</v>
      </c>
      <c r="D281" s="131" t="s">
        <v>120</v>
      </c>
      <c r="E281" s="39">
        <v>34475.03</v>
      </c>
      <c r="F281" s="40"/>
      <c r="G281" s="40">
        <v>10000</v>
      </c>
      <c r="H281" s="39">
        <f t="shared" si="52"/>
        <v>24475.03</v>
      </c>
    </row>
    <row r="282" spans="1:8" s="15" customFormat="1" ht="12" customHeight="1" x14ac:dyDescent="0.2">
      <c r="A282" s="31"/>
      <c r="B282" s="35"/>
      <c r="C282" s="43">
        <v>4790</v>
      </c>
      <c r="D282" s="144" t="s">
        <v>169</v>
      </c>
      <c r="E282" s="39">
        <v>3436378.5</v>
      </c>
      <c r="F282" s="40">
        <v>5000</v>
      </c>
      <c r="G282" s="40"/>
      <c r="H282" s="39">
        <f t="shared" si="52"/>
        <v>3441378.5</v>
      </c>
    </row>
    <row r="283" spans="1:8" s="15" customFormat="1" ht="21.75" customHeight="1" x14ac:dyDescent="0.2">
      <c r="A283" s="31"/>
      <c r="B283" s="35"/>
      <c r="C283" s="25"/>
      <c r="D283" s="372" t="s">
        <v>160</v>
      </c>
      <c r="E283" s="374">
        <v>2880.07</v>
      </c>
      <c r="F283" s="374">
        <f>SUM(F284:F287)</f>
        <v>1316.5300000000002</v>
      </c>
      <c r="G283" s="374">
        <f>SUM(G284:G287)</f>
        <v>357.32</v>
      </c>
      <c r="H283" s="132">
        <f>SUM(E283+F283-G283)</f>
        <v>3839.28</v>
      </c>
    </row>
    <row r="284" spans="1:8" s="15" customFormat="1" ht="20.25" customHeight="1" x14ac:dyDescent="0.2">
      <c r="A284" s="113"/>
      <c r="B284" s="129"/>
      <c r="C284" s="148" t="s">
        <v>131</v>
      </c>
      <c r="D284" s="149" t="s">
        <v>132</v>
      </c>
      <c r="E284" s="46">
        <v>0</v>
      </c>
      <c r="F284" s="46">
        <v>357.32</v>
      </c>
      <c r="G284" s="46"/>
      <c r="H284" s="36">
        <f t="shared" ref="H284:H287" si="53">SUM(E284+F284-G284)</f>
        <v>357.32</v>
      </c>
    </row>
    <row r="285" spans="1:8" s="15" customFormat="1" ht="20.25" customHeight="1" x14ac:dyDescent="0.2">
      <c r="A285" s="31"/>
      <c r="B285" s="35"/>
      <c r="C285" s="118">
        <v>4740</v>
      </c>
      <c r="D285" s="119" t="s">
        <v>161</v>
      </c>
      <c r="E285" s="40">
        <v>55</v>
      </c>
      <c r="F285" s="40"/>
      <c r="G285" s="40">
        <v>55</v>
      </c>
      <c r="H285" s="41">
        <f t="shared" si="53"/>
        <v>0</v>
      </c>
    </row>
    <row r="286" spans="1:8" s="15" customFormat="1" ht="20.25" customHeight="1" x14ac:dyDescent="0.2">
      <c r="A286" s="31"/>
      <c r="B286" s="35"/>
      <c r="C286" s="118">
        <v>4750</v>
      </c>
      <c r="D286" s="119" t="s">
        <v>162</v>
      </c>
      <c r="E286" s="40">
        <v>2330.65</v>
      </c>
      <c r="F286" s="104">
        <v>770.82</v>
      </c>
      <c r="G286" s="104">
        <v>222.03</v>
      </c>
      <c r="H286" s="104">
        <f t="shared" si="53"/>
        <v>2879.44</v>
      </c>
    </row>
    <row r="287" spans="1:8" s="15" customFormat="1" ht="21" customHeight="1" x14ac:dyDescent="0.2">
      <c r="A287" s="31"/>
      <c r="B287" s="35"/>
      <c r="C287" s="118">
        <v>4850</v>
      </c>
      <c r="D287" s="119" t="s">
        <v>163</v>
      </c>
      <c r="E287" s="40">
        <v>494.42</v>
      </c>
      <c r="F287" s="40">
        <v>188.39</v>
      </c>
      <c r="G287" s="40">
        <v>80.290000000000006</v>
      </c>
      <c r="H287" s="39">
        <f t="shared" si="53"/>
        <v>602.52</v>
      </c>
    </row>
    <row r="288" spans="1:8" s="15" customFormat="1" ht="12" customHeight="1" x14ac:dyDescent="0.2">
      <c r="A288" s="31"/>
      <c r="B288" s="43">
        <v>80120</v>
      </c>
      <c r="C288" s="121"/>
      <c r="D288" s="124" t="s">
        <v>182</v>
      </c>
      <c r="E288" s="46">
        <v>29199634.580000002</v>
      </c>
      <c r="F288" s="37">
        <f>SUM(F289,F291,F301,F303)</f>
        <v>530859.01</v>
      </c>
      <c r="G288" s="37">
        <f>SUM(G289,G291,G301,G303)</f>
        <v>503850.93</v>
      </c>
      <c r="H288" s="36">
        <f>SUM(E288+F288-G288)</f>
        <v>29226642.660000004</v>
      </c>
    </row>
    <row r="289" spans="1:8" s="15" customFormat="1" ht="12" customHeight="1" x14ac:dyDescent="0.2">
      <c r="A289" s="31"/>
      <c r="B289" s="43"/>
      <c r="C289" s="25"/>
      <c r="D289" s="377" t="s">
        <v>152</v>
      </c>
      <c r="E289" s="374">
        <v>6808107.5900000008</v>
      </c>
      <c r="F289" s="374">
        <f>SUM(F290:F290)</f>
        <v>0</v>
      </c>
      <c r="G289" s="374">
        <f>SUM(G290:G290)</f>
        <v>450000</v>
      </c>
      <c r="H289" s="374">
        <f t="shared" ref="H289:H308" si="54">SUM(E289+F289-G289)</f>
        <v>6358107.5900000008</v>
      </c>
    </row>
    <row r="290" spans="1:8" s="15" customFormat="1" ht="18.75" customHeight="1" x14ac:dyDescent="0.2">
      <c r="A290" s="31"/>
      <c r="B290" s="43"/>
      <c r="C290" s="118">
        <v>2540</v>
      </c>
      <c r="D290" s="119" t="s">
        <v>153</v>
      </c>
      <c r="E290" s="104">
        <v>3776805.58</v>
      </c>
      <c r="F290" s="104"/>
      <c r="G290" s="104">
        <v>450000</v>
      </c>
      <c r="H290" s="104">
        <f t="shared" si="54"/>
        <v>3326805.58</v>
      </c>
    </row>
    <row r="291" spans="1:8" s="15" customFormat="1" ht="12" customHeight="1" x14ac:dyDescent="0.2">
      <c r="A291" s="31"/>
      <c r="B291" s="31"/>
      <c r="C291" s="25"/>
      <c r="D291" s="369" t="s">
        <v>155</v>
      </c>
      <c r="E291" s="374">
        <v>21933169.57</v>
      </c>
      <c r="F291" s="374">
        <f>SUM(F292:F300)</f>
        <v>462100</v>
      </c>
      <c r="G291" s="374">
        <f>SUM(G292:G300)</f>
        <v>30200</v>
      </c>
      <c r="H291" s="374">
        <f t="shared" si="54"/>
        <v>22365069.57</v>
      </c>
    </row>
    <row r="292" spans="1:8" s="15" customFormat="1" ht="11.45" customHeight="1" x14ac:dyDescent="0.2">
      <c r="A292" s="31"/>
      <c r="B292" s="35"/>
      <c r="C292" s="44">
        <v>4010</v>
      </c>
      <c r="D292" s="38" t="s">
        <v>137</v>
      </c>
      <c r="E292" s="41">
        <v>2210348</v>
      </c>
      <c r="F292" s="104">
        <v>74000</v>
      </c>
      <c r="G292" s="104"/>
      <c r="H292" s="104">
        <f t="shared" si="54"/>
        <v>2284348</v>
      </c>
    </row>
    <row r="293" spans="1:8" s="15" customFormat="1" ht="11.45" customHeight="1" x14ac:dyDescent="0.2">
      <c r="A293" s="31"/>
      <c r="B293" s="35"/>
      <c r="C293" s="44">
        <v>4110</v>
      </c>
      <c r="D293" s="38" t="s">
        <v>138</v>
      </c>
      <c r="E293" s="41">
        <v>2732342.04</v>
      </c>
      <c r="F293" s="104">
        <v>95300</v>
      </c>
      <c r="G293" s="104"/>
      <c r="H293" s="104">
        <f t="shared" si="54"/>
        <v>2827642.04</v>
      </c>
    </row>
    <row r="294" spans="1:8" s="15" customFormat="1" ht="11.45" customHeight="1" x14ac:dyDescent="0.2">
      <c r="A294" s="31"/>
      <c r="B294" s="35"/>
      <c r="C294" s="134" t="s">
        <v>23</v>
      </c>
      <c r="D294" s="131" t="s">
        <v>135</v>
      </c>
      <c r="E294" s="40">
        <v>152250</v>
      </c>
      <c r="F294" s="40">
        <v>6000</v>
      </c>
      <c r="G294" s="40"/>
      <c r="H294" s="39">
        <f t="shared" si="54"/>
        <v>158250</v>
      </c>
    </row>
    <row r="295" spans="1:8" s="15" customFormat="1" ht="11.45" customHeight="1" x14ac:dyDescent="0.2">
      <c r="A295" s="31"/>
      <c r="B295" s="35"/>
      <c r="C295" s="44">
        <v>4240</v>
      </c>
      <c r="D295" s="38" t="s">
        <v>158</v>
      </c>
      <c r="E295" s="41">
        <v>130153</v>
      </c>
      <c r="F295" s="40"/>
      <c r="G295" s="40">
        <v>30000</v>
      </c>
      <c r="H295" s="39">
        <f t="shared" si="54"/>
        <v>100153</v>
      </c>
    </row>
    <row r="296" spans="1:8" s="15" customFormat="1" ht="11.45" customHeight="1" x14ac:dyDescent="0.2">
      <c r="A296" s="31"/>
      <c r="B296" s="35"/>
      <c r="C296" s="44">
        <v>4280</v>
      </c>
      <c r="D296" s="38" t="s">
        <v>117</v>
      </c>
      <c r="E296" s="41">
        <v>12305</v>
      </c>
      <c r="F296" s="40">
        <v>3200</v>
      </c>
      <c r="G296" s="40"/>
      <c r="H296" s="39">
        <f t="shared" si="54"/>
        <v>15505</v>
      </c>
    </row>
    <row r="297" spans="1:8" s="15" customFormat="1" ht="11.45" customHeight="1" x14ac:dyDescent="0.2">
      <c r="A297" s="31"/>
      <c r="B297" s="35"/>
      <c r="C297" s="44">
        <v>4430</v>
      </c>
      <c r="D297" s="38" t="s">
        <v>112</v>
      </c>
      <c r="E297" s="41">
        <v>2727</v>
      </c>
      <c r="F297" s="40">
        <v>200</v>
      </c>
      <c r="G297" s="40"/>
      <c r="H297" s="39">
        <f t="shared" si="54"/>
        <v>2927</v>
      </c>
    </row>
    <row r="298" spans="1:8" s="15" customFormat="1" ht="20.45" customHeight="1" x14ac:dyDescent="0.2">
      <c r="A298" s="31"/>
      <c r="B298" s="35"/>
      <c r="C298" s="118">
        <v>4700</v>
      </c>
      <c r="D298" s="128" t="s">
        <v>119</v>
      </c>
      <c r="E298" s="41">
        <v>18480</v>
      </c>
      <c r="F298" s="40">
        <v>700</v>
      </c>
      <c r="G298" s="40"/>
      <c r="H298" s="39">
        <f t="shared" si="54"/>
        <v>19180</v>
      </c>
    </row>
    <row r="299" spans="1:8" s="15" customFormat="1" ht="11.45" customHeight="1" x14ac:dyDescent="0.2">
      <c r="A299" s="31"/>
      <c r="B299" s="35"/>
      <c r="C299" s="44">
        <v>4710</v>
      </c>
      <c r="D299" s="131" t="s">
        <v>120</v>
      </c>
      <c r="E299" s="41">
        <v>76599.960000000006</v>
      </c>
      <c r="F299" s="40"/>
      <c r="G299" s="40">
        <v>200</v>
      </c>
      <c r="H299" s="39">
        <f t="shared" si="54"/>
        <v>76399.960000000006</v>
      </c>
    </row>
    <row r="300" spans="1:8" s="15" customFormat="1" ht="11.45" customHeight="1" x14ac:dyDescent="0.2">
      <c r="A300" s="31"/>
      <c r="B300" s="35"/>
      <c r="C300" s="43">
        <v>4790</v>
      </c>
      <c r="D300" s="144" t="s">
        <v>169</v>
      </c>
      <c r="E300" s="41">
        <v>12410950.880000001</v>
      </c>
      <c r="F300" s="40">
        <v>282700</v>
      </c>
      <c r="G300" s="40"/>
      <c r="H300" s="39">
        <f t="shared" si="54"/>
        <v>12693650.880000001</v>
      </c>
    </row>
    <row r="301" spans="1:8" s="15" customFormat="1" ht="21.6" customHeight="1" x14ac:dyDescent="0.2">
      <c r="A301" s="31"/>
      <c r="B301" s="35"/>
      <c r="C301" s="25"/>
      <c r="D301" s="376" t="s">
        <v>183</v>
      </c>
      <c r="E301" s="374">
        <v>0</v>
      </c>
      <c r="F301" s="374">
        <f>SUM(F302)</f>
        <v>30000</v>
      </c>
      <c r="G301" s="374">
        <f>SUM(G302)</f>
        <v>0</v>
      </c>
      <c r="H301" s="374">
        <f t="shared" si="54"/>
        <v>30000</v>
      </c>
    </row>
    <row r="302" spans="1:8" s="15" customFormat="1" ht="11.45" customHeight="1" x14ac:dyDescent="0.2">
      <c r="A302" s="31"/>
      <c r="B302" s="35"/>
      <c r="C302" s="44">
        <v>4240</v>
      </c>
      <c r="D302" s="38" t="s">
        <v>158</v>
      </c>
      <c r="E302" s="41">
        <v>0</v>
      </c>
      <c r="F302" s="104">
        <v>30000</v>
      </c>
      <c r="G302" s="104"/>
      <c r="H302" s="104">
        <f t="shared" si="54"/>
        <v>30000</v>
      </c>
    </row>
    <row r="303" spans="1:8" s="15" customFormat="1" ht="23.1" customHeight="1" x14ac:dyDescent="0.2">
      <c r="A303" s="31"/>
      <c r="B303" s="35"/>
      <c r="C303" s="25"/>
      <c r="D303" s="372" t="s">
        <v>160</v>
      </c>
      <c r="E303" s="374">
        <v>62821.609999999993</v>
      </c>
      <c r="F303" s="374">
        <f>SUM(F304:F308)</f>
        <v>38759.01</v>
      </c>
      <c r="G303" s="374">
        <f>SUM(G304:G308)</f>
        <v>23650.93</v>
      </c>
      <c r="H303" s="374">
        <f t="shared" si="54"/>
        <v>77929.69</v>
      </c>
    </row>
    <row r="304" spans="1:8" s="15" customFormat="1" ht="20.45" customHeight="1" x14ac:dyDescent="0.2">
      <c r="A304" s="31"/>
      <c r="B304" s="35"/>
      <c r="C304" s="133" t="s">
        <v>131</v>
      </c>
      <c r="D304" s="128" t="s">
        <v>132</v>
      </c>
      <c r="E304" s="39">
        <v>1500</v>
      </c>
      <c r="F304" s="40">
        <v>20459</v>
      </c>
      <c r="G304" s="40"/>
      <c r="H304" s="41">
        <f t="shared" si="54"/>
        <v>21959</v>
      </c>
    </row>
    <row r="305" spans="1:8" s="15" customFormat="1" ht="12" customHeight="1" x14ac:dyDescent="0.2">
      <c r="A305" s="31"/>
      <c r="B305" s="35"/>
      <c r="C305" s="35">
        <v>4370</v>
      </c>
      <c r="D305" s="35" t="s">
        <v>142</v>
      </c>
      <c r="E305" s="40">
        <v>0</v>
      </c>
      <c r="F305" s="40">
        <v>167.03</v>
      </c>
      <c r="G305" s="40"/>
      <c r="H305" s="41">
        <f t="shared" si="54"/>
        <v>167.03</v>
      </c>
    </row>
    <row r="306" spans="1:8" s="15" customFormat="1" ht="23.1" customHeight="1" x14ac:dyDescent="0.2">
      <c r="A306" s="31"/>
      <c r="B306" s="35"/>
      <c r="C306" s="118">
        <v>4750</v>
      </c>
      <c r="D306" s="119" t="s">
        <v>162</v>
      </c>
      <c r="E306" s="40">
        <v>48712.329999999994</v>
      </c>
      <c r="F306" s="104">
        <v>12141.03</v>
      </c>
      <c r="G306" s="104">
        <v>19756.38</v>
      </c>
      <c r="H306" s="41">
        <f t="shared" si="54"/>
        <v>41096.979999999996</v>
      </c>
    </row>
    <row r="307" spans="1:8" s="15" customFormat="1" ht="23.1" customHeight="1" x14ac:dyDescent="0.2">
      <c r="A307" s="31"/>
      <c r="B307" s="35"/>
      <c r="C307" s="118">
        <v>4850</v>
      </c>
      <c r="D307" s="119" t="s">
        <v>163</v>
      </c>
      <c r="E307" s="40">
        <v>12609.28</v>
      </c>
      <c r="F307" s="104">
        <v>2967.05</v>
      </c>
      <c r="G307" s="104">
        <v>3894.55</v>
      </c>
      <c r="H307" s="104">
        <f t="shared" si="54"/>
        <v>11681.780000000002</v>
      </c>
    </row>
    <row r="308" spans="1:8" s="15" customFormat="1" ht="23.1" customHeight="1" x14ac:dyDescent="0.2">
      <c r="A308" s="31"/>
      <c r="B308" s="35"/>
      <c r="C308" s="118">
        <v>4860</v>
      </c>
      <c r="D308" s="119" t="s">
        <v>164</v>
      </c>
      <c r="E308" s="40">
        <v>0</v>
      </c>
      <c r="F308" s="104">
        <v>3024.9</v>
      </c>
      <c r="G308" s="104"/>
      <c r="H308" s="104">
        <f t="shared" si="54"/>
        <v>3024.9</v>
      </c>
    </row>
    <row r="309" spans="1:8" s="15" customFormat="1" ht="11.45" customHeight="1" x14ac:dyDescent="0.2">
      <c r="A309" s="31"/>
      <c r="B309" s="44">
        <v>80132</v>
      </c>
      <c r="C309" s="25"/>
      <c r="D309" s="42" t="s">
        <v>184</v>
      </c>
      <c r="E309" s="36">
        <v>14466429.420000002</v>
      </c>
      <c r="F309" s="37">
        <f>SUM(F310,F315)</f>
        <v>28136.78</v>
      </c>
      <c r="G309" s="37">
        <f>SUM(G310,G315)</f>
        <v>25717</v>
      </c>
      <c r="H309" s="36">
        <f>SUM(E309+F309-G309)</f>
        <v>14468849.200000001</v>
      </c>
    </row>
    <row r="310" spans="1:8" s="15" customFormat="1" ht="11.45" customHeight="1" x14ac:dyDescent="0.2">
      <c r="A310" s="31"/>
      <c r="B310" s="44"/>
      <c r="C310" s="25"/>
      <c r="D310" s="369" t="s">
        <v>155</v>
      </c>
      <c r="E310" s="374">
        <v>5808820.6699999999</v>
      </c>
      <c r="F310" s="374">
        <f>SUM(F311:F314)</f>
        <v>25000</v>
      </c>
      <c r="G310" s="374">
        <f>SUM(G311:G314)</f>
        <v>25000</v>
      </c>
      <c r="H310" s="374">
        <f t="shared" ref="H310:H319" si="55">SUM(E310+F310-G310)</f>
        <v>5808820.6699999999</v>
      </c>
    </row>
    <row r="311" spans="1:8" s="15" customFormat="1" ht="11.45" customHeight="1" x14ac:dyDescent="0.2">
      <c r="A311" s="31"/>
      <c r="B311" s="44"/>
      <c r="C311" s="44">
        <v>4240</v>
      </c>
      <c r="D311" s="38" t="s">
        <v>158</v>
      </c>
      <c r="E311" s="40">
        <v>40000</v>
      </c>
      <c r="F311" s="40"/>
      <c r="G311" s="40">
        <f>5000+15000</f>
        <v>20000</v>
      </c>
      <c r="H311" s="39">
        <f t="shared" si="55"/>
        <v>20000</v>
      </c>
    </row>
    <row r="312" spans="1:8" s="15" customFormat="1" ht="11.45" customHeight="1" x14ac:dyDescent="0.2">
      <c r="A312" s="31"/>
      <c r="B312" s="44"/>
      <c r="C312" s="44">
        <v>4260</v>
      </c>
      <c r="D312" s="38" t="s">
        <v>106</v>
      </c>
      <c r="E312" s="39">
        <v>140000</v>
      </c>
      <c r="F312" s="40">
        <v>20000</v>
      </c>
      <c r="G312" s="40"/>
      <c r="H312" s="39">
        <f t="shared" si="55"/>
        <v>160000</v>
      </c>
    </row>
    <row r="313" spans="1:8" s="15" customFormat="1" ht="11.45" customHeight="1" x14ac:dyDescent="0.2">
      <c r="A313" s="31"/>
      <c r="B313" s="44"/>
      <c r="C313" s="35">
        <v>4300</v>
      </c>
      <c r="D313" s="38" t="s">
        <v>108</v>
      </c>
      <c r="E313" s="39">
        <v>22500</v>
      </c>
      <c r="F313" s="40">
        <v>5000</v>
      </c>
      <c r="G313" s="40"/>
      <c r="H313" s="39">
        <f t="shared" si="55"/>
        <v>27500</v>
      </c>
    </row>
    <row r="314" spans="1:8" s="15" customFormat="1" ht="11.45" customHeight="1" x14ac:dyDescent="0.2">
      <c r="A314" s="31"/>
      <c r="B314" s="44"/>
      <c r="C314" s="44">
        <v>4710</v>
      </c>
      <c r="D314" s="131" t="s">
        <v>120</v>
      </c>
      <c r="E314" s="39">
        <v>16897.88</v>
      </c>
      <c r="F314" s="40"/>
      <c r="G314" s="40">
        <f>2000+3000</f>
        <v>5000</v>
      </c>
      <c r="H314" s="39">
        <f t="shared" si="55"/>
        <v>11897.880000000001</v>
      </c>
    </row>
    <row r="315" spans="1:8" s="15" customFormat="1" ht="23.1" customHeight="1" x14ac:dyDescent="0.2">
      <c r="A315" s="31"/>
      <c r="B315" s="44"/>
      <c r="C315" s="25"/>
      <c r="D315" s="372" t="s">
        <v>160</v>
      </c>
      <c r="E315" s="374">
        <v>7608.75</v>
      </c>
      <c r="F315" s="374">
        <f>SUM(F316:F319)</f>
        <v>3136.7799999999997</v>
      </c>
      <c r="G315" s="374">
        <f>SUM(G316:G319)</f>
        <v>717</v>
      </c>
      <c r="H315" s="374">
        <f t="shared" si="55"/>
        <v>10028.529999999999</v>
      </c>
    </row>
    <row r="316" spans="1:8" s="15" customFormat="1" ht="12" customHeight="1" x14ac:dyDescent="0.2">
      <c r="A316" s="31"/>
      <c r="B316" s="35"/>
      <c r="C316" s="35">
        <v>4370</v>
      </c>
      <c r="D316" s="35" t="s">
        <v>142</v>
      </c>
      <c r="E316" s="40">
        <v>0</v>
      </c>
      <c r="F316" s="104">
        <v>35.28</v>
      </c>
      <c r="G316" s="104"/>
      <c r="H316" s="104">
        <f t="shared" si="55"/>
        <v>35.28</v>
      </c>
    </row>
    <row r="317" spans="1:8" s="15" customFormat="1" ht="23.1" customHeight="1" x14ac:dyDescent="0.2">
      <c r="A317" s="31"/>
      <c r="B317" s="35"/>
      <c r="C317" s="118">
        <v>4750</v>
      </c>
      <c r="D317" s="119" t="s">
        <v>162</v>
      </c>
      <c r="E317" s="40">
        <v>6116.55</v>
      </c>
      <c r="F317" s="104">
        <v>1944.54</v>
      </c>
      <c r="G317" s="104">
        <v>717</v>
      </c>
      <c r="H317" s="104">
        <f t="shared" si="55"/>
        <v>7344.09</v>
      </c>
    </row>
    <row r="318" spans="1:8" s="15" customFormat="1" ht="23.1" customHeight="1" x14ac:dyDescent="0.2">
      <c r="A318" s="31"/>
      <c r="B318" s="35"/>
      <c r="C318" s="118">
        <v>4850</v>
      </c>
      <c r="D318" s="119" t="s">
        <v>163</v>
      </c>
      <c r="E318" s="40">
        <v>1492.2</v>
      </c>
      <c r="F318" s="104">
        <v>475.24</v>
      </c>
      <c r="G318" s="104"/>
      <c r="H318" s="104">
        <f t="shared" si="55"/>
        <v>1967.44</v>
      </c>
    </row>
    <row r="319" spans="1:8" s="15" customFormat="1" ht="23.1" customHeight="1" x14ac:dyDescent="0.2">
      <c r="A319" s="31"/>
      <c r="B319" s="35"/>
      <c r="C319" s="118">
        <v>4860</v>
      </c>
      <c r="D319" s="119" t="s">
        <v>164</v>
      </c>
      <c r="E319" s="40">
        <v>0</v>
      </c>
      <c r="F319" s="104">
        <v>681.72</v>
      </c>
      <c r="G319" s="104"/>
      <c r="H319" s="104">
        <f t="shared" si="55"/>
        <v>681.72</v>
      </c>
    </row>
    <row r="320" spans="1:8" s="15" customFormat="1" ht="11.45" customHeight="1" x14ac:dyDescent="0.2">
      <c r="A320" s="31"/>
      <c r="B320" s="35">
        <v>80134</v>
      </c>
      <c r="C320" s="25"/>
      <c r="D320" s="111" t="s">
        <v>185</v>
      </c>
      <c r="E320" s="46">
        <v>9260348.1699999999</v>
      </c>
      <c r="F320" s="37">
        <f>SUM(F321)</f>
        <v>52500</v>
      </c>
      <c r="G320" s="37">
        <f>SUM(G321)</f>
        <v>8000</v>
      </c>
      <c r="H320" s="36">
        <f>SUM(E320+F320-G320)</f>
        <v>9304848.1699999999</v>
      </c>
    </row>
    <row r="321" spans="1:8" s="15" customFormat="1" ht="11.45" customHeight="1" x14ac:dyDescent="0.2">
      <c r="A321" s="31"/>
      <c r="B321" s="31"/>
      <c r="C321" s="25"/>
      <c r="D321" s="369" t="s">
        <v>155</v>
      </c>
      <c r="E321" s="374">
        <v>8974525.9299999997</v>
      </c>
      <c r="F321" s="374">
        <f>SUM(F322:F332)</f>
        <v>52500</v>
      </c>
      <c r="G321" s="374">
        <f>SUM(G322:G332)</f>
        <v>8000</v>
      </c>
      <c r="H321" s="132">
        <f>SUM(E321+F321-G321)</f>
        <v>9019025.9299999997</v>
      </c>
    </row>
    <row r="322" spans="1:8" s="15" customFormat="1" ht="11.45" customHeight="1" x14ac:dyDescent="0.2">
      <c r="A322" s="31"/>
      <c r="B322" s="31"/>
      <c r="C322" s="44">
        <v>4010</v>
      </c>
      <c r="D322" s="38" t="s">
        <v>137</v>
      </c>
      <c r="E322" s="40">
        <v>416757</v>
      </c>
      <c r="F322" s="40">
        <v>10000</v>
      </c>
      <c r="G322" s="40"/>
      <c r="H322" s="41">
        <f t="shared" ref="H322:H332" si="56">SUM(E322+F322-G322)</f>
        <v>426757</v>
      </c>
    </row>
    <row r="323" spans="1:8" s="15" customFormat="1" ht="11.45" customHeight="1" x14ac:dyDescent="0.2">
      <c r="A323" s="31"/>
      <c r="B323" s="31"/>
      <c r="C323" s="44">
        <v>4110</v>
      </c>
      <c r="D323" s="38" t="s">
        <v>138</v>
      </c>
      <c r="E323" s="40">
        <v>1199017</v>
      </c>
      <c r="F323" s="40">
        <v>7000</v>
      </c>
      <c r="G323" s="40"/>
      <c r="H323" s="41">
        <f t="shared" si="56"/>
        <v>1206017</v>
      </c>
    </row>
    <row r="324" spans="1:8" s="15" customFormat="1" ht="11.45" customHeight="1" x14ac:dyDescent="0.2">
      <c r="A324" s="31"/>
      <c r="B324" s="31"/>
      <c r="C324" s="44">
        <v>4170</v>
      </c>
      <c r="D324" s="38" t="s">
        <v>134</v>
      </c>
      <c r="E324" s="40">
        <v>2000</v>
      </c>
      <c r="F324" s="40"/>
      <c r="G324" s="40">
        <v>2000</v>
      </c>
      <c r="H324" s="41">
        <f t="shared" si="56"/>
        <v>0</v>
      </c>
    </row>
    <row r="325" spans="1:8" s="15" customFormat="1" ht="11.45" customHeight="1" x14ac:dyDescent="0.2">
      <c r="A325" s="31"/>
      <c r="B325" s="31"/>
      <c r="C325" s="134" t="s">
        <v>23</v>
      </c>
      <c r="D325" s="131" t="s">
        <v>135</v>
      </c>
      <c r="E325" s="40">
        <v>33640</v>
      </c>
      <c r="F325" s="40">
        <v>1500</v>
      </c>
      <c r="G325" s="40"/>
      <c r="H325" s="41">
        <f t="shared" si="56"/>
        <v>35140</v>
      </c>
    </row>
    <row r="326" spans="1:8" s="15" customFormat="1" ht="11.45" customHeight="1" x14ac:dyDescent="0.2">
      <c r="A326" s="31"/>
      <c r="B326" s="31"/>
      <c r="C326" s="44">
        <v>4240</v>
      </c>
      <c r="D326" s="38" t="s">
        <v>158</v>
      </c>
      <c r="E326" s="40">
        <v>8899</v>
      </c>
      <c r="F326" s="40">
        <v>2000</v>
      </c>
      <c r="G326" s="40"/>
      <c r="H326" s="41">
        <f t="shared" si="56"/>
        <v>10899</v>
      </c>
    </row>
    <row r="327" spans="1:8" s="15" customFormat="1" ht="11.45" customHeight="1" x14ac:dyDescent="0.2">
      <c r="A327" s="31"/>
      <c r="B327" s="31"/>
      <c r="C327" s="44">
        <v>4270</v>
      </c>
      <c r="D327" s="38" t="s">
        <v>107</v>
      </c>
      <c r="E327" s="40">
        <v>76221</v>
      </c>
      <c r="F327" s="40"/>
      <c r="G327" s="40">
        <v>1500</v>
      </c>
      <c r="H327" s="41">
        <f t="shared" si="56"/>
        <v>74721</v>
      </c>
    </row>
    <row r="328" spans="1:8" s="15" customFormat="1" ht="11.45" customHeight="1" x14ac:dyDescent="0.2">
      <c r="A328" s="31"/>
      <c r="B328" s="31"/>
      <c r="C328" s="35">
        <v>4300</v>
      </c>
      <c r="D328" s="38" t="s">
        <v>108</v>
      </c>
      <c r="E328" s="40">
        <v>36816</v>
      </c>
      <c r="F328" s="40">
        <v>2000</v>
      </c>
      <c r="G328" s="40"/>
      <c r="H328" s="41">
        <f t="shared" si="56"/>
        <v>38816</v>
      </c>
    </row>
    <row r="329" spans="1:8" s="15" customFormat="1" ht="11.45" customHeight="1" x14ac:dyDescent="0.2">
      <c r="A329" s="31"/>
      <c r="B329" s="31"/>
      <c r="C329" s="44">
        <v>4360</v>
      </c>
      <c r="D329" s="38" t="s">
        <v>109</v>
      </c>
      <c r="E329" s="40">
        <v>2934</v>
      </c>
      <c r="F329" s="40"/>
      <c r="G329" s="40">
        <v>1500</v>
      </c>
      <c r="H329" s="41">
        <f t="shared" si="56"/>
        <v>1434</v>
      </c>
    </row>
    <row r="330" spans="1:8" s="15" customFormat="1" ht="11.45" customHeight="1" x14ac:dyDescent="0.2">
      <c r="A330" s="31"/>
      <c r="B330" s="31"/>
      <c r="C330" s="44">
        <v>4410</v>
      </c>
      <c r="D330" s="131" t="s">
        <v>124</v>
      </c>
      <c r="E330" s="40">
        <v>8366</v>
      </c>
      <c r="F330" s="40"/>
      <c r="G330" s="40">
        <v>500</v>
      </c>
      <c r="H330" s="41">
        <f t="shared" si="56"/>
        <v>7866</v>
      </c>
    </row>
    <row r="331" spans="1:8" s="15" customFormat="1" ht="11.45" customHeight="1" x14ac:dyDescent="0.2">
      <c r="A331" s="31"/>
      <c r="B331" s="31"/>
      <c r="C331" s="44">
        <v>4710</v>
      </c>
      <c r="D331" s="131" t="s">
        <v>120</v>
      </c>
      <c r="E331" s="40">
        <v>16378</v>
      </c>
      <c r="F331" s="40"/>
      <c r="G331" s="40">
        <v>2500</v>
      </c>
      <c r="H331" s="41">
        <f t="shared" si="56"/>
        <v>13878</v>
      </c>
    </row>
    <row r="332" spans="1:8" s="15" customFormat="1" ht="11.45" customHeight="1" x14ac:dyDescent="0.2">
      <c r="A332" s="113"/>
      <c r="B332" s="113"/>
      <c r="C332" s="146">
        <v>4790</v>
      </c>
      <c r="D332" s="147" t="s">
        <v>169</v>
      </c>
      <c r="E332" s="46">
        <v>6049248.9299999997</v>
      </c>
      <c r="F332" s="46">
        <v>30000</v>
      </c>
      <c r="G332" s="46"/>
      <c r="H332" s="36">
        <f t="shared" si="56"/>
        <v>6079248.9299999997</v>
      </c>
    </row>
    <row r="333" spans="1:8" s="15" customFormat="1" ht="11.45" customHeight="1" x14ac:dyDescent="0.2">
      <c r="A333" s="31"/>
      <c r="B333" s="44">
        <v>80140</v>
      </c>
      <c r="C333" s="134"/>
      <c r="D333" s="150" t="s">
        <v>186</v>
      </c>
      <c r="E333" s="40"/>
      <c r="F333" s="40"/>
      <c r="G333" s="40"/>
      <c r="H333" s="41"/>
    </row>
    <row r="334" spans="1:8" s="15" customFormat="1" ht="11.45" customHeight="1" x14ac:dyDescent="0.2">
      <c r="A334" s="31"/>
      <c r="B334" s="44"/>
      <c r="C334" s="25"/>
      <c r="D334" s="42" t="s">
        <v>187</v>
      </c>
      <c r="E334" s="36">
        <v>3199649.12</v>
      </c>
      <c r="F334" s="37">
        <f>SUM(F335)</f>
        <v>88500</v>
      </c>
      <c r="G334" s="37">
        <f>SUM(G335)</f>
        <v>12600</v>
      </c>
      <c r="H334" s="36">
        <f>SUM(E334+F334-G334)</f>
        <v>3275549.12</v>
      </c>
    </row>
    <row r="335" spans="1:8" s="15" customFormat="1" ht="11.45" customHeight="1" x14ac:dyDescent="0.2">
      <c r="A335" s="31"/>
      <c r="B335" s="30"/>
      <c r="C335" s="25"/>
      <c r="D335" s="369" t="s">
        <v>155</v>
      </c>
      <c r="E335" s="374">
        <v>3199649.12</v>
      </c>
      <c r="F335" s="374">
        <f>SUM(F336:F340)</f>
        <v>88500</v>
      </c>
      <c r="G335" s="374">
        <f>SUM(G336:G340)</f>
        <v>12600</v>
      </c>
      <c r="H335" s="374">
        <f t="shared" ref="H335:H340" si="57">SUM(E335+F335-G335)</f>
        <v>3275549.12</v>
      </c>
    </row>
    <row r="336" spans="1:8" s="15" customFormat="1" ht="20.45" customHeight="1" x14ac:dyDescent="0.2">
      <c r="A336" s="31"/>
      <c r="B336" s="30"/>
      <c r="C336" s="143">
        <v>4140</v>
      </c>
      <c r="D336" s="128" t="s">
        <v>157</v>
      </c>
      <c r="E336" s="40">
        <v>96000</v>
      </c>
      <c r="F336" s="40">
        <v>13500</v>
      </c>
      <c r="G336" s="40"/>
      <c r="H336" s="41">
        <f t="shared" si="57"/>
        <v>109500</v>
      </c>
    </row>
    <row r="337" spans="1:8" s="15" customFormat="1" ht="11.45" customHeight="1" x14ac:dyDescent="0.2">
      <c r="A337" s="31"/>
      <c r="B337" s="30"/>
      <c r="C337" s="44">
        <v>4260</v>
      </c>
      <c r="D337" s="38" t="s">
        <v>106</v>
      </c>
      <c r="E337" s="40">
        <v>300563</v>
      </c>
      <c r="F337" s="40">
        <v>30000</v>
      </c>
      <c r="G337" s="40"/>
      <c r="H337" s="41">
        <f t="shared" si="57"/>
        <v>330563</v>
      </c>
    </row>
    <row r="338" spans="1:8" s="15" customFormat="1" ht="11.45" customHeight="1" x14ac:dyDescent="0.2">
      <c r="A338" s="31"/>
      <c r="B338" s="30"/>
      <c r="C338" s="35">
        <v>4300</v>
      </c>
      <c r="D338" s="38" t="s">
        <v>108</v>
      </c>
      <c r="E338" s="40">
        <v>139970</v>
      </c>
      <c r="F338" s="40">
        <v>15000</v>
      </c>
      <c r="G338" s="40"/>
      <c r="H338" s="41">
        <f t="shared" si="57"/>
        <v>154970</v>
      </c>
    </row>
    <row r="339" spans="1:8" s="15" customFormat="1" ht="11.45" customHeight="1" x14ac:dyDescent="0.2">
      <c r="A339" s="31"/>
      <c r="B339" s="30"/>
      <c r="C339" s="43">
        <v>4790</v>
      </c>
      <c r="D339" s="144" t="s">
        <v>169</v>
      </c>
      <c r="E339" s="40">
        <v>1442971.12</v>
      </c>
      <c r="F339" s="40">
        <v>30000</v>
      </c>
      <c r="G339" s="40"/>
      <c r="H339" s="39">
        <f t="shared" si="57"/>
        <v>1472971.12</v>
      </c>
    </row>
    <row r="340" spans="1:8" s="15" customFormat="1" ht="11.45" customHeight="1" x14ac:dyDescent="0.2">
      <c r="A340" s="31"/>
      <c r="B340" s="30"/>
      <c r="C340" s="43">
        <v>4800</v>
      </c>
      <c r="D340" s="144" t="s">
        <v>159</v>
      </c>
      <c r="E340" s="40">
        <v>199569</v>
      </c>
      <c r="F340" s="40"/>
      <c r="G340" s="40">
        <v>12600</v>
      </c>
      <c r="H340" s="39">
        <f t="shared" si="57"/>
        <v>186969</v>
      </c>
    </row>
    <row r="341" spans="1:8" s="15" customFormat="1" ht="12" customHeight="1" x14ac:dyDescent="0.2">
      <c r="A341" s="31"/>
      <c r="B341" s="44">
        <v>80142</v>
      </c>
      <c r="C341" s="25"/>
      <c r="D341" s="151" t="s">
        <v>188</v>
      </c>
      <c r="E341" s="36">
        <v>103282</v>
      </c>
      <c r="F341" s="37">
        <f>SUM(F342)</f>
        <v>3000</v>
      </c>
      <c r="G341" s="37">
        <f>SUM(G342)</f>
        <v>0</v>
      </c>
      <c r="H341" s="36">
        <f>SUM(E341+F341-G341)</f>
        <v>106282</v>
      </c>
    </row>
    <row r="342" spans="1:8" s="15" customFormat="1" ht="12" customHeight="1" x14ac:dyDescent="0.2">
      <c r="A342" s="31"/>
      <c r="B342" s="35"/>
      <c r="C342" s="25"/>
      <c r="D342" s="369" t="s">
        <v>155</v>
      </c>
      <c r="E342" s="132">
        <v>103282</v>
      </c>
      <c r="F342" s="154">
        <f>SUM(F343:F343)</f>
        <v>3000</v>
      </c>
      <c r="G342" s="154">
        <f>SUM(G343:G343)</f>
        <v>0</v>
      </c>
      <c r="H342" s="374">
        <f t="shared" ref="H342:H343" si="58">SUM(E342+F342-G342)</f>
        <v>106282</v>
      </c>
    </row>
    <row r="343" spans="1:8" s="15" customFormat="1" ht="12" customHeight="1" x14ac:dyDescent="0.2">
      <c r="A343" s="31"/>
      <c r="B343" s="35"/>
      <c r="C343" s="44">
        <v>4110</v>
      </c>
      <c r="D343" s="38" t="s">
        <v>138</v>
      </c>
      <c r="E343" s="41">
        <v>10950</v>
      </c>
      <c r="F343" s="39">
        <v>3000</v>
      </c>
      <c r="G343" s="39"/>
      <c r="H343" s="104">
        <f t="shared" si="58"/>
        <v>13950</v>
      </c>
    </row>
    <row r="344" spans="1:8" s="15" customFormat="1" ht="12" customHeight="1" x14ac:dyDescent="0.2">
      <c r="A344" s="31"/>
      <c r="B344" s="140">
        <v>80144</v>
      </c>
      <c r="C344" s="25"/>
      <c r="D344" s="151" t="s">
        <v>189</v>
      </c>
      <c r="E344" s="46">
        <v>108158</v>
      </c>
      <c r="F344" s="37">
        <f>SUM(F345)</f>
        <v>3000</v>
      </c>
      <c r="G344" s="37">
        <f>SUM(G345)</f>
        <v>0</v>
      </c>
      <c r="H344" s="36">
        <f>SUM(E344+F344-G344)</f>
        <v>111158</v>
      </c>
    </row>
    <row r="345" spans="1:8" s="15" customFormat="1" ht="12" customHeight="1" x14ac:dyDescent="0.2">
      <c r="A345" s="31"/>
      <c r="B345" s="31"/>
      <c r="C345" s="25"/>
      <c r="D345" s="369" t="s">
        <v>155</v>
      </c>
      <c r="E345" s="374">
        <v>108158</v>
      </c>
      <c r="F345" s="374">
        <f>SUM(F346:F346)</f>
        <v>3000</v>
      </c>
      <c r="G345" s="374">
        <f>SUM(G346:G346)</f>
        <v>0</v>
      </c>
      <c r="H345" s="374">
        <f t="shared" ref="H345:H346" si="59">SUM(E345+F345-G345)</f>
        <v>111158</v>
      </c>
    </row>
    <row r="346" spans="1:8" s="15" customFormat="1" ht="12" customHeight="1" x14ac:dyDescent="0.2">
      <c r="A346" s="31"/>
      <c r="B346" s="31"/>
      <c r="C346" s="44">
        <v>4110</v>
      </c>
      <c r="D346" s="38" t="s">
        <v>138</v>
      </c>
      <c r="E346" s="40">
        <v>11406</v>
      </c>
      <c r="F346" s="40">
        <v>3000</v>
      </c>
      <c r="G346" s="40"/>
      <c r="H346" s="104">
        <f t="shared" si="59"/>
        <v>14406</v>
      </c>
    </row>
    <row r="347" spans="1:8" s="15" customFormat="1" ht="12" customHeight="1" x14ac:dyDescent="0.2">
      <c r="A347" s="31"/>
      <c r="B347" s="123">
        <v>80146</v>
      </c>
      <c r="C347" s="134"/>
      <c r="D347" s="42" t="s">
        <v>190</v>
      </c>
      <c r="E347" s="36">
        <v>1315048</v>
      </c>
      <c r="F347" s="37">
        <f>SUM(F348)</f>
        <v>150</v>
      </c>
      <c r="G347" s="37">
        <f>SUM(G348)</f>
        <v>150</v>
      </c>
      <c r="H347" s="36">
        <f>SUM(E347+F347-G347)</f>
        <v>1315048</v>
      </c>
    </row>
    <row r="348" spans="1:8" s="15" customFormat="1" ht="12" customHeight="1" x14ac:dyDescent="0.2">
      <c r="A348" s="31"/>
      <c r="B348" s="35"/>
      <c r="C348" s="25"/>
      <c r="D348" s="369" t="s">
        <v>155</v>
      </c>
      <c r="E348" s="132">
        <v>1081598</v>
      </c>
      <c r="F348" s="154">
        <f>SUM(F349:F350)</f>
        <v>150</v>
      </c>
      <c r="G348" s="154">
        <f>SUM(G349:G350)</f>
        <v>150</v>
      </c>
      <c r="H348" s="374">
        <f t="shared" ref="H348:H350" si="60">SUM(E348+F348-G348)</f>
        <v>1081598</v>
      </c>
    </row>
    <row r="349" spans="1:8" s="15" customFormat="1" ht="12" customHeight="1" x14ac:dyDescent="0.2">
      <c r="A349" s="31"/>
      <c r="B349" s="35"/>
      <c r="C349" s="44">
        <v>4300</v>
      </c>
      <c r="D349" s="38" t="s">
        <v>108</v>
      </c>
      <c r="E349" s="40">
        <v>214692</v>
      </c>
      <c r="F349" s="39"/>
      <c r="G349" s="39">
        <v>150</v>
      </c>
      <c r="H349" s="39">
        <f t="shared" si="60"/>
        <v>214542</v>
      </c>
    </row>
    <row r="350" spans="1:8" s="15" customFormat="1" ht="19.149999999999999" customHeight="1" x14ac:dyDescent="0.2">
      <c r="A350" s="31"/>
      <c r="B350" s="35"/>
      <c r="C350" s="118">
        <v>4700</v>
      </c>
      <c r="D350" s="128" t="s">
        <v>119</v>
      </c>
      <c r="E350" s="40">
        <v>496321</v>
      </c>
      <c r="F350" s="39">
        <v>150</v>
      </c>
      <c r="G350" s="39"/>
      <c r="H350" s="39">
        <f t="shared" si="60"/>
        <v>496471</v>
      </c>
    </row>
    <row r="351" spans="1:8" s="15" customFormat="1" ht="12" customHeight="1" x14ac:dyDescent="0.2">
      <c r="A351" s="31"/>
      <c r="B351" s="35">
        <v>80148</v>
      </c>
      <c r="C351" s="25"/>
      <c r="D351" s="42" t="s">
        <v>191</v>
      </c>
      <c r="E351" s="46">
        <v>3237047</v>
      </c>
      <c r="F351" s="37">
        <f>SUM(F352)</f>
        <v>65512</v>
      </c>
      <c r="G351" s="37">
        <f>SUM(G352)</f>
        <v>5038</v>
      </c>
      <c r="H351" s="36">
        <f>SUM(E351+F351-G351)</f>
        <v>3297521</v>
      </c>
    </row>
    <row r="352" spans="1:8" s="15" customFormat="1" ht="12" customHeight="1" x14ac:dyDescent="0.2">
      <c r="A352" s="31"/>
      <c r="B352" s="31"/>
      <c r="C352" s="25"/>
      <c r="D352" s="369" t="s">
        <v>155</v>
      </c>
      <c r="E352" s="374">
        <v>3237047</v>
      </c>
      <c r="F352" s="374">
        <f>SUM(F353:F360)</f>
        <v>65512</v>
      </c>
      <c r="G352" s="374">
        <f>SUM(G353:G360)</f>
        <v>5038</v>
      </c>
      <c r="H352" s="374">
        <f t="shared" ref="H352:H360" si="61">SUM(E352+F352-G352)</f>
        <v>3297521</v>
      </c>
    </row>
    <row r="353" spans="1:8" s="15" customFormat="1" ht="12" customHeight="1" x14ac:dyDescent="0.2">
      <c r="A353" s="31"/>
      <c r="B353" s="31"/>
      <c r="C353" s="44">
        <v>4010</v>
      </c>
      <c r="D353" s="38" t="s">
        <v>137</v>
      </c>
      <c r="E353" s="40">
        <v>2241929</v>
      </c>
      <c r="F353" s="40">
        <v>50118</v>
      </c>
      <c r="G353" s="40"/>
      <c r="H353" s="104">
        <f t="shared" si="61"/>
        <v>2292047</v>
      </c>
    </row>
    <row r="354" spans="1:8" s="15" customFormat="1" ht="12" customHeight="1" x14ac:dyDescent="0.2">
      <c r="A354" s="31"/>
      <c r="B354" s="31"/>
      <c r="C354" s="44">
        <v>4040</v>
      </c>
      <c r="D354" s="38" t="s">
        <v>156</v>
      </c>
      <c r="E354" s="40">
        <v>191870</v>
      </c>
      <c r="F354" s="40"/>
      <c r="G354" s="40">
        <v>3700</v>
      </c>
      <c r="H354" s="104">
        <f t="shared" si="61"/>
        <v>188170</v>
      </c>
    </row>
    <row r="355" spans="1:8" s="15" customFormat="1" ht="12" customHeight="1" x14ac:dyDescent="0.2">
      <c r="A355" s="31"/>
      <c r="B355" s="31"/>
      <c r="C355" s="44">
        <v>4110</v>
      </c>
      <c r="D355" s="38" t="s">
        <v>138</v>
      </c>
      <c r="E355" s="40">
        <v>422730</v>
      </c>
      <c r="F355" s="40">
        <v>13756</v>
      </c>
      <c r="G355" s="40"/>
      <c r="H355" s="104">
        <f t="shared" si="61"/>
        <v>436486</v>
      </c>
    </row>
    <row r="356" spans="1:8" s="15" customFormat="1" ht="12" customHeight="1" x14ac:dyDescent="0.2">
      <c r="A356" s="31"/>
      <c r="B356" s="31"/>
      <c r="C356" s="44">
        <v>4120</v>
      </c>
      <c r="D356" s="38" t="s">
        <v>176</v>
      </c>
      <c r="E356" s="40">
        <v>53911</v>
      </c>
      <c r="F356" s="40">
        <v>300</v>
      </c>
      <c r="G356" s="40"/>
      <c r="H356" s="104">
        <f t="shared" si="61"/>
        <v>54211</v>
      </c>
    </row>
    <row r="357" spans="1:8" s="15" customFormat="1" ht="12" customHeight="1" x14ac:dyDescent="0.2">
      <c r="A357" s="31"/>
      <c r="B357" s="35"/>
      <c r="C357" s="134" t="s">
        <v>23</v>
      </c>
      <c r="D357" s="131" t="s">
        <v>135</v>
      </c>
      <c r="E357" s="40">
        <v>56687</v>
      </c>
      <c r="F357" s="39"/>
      <c r="G357" s="39">
        <v>1338</v>
      </c>
      <c r="H357" s="104">
        <f t="shared" si="61"/>
        <v>55349</v>
      </c>
    </row>
    <row r="358" spans="1:8" s="15" customFormat="1" ht="12" customHeight="1" x14ac:dyDescent="0.2">
      <c r="A358" s="31"/>
      <c r="B358" s="35"/>
      <c r="C358" s="44">
        <v>4270</v>
      </c>
      <c r="D358" s="38" t="s">
        <v>107</v>
      </c>
      <c r="E358" s="40">
        <v>32931</v>
      </c>
      <c r="F358" s="39">
        <v>205</v>
      </c>
      <c r="G358" s="39"/>
      <c r="H358" s="104">
        <f t="shared" si="61"/>
        <v>33136</v>
      </c>
    </row>
    <row r="359" spans="1:8" s="15" customFormat="1" ht="12" customHeight="1" x14ac:dyDescent="0.2">
      <c r="A359" s="31"/>
      <c r="B359" s="35"/>
      <c r="C359" s="44">
        <v>4280</v>
      </c>
      <c r="D359" s="38" t="s">
        <v>117</v>
      </c>
      <c r="E359" s="40">
        <v>2934</v>
      </c>
      <c r="F359" s="39">
        <v>190</v>
      </c>
      <c r="G359" s="39"/>
      <c r="H359" s="104">
        <f t="shared" si="61"/>
        <v>3124</v>
      </c>
    </row>
    <row r="360" spans="1:8" s="15" customFormat="1" ht="12" customHeight="1" x14ac:dyDescent="0.2">
      <c r="A360" s="31"/>
      <c r="B360" s="35"/>
      <c r="C360" s="44">
        <v>4300</v>
      </c>
      <c r="D360" s="38" t="s">
        <v>108</v>
      </c>
      <c r="E360" s="40">
        <v>27814</v>
      </c>
      <c r="F360" s="39">
        <v>943</v>
      </c>
      <c r="G360" s="39"/>
      <c r="H360" s="104">
        <f t="shared" si="61"/>
        <v>28757</v>
      </c>
    </row>
    <row r="361" spans="1:8" s="15" customFormat="1" ht="12" customHeight="1" x14ac:dyDescent="0.2">
      <c r="A361" s="31"/>
      <c r="B361" s="35">
        <v>80149</v>
      </c>
      <c r="C361" s="134"/>
      <c r="D361" s="131" t="s">
        <v>192</v>
      </c>
      <c r="E361" s="104"/>
      <c r="F361" s="104"/>
      <c r="G361" s="104"/>
      <c r="H361" s="104"/>
    </row>
    <row r="362" spans="1:8" s="15" customFormat="1" ht="12" customHeight="1" x14ac:dyDescent="0.2">
      <c r="A362" s="31"/>
      <c r="B362" s="35"/>
      <c r="C362" s="134"/>
      <c r="D362" s="131" t="s">
        <v>193</v>
      </c>
      <c r="E362" s="104"/>
      <c r="F362" s="104"/>
      <c r="G362" s="104"/>
      <c r="H362" s="104"/>
    </row>
    <row r="363" spans="1:8" s="15" customFormat="1" ht="12" customHeight="1" x14ac:dyDescent="0.2">
      <c r="A363" s="31"/>
      <c r="B363" s="35"/>
      <c r="C363" s="134"/>
      <c r="D363" s="131" t="s">
        <v>194</v>
      </c>
      <c r="E363" s="104"/>
      <c r="F363" s="104"/>
      <c r="G363" s="104"/>
      <c r="H363" s="104"/>
    </row>
    <row r="364" spans="1:8" s="15" customFormat="1" ht="12" customHeight="1" x14ac:dyDescent="0.2">
      <c r="A364" s="31"/>
      <c r="B364" s="35"/>
      <c r="C364" s="25"/>
      <c r="D364" s="42" t="s">
        <v>195</v>
      </c>
      <c r="E364" s="36">
        <v>4707148</v>
      </c>
      <c r="F364" s="37">
        <f>SUM(F365,F367)</f>
        <v>86657</v>
      </c>
      <c r="G364" s="37">
        <f>SUM(G365,G367)</f>
        <v>455106</v>
      </c>
      <c r="H364" s="36">
        <f>SUM(E364+F364-G364)</f>
        <v>4338699</v>
      </c>
    </row>
    <row r="365" spans="1:8" s="15" customFormat="1" ht="12" customHeight="1" x14ac:dyDescent="0.2">
      <c r="A365" s="31"/>
      <c r="B365" s="35"/>
      <c r="C365" s="25"/>
      <c r="D365" s="377" t="s">
        <v>152</v>
      </c>
      <c r="E365" s="374">
        <v>2707080</v>
      </c>
      <c r="F365" s="374">
        <f>SUM(F366:F366)</f>
        <v>0</v>
      </c>
      <c r="G365" s="374">
        <f>SUM(G366:G366)</f>
        <v>430000</v>
      </c>
      <c r="H365" s="374">
        <f t="shared" ref="H365:H374" si="62">SUM(E365+F365-G365)</f>
        <v>2277080</v>
      </c>
    </row>
    <row r="366" spans="1:8" s="15" customFormat="1" ht="20.45" customHeight="1" x14ac:dyDescent="0.2">
      <c r="A366" s="31"/>
      <c r="B366" s="35"/>
      <c r="C366" s="118">
        <v>2540</v>
      </c>
      <c r="D366" s="119" t="s">
        <v>153</v>
      </c>
      <c r="E366" s="104">
        <v>2682573</v>
      </c>
      <c r="F366" s="104"/>
      <c r="G366" s="104">
        <v>430000</v>
      </c>
      <c r="H366" s="104">
        <f t="shared" si="62"/>
        <v>2252573</v>
      </c>
    </row>
    <row r="367" spans="1:8" s="15" customFormat="1" ht="12" customHeight="1" x14ac:dyDescent="0.2">
      <c r="A367" s="31"/>
      <c r="B367" s="31"/>
      <c r="C367" s="25"/>
      <c r="D367" s="369" t="s">
        <v>155</v>
      </c>
      <c r="E367" s="374">
        <v>2000068</v>
      </c>
      <c r="F367" s="374">
        <f>SUM(F368:F374)</f>
        <v>86657</v>
      </c>
      <c r="G367" s="374">
        <f>SUM(G368:G374)</f>
        <v>25106</v>
      </c>
      <c r="H367" s="374">
        <f t="shared" si="62"/>
        <v>2061619</v>
      </c>
    </row>
    <row r="368" spans="1:8" s="15" customFormat="1" ht="11.45" customHeight="1" x14ac:dyDescent="0.2">
      <c r="A368" s="31"/>
      <c r="B368" s="31"/>
      <c r="C368" s="44">
        <v>4110</v>
      </c>
      <c r="D368" s="38" t="s">
        <v>138</v>
      </c>
      <c r="E368" s="41">
        <v>270352</v>
      </c>
      <c r="F368" s="104">
        <v>15830</v>
      </c>
      <c r="G368" s="104"/>
      <c r="H368" s="104">
        <f t="shared" si="62"/>
        <v>286182</v>
      </c>
    </row>
    <row r="369" spans="1:8" s="15" customFormat="1" ht="11.45" customHeight="1" x14ac:dyDescent="0.2">
      <c r="A369" s="31"/>
      <c r="B369" s="31"/>
      <c r="C369" s="44">
        <v>4120</v>
      </c>
      <c r="D369" s="38" t="s">
        <v>176</v>
      </c>
      <c r="E369" s="41">
        <v>39352</v>
      </c>
      <c r="F369" s="104">
        <v>546</v>
      </c>
      <c r="G369" s="104"/>
      <c r="H369" s="104">
        <f t="shared" si="62"/>
        <v>39898</v>
      </c>
    </row>
    <row r="370" spans="1:8" s="15" customFormat="1" ht="11.45" customHeight="1" x14ac:dyDescent="0.2">
      <c r="A370" s="31"/>
      <c r="B370" s="31"/>
      <c r="C370" s="44">
        <v>4240</v>
      </c>
      <c r="D370" s="38" t="s">
        <v>158</v>
      </c>
      <c r="E370" s="41">
        <v>50583</v>
      </c>
      <c r="F370" s="104"/>
      <c r="G370" s="104">
        <v>5500</v>
      </c>
      <c r="H370" s="104">
        <f t="shared" si="62"/>
        <v>45083</v>
      </c>
    </row>
    <row r="371" spans="1:8" s="15" customFormat="1" ht="11.45" customHeight="1" x14ac:dyDescent="0.2">
      <c r="A371" s="31"/>
      <c r="B371" s="31"/>
      <c r="C371" s="44">
        <v>4440</v>
      </c>
      <c r="D371" s="38" t="s">
        <v>196</v>
      </c>
      <c r="E371" s="41">
        <v>78704</v>
      </c>
      <c r="F371" s="104">
        <v>1005</v>
      </c>
      <c r="G371" s="104"/>
      <c r="H371" s="104">
        <f t="shared" si="62"/>
        <v>79709</v>
      </c>
    </row>
    <row r="372" spans="1:8" s="15" customFormat="1" ht="11.45" customHeight="1" x14ac:dyDescent="0.2">
      <c r="A372" s="31"/>
      <c r="B372" s="31"/>
      <c r="C372" s="44">
        <v>4710</v>
      </c>
      <c r="D372" s="131" t="s">
        <v>120</v>
      </c>
      <c r="E372" s="41">
        <v>17775</v>
      </c>
      <c r="F372" s="104"/>
      <c r="G372" s="104">
        <v>5000</v>
      </c>
      <c r="H372" s="104">
        <f t="shared" si="62"/>
        <v>12775</v>
      </c>
    </row>
    <row r="373" spans="1:8" s="15" customFormat="1" ht="11.45" customHeight="1" x14ac:dyDescent="0.2">
      <c r="A373" s="31"/>
      <c r="B373" s="31"/>
      <c r="C373" s="43">
        <v>4790</v>
      </c>
      <c r="D373" s="144" t="s">
        <v>169</v>
      </c>
      <c r="E373" s="41">
        <v>1424521</v>
      </c>
      <c r="F373" s="104">
        <v>69276</v>
      </c>
      <c r="G373" s="104"/>
      <c r="H373" s="104">
        <f t="shared" si="62"/>
        <v>1493797</v>
      </c>
    </row>
    <row r="374" spans="1:8" s="15" customFormat="1" ht="11.45" customHeight="1" x14ac:dyDescent="0.2">
      <c r="A374" s="31"/>
      <c r="B374" s="31"/>
      <c r="C374" s="43">
        <v>4800</v>
      </c>
      <c r="D374" s="144" t="s">
        <v>159</v>
      </c>
      <c r="E374" s="41">
        <v>115781</v>
      </c>
      <c r="F374" s="104"/>
      <c r="G374" s="104">
        <v>14606</v>
      </c>
      <c r="H374" s="104">
        <f t="shared" si="62"/>
        <v>101175</v>
      </c>
    </row>
    <row r="375" spans="1:8" s="15" customFormat="1" ht="11.45" customHeight="1" x14ac:dyDescent="0.2">
      <c r="A375" s="31"/>
      <c r="B375" s="35">
        <v>80150</v>
      </c>
      <c r="C375" s="134"/>
      <c r="D375" s="131" t="s">
        <v>192</v>
      </c>
      <c r="E375" s="104"/>
      <c r="F375" s="104"/>
      <c r="G375" s="104"/>
      <c r="H375" s="104"/>
    </row>
    <row r="376" spans="1:8" s="15" customFormat="1" ht="11.45" customHeight="1" x14ac:dyDescent="0.2">
      <c r="A376" s="31"/>
      <c r="B376" s="35"/>
      <c r="C376" s="134"/>
      <c r="D376" s="131" t="s">
        <v>197</v>
      </c>
      <c r="E376" s="104"/>
      <c r="F376" s="104"/>
      <c r="G376" s="104"/>
      <c r="H376" s="104"/>
    </row>
    <row r="377" spans="1:8" s="15" customFormat="1" ht="11.45" customHeight="1" x14ac:dyDescent="0.2">
      <c r="A377" s="31"/>
      <c r="B377" s="35"/>
      <c r="C377" s="25"/>
      <c r="D377" s="42" t="s">
        <v>198</v>
      </c>
      <c r="E377" s="36">
        <v>9572938</v>
      </c>
      <c r="F377" s="37">
        <f>SUM(F378)</f>
        <v>28800</v>
      </c>
      <c r="G377" s="37">
        <f>SUM(G378)</f>
        <v>25500</v>
      </c>
      <c r="H377" s="36">
        <f>SUM(E377+F377-G377)</f>
        <v>9576238</v>
      </c>
    </row>
    <row r="378" spans="1:8" s="15" customFormat="1" ht="12" customHeight="1" x14ac:dyDescent="0.2">
      <c r="A378" s="31"/>
      <c r="B378" s="35"/>
      <c r="C378" s="25"/>
      <c r="D378" s="369" t="s">
        <v>155</v>
      </c>
      <c r="E378" s="374">
        <v>9347639</v>
      </c>
      <c r="F378" s="374">
        <f>SUM(F379:F385)</f>
        <v>28800</v>
      </c>
      <c r="G378" s="374">
        <f>SUM(G379:G385)</f>
        <v>25500</v>
      </c>
      <c r="H378" s="374">
        <f t="shared" ref="H378:H385" si="63">SUM(E378+F378-G378)</f>
        <v>9350939</v>
      </c>
    </row>
    <row r="379" spans="1:8" s="15" customFormat="1" ht="12" customHeight="1" x14ac:dyDescent="0.2">
      <c r="A379" s="31"/>
      <c r="B379" s="35"/>
      <c r="C379" s="44">
        <v>3020</v>
      </c>
      <c r="D379" s="38" t="s">
        <v>116</v>
      </c>
      <c r="E379" s="39">
        <v>4224</v>
      </c>
      <c r="F379" s="104">
        <v>1000</v>
      </c>
      <c r="G379" s="104"/>
      <c r="H379" s="104">
        <f t="shared" si="63"/>
        <v>5224</v>
      </c>
    </row>
    <row r="380" spans="1:8" s="15" customFormat="1" ht="12" customHeight="1" x14ac:dyDescent="0.2">
      <c r="A380" s="31"/>
      <c r="B380" s="35"/>
      <c r="C380" s="44">
        <v>4110</v>
      </c>
      <c r="D380" s="38" t="s">
        <v>138</v>
      </c>
      <c r="E380" s="39">
        <v>1281685</v>
      </c>
      <c r="F380" s="104">
        <v>2500</v>
      </c>
      <c r="G380" s="104"/>
      <c r="H380" s="104">
        <f t="shared" si="63"/>
        <v>1284185</v>
      </c>
    </row>
    <row r="381" spans="1:8" s="15" customFormat="1" ht="12" customHeight="1" x14ac:dyDescent="0.2">
      <c r="A381" s="31"/>
      <c r="B381" s="35"/>
      <c r="C381" s="44">
        <v>4120</v>
      </c>
      <c r="D381" s="38" t="s">
        <v>176</v>
      </c>
      <c r="E381" s="39">
        <v>174926</v>
      </c>
      <c r="F381" s="104">
        <v>300</v>
      </c>
      <c r="G381" s="104"/>
      <c r="H381" s="104">
        <f t="shared" si="63"/>
        <v>175226</v>
      </c>
    </row>
    <row r="382" spans="1:8" s="15" customFormat="1" ht="12" customHeight="1" x14ac:dyDescent="0.2">
      <c r="A382" s="31"/>
      <c r="B382" s="35"/>
      <c r="C382" s="44">
        <v>4240</v>
      </c>
      <c r="D382" s="38" t="s">
        <v>158</v>
      </c>
      <c r="E382" s="39">
        <v>136129</v>
      </c>
      <c r="F382" s="104"/>
      <c r="G382" s="104">
        <f>1000+13000</f>
        <v>14000</v>
      </c>
      <c r="H382" s="104">
        <f t="shared" si="63"/>
        <v>122129</v>
      </c>
    </row>
    <row r="383" spans="1:8" s="15" customFormat="1" ht="12" customHeight="1" x14ac:dyDescent="0.2">
      <c r="A383" s="31"/>
      <c r="B383" s="35"/>
      <c r="C383" s="44">
        <v>4710</v>
      </c>
      <c r="D383" s="131" t="s">
        <v>120</v>
      </c>
      <c r="E383" s="39">
        <v>39073</v>
      </c>
      <c r="F383" s="104"/>
      <c r="G383" s="104">
        <v>1000</v>
      </c>
      <c r="H383" s="104">
        <f t="shared" si="63"/>
        <v>38073</v>
      </c>
    </row>
    <row r="384" spans="1:8" s="15" customFormat="1" ht="12" customHeight="1" x14ac:dyDescent="0.2">
      <c r="A384" s="31"/>
      <c r="B384" s="35"/>
      <c r="C384" s="43">
        <v>4790</v>
      </c>
      <c r="D384" s="144" t="s">
        <v>169</v>
      </c>
      <c r="E384" s="39">
        <v>6851042</v>
      </c>
      <c r="F384" s="104">
        <v>25000</v>
      </c>
      <c r="G384" s="104"/>
      <c r="H384" s="104">
        <f t="shared" si="63"/>
        <v>6876042</v>
      </c>
    </row>
    <row r="385" spans="1:8" s="15" customFormat="1" ht="12" customHeight="1" x14ac:dyDescent="0.2">
      <c r="A385" s="31"/>
      <c r="B385" s="35"/>
      <c r="C385" s="43">
        <v>4800</v>
      </c>
      <c r="D385" s="144" t="s">
        <v>159</v>
      </c>
      <c r="E385" s="104">
        <v>514054</v>
      </c>
      <c r="F385" s="104"/>
      <c r="G385" s="104">
        <v>10500</v>
      </c>
      <c r="H385" s="104">
        <f t="shared" si="63"/>
        <v>503554</v>
      </c>
    </row>
    <row r="386" spans="1:8" s="15" customFormat="1" ht="12" customHeight="1" x14ac:dyDescent="0.2">
      <c r="A386" s="31"/>
      <c r="B386" s="44">
        <v>80151</v>
      </c>
      <c r="C386" s="25"/>
      <c r="D386" s="42" t="s">
        <v>199</v>
      </c>
      <c r="E386" s="46">
        <v>650375</v>
      </c>
      <c r="F386" s="37">
        <f>SUM(F387,F389)</f>
        <v>0</v>
      </c>
      <c r="G386" s="37">
        <f>SUM(G387,G389)</f>
        <v>114900</v>
      </c>
      <c r="H386" s="36">
        <f>SUM(E386+F386-G386)</f>
        <v>535475</v>
      </c>
    </row>
    <row r="387" spans="1:8" s="15" customFormat="1" ht="12" customHeight="1" x14ac:dyDescent="0.2">
      <c r="A387" s="31"/>
      <c r="B387" s="44"/>
      <c r="C387" s="25"/>
      <c r="D387" s="377" t="s">
        <v>152</v>
      </c>
      <c r="E387" s="374">
        <v>108410</v>
      </c>
      <c r="F387" s="374">
        <f>SUM(F388:F388)</f>
        <v>0</v>
      </c>
      <c r="G387" s="374">
        <f>SUM(G388:G388)</f>
        <v>52000</v>
      </c>
      <c r="H387" s="374">
        <f t="shared" ref="H387:H391" si="64">SUM(E387+F387-G387)</f>
        <v>56410</v>
      </c>
    </row>
    <row r="388" spans="1:8" s="15" customFormat="1" ht="21.75" customHeight="1" x14ac:dyDescent="0.2">
      <c r="A388" s="31"/>
      <c r="B388" s="44"/>
      <c r="C388" s="118">
        <v>2540</v>
      </c>
      <c r="D388" s="119" t="s">
        <v>153</v>
      </c>
      <c r="E388" s="104">
        <v>108410</v>
      </c>
      <c r="F388" s="104"/>
      <c r="G388" s="104">
        <v>52000</v>
      </c>
      <c r="H388" s="104">
        <f t="shared" si="64"/>
        <v>56410</v>
      </c>
    </row>
    <row r="389" spans="1:8" s="15" customFormat="1" ht="12" customHeight="1" x14ac:dyDescent="0.2">
      <c r="A389" s="31"/>
      <c r="B389" s="30"/>
      <c r="C389" s="25"/>
      <c r="D389" s="369" t="s">
        <v>155</v>
      </c>
      <c r="E389" s="374">
        <v>541965</v>
      </c>
      <c r="F389" s="374">
        <f>SUM(F390:F391)</f>
        <v>0</v>
      </c>
      <c r="G389" s="374">
        <f>SUM(G390:G391)</f>
        <v>62900</v>
      </c>
      <c r="H389" s="374">
        <f t="shared" si="64"/>
        <v>479065</v>
      </c>
    </row>
    <row r="390" spans="1:8" s="15" customFormat="1" ht="12" customHeight="1" x14ac:dyDescent="0.2">
      <c r="A390" s="31"/>
      <c r="B390" s="44"/>
      <c r="C390" s="43">
        <v>4790</v>
      </c>
      <c r="D390" s="144" t="s">
        <v>169</v>
      </c>
      <c r="E390" s="41">
        <v>236924</v>
      </c>
      <c r="F390" s="104"/>
      <c r="G390" s="104">
        <v>58500</v>
      </c>
      <c r="H390" s="104">
        <f t="shared" si="64"/>
        <v>178424</v>
      </c>
    </row>
    <row r="391" spans="1:8" s="15" customFormat="1" ht="12" customHeight="1" x14ac:dyDescent="0.2">
      <c r="A391" s="113"/>
      <c r="B391" s="130"/>
      <c r="C391" s="146">
        <v>4800</v>
      </c>
      <c r="D391" s="147" t="s">
        <v>159</v>
      </c>
      <c r="E391" s="36">
        <v>8220</v>
      </c>
      <c r="F391" s="37"/>
      <c r="G391" s="37">
        <v>4400</v>
      </c>
      <c r="H391" s="37">
        <f t="shared" si="64"/>
        <v>3820</v>
      </c>
    </row>
    <row r="392" spans="1:8" s="15" customFormat="1" ht="11.45" customHeight="1" x14ac:dyDescent="0.2">
      <c r="A392" s="31"/>
      <c r="B392" s="35">
        <v>80152</v>
      </c>
      <c r="C392" s="134"/>
      <c r="D392" s="131" t="s">
        <v>192</v>
      </c>
      <c r="E392" s="104"/>
      <c r="F392" s="104"/>
      <c r="G392" s="104"/>
      <c r="H392" s="104"/>
    </row>
    <row r="393" spans="1:8" s="15" customFormat="1" ht="11.45" customHeight="1" x14ac:dyDescent="0.2">
      <c r="A393" s="31"/>
      <c r="B393" s="35"/>
      <c r="C393" s="134"/>
      <c r="D393" s="131" t="s">
        <v>197</v>
      </c>
      <c r="E393" s="104"/>
      <c r="F393" s="104"/>
      <c r="G393" s="104"/>
      <c r="H393" s="104"/>
    </row>
    <row r="394" spans="1:8" s="15" customFormat="1" ht="11.45" customHeight="1" x14ac:dyDescent="0.2">
      <c r="A394" s="31"/>
      <c r="B394" s="35"/>
      <c r="C394" s="134"/>
      <c r="D394" s="131" t="s">
        <v>200</v>
      </c>
      <c r="E394" s="104"/>
      <c r="F394" s="104"/>
      <c r="G394" s="104"/>
      <c r="H394" s="104"/>
    </row>
    <row r="395" spans="1:8" s="15" customFormat="1" ht="11.45" customHeight="1" x14ac:dyDescent="0.2">
      <c r="A395" s="31"/>
      <c r="B395" s="35"/>
      <c r="C395" s="134"/>
      <c r="D395" s="123" t="s">
        <v>201</v>
      </c>
      <c r="E395" s="104"/>
      <c r="F395" s="104"/>
      <c r="G395" s="104"/>
      <c r="H395" s="104"/>
    </row>
    <row r="396" spans="1:8" s="15" customFormat="1" ht="11.45" customHeight="1" x14ac:dyDescent="0.2">
      <c r="A396" s="31"/>
      <c r="B396" s="35"/>
      <c r="C396" s="134"/>
      <c r="D396" s="123" t="s">
        <v>202</v>
      </c>
      <c r="E396" s="104"/>
      <c r="F396" s="104"/>
      <c r="G396" s="104"/>
      <c r="H396" s="104"/>
    </row>
    <row r="397" spans="1:8" s="15" customFormat="1" ht="11.45" customHeight="1" x14ac:dyDescent="0.2">
      <c r="A397" s="31"/>
      <c r="B397" s="35"/>
      <c r="C397" s="134"/>
      <c r="D397" s="131" t="s">
        <v>203</v>
      </c>
      <c r="E397" s="104"/>
      <c r="F397" s="104"/>
      <c r="G397" s="104"/>
      <c r="H397" s="104"/>
    </row>
    <row r="398" spans="1:8" s="15" customFormat="1" ht="11.45" customHeight="1" x14ac:dyDescent="0.2">
      <c r="A398" s="31"/>
      <c r="B398" s="35"/>
      <c r="C398" s="134"/>
      <c r="D398" s="123" t="s">
        <v>204</v>
      </c>
      <c r="E398" s="104"/>
      <c r="F398" s="104"/>
      <c r="G398" s="104"/>
      <c r="H398" s="104"/>
    </row>
    <row r="399" spans="1:8" s="15" customFormat="1" ht="11.45" customHeight="1" x14ac:dyDescent="0.2">
      <c r="A399" s="31"/>
      <c r="B399" s="35"/>
      <c r="C399" s="25"/>
      <c r="D399" s="124" t="s">
        <v>205</v>
      </c>
      <c r="E399" s="36">
        <v>3463274</v>
      </c>
      <c r="F399" s="37">
        <f>SUM(F400)</f>
        <v>78508</v>
      </c>
      <c r="G399" s="37">
        <f>SUM(G400)</f>
        <v>12428</v>
      </c>
      <c r="H399" s="36">
        <f>SUM(E399+F399-G399)</f>
        <v>3529354</v>
      </c>
    </row>
    <row r="400" spans="1:8" s="15" customFormat="1" ht="11.45" customHeight="1" x14ac:dyDescent="0.2">
      <c r="A400" s="31"/>
      <c r="B400" s="31"/>
      <c r="C400" s="25"/>
      <c r="D400" s="369" t="s">
        <v>155</v>
      </c>
      <c r="E400" s="374">
        <v>2919439</v>
      </c>
      <c r="F400" s="374">
        <f>SUM(F401:F408)</f>
        <v>78508</v>
      </c>
      <c r="G400" s="374">
        <f>SUM(G401:G408)</f>
        <v>12428</v>
      </c>
      <c r="H400" s="374">
        <f t="shared" ref="H400:H408" si="65">SUM(E400+F400-G400)</f>
        <v>2985519</v>
      </c>
    </row>
    <row r="401" spans="1:8" s="15" customFormat="1" ht="12" customHeight="1" x14ac:dyDescent="0.2">
      <c r="A401" s="31"/>
      <c r="B401" s="31"/>
      <c r="C401" s="44">
        <v>3020</v>
      </c>
      <c r="D401" s="38" t="s">
        <v>116</v>
      </c>
      <c r="E401" s="39">
        <v>0</v>
      </c>
      <c r="F401" s="104">
        <v>1000</v>
      </c>
      <c r="G401" s="104"/>
      <c r="H401" s="104">
        <f t="shared" si="65"/>
        <v>1000</v>
      </c>
    </row>
    <row r="402" spans="1:8" s="15" customFormat="1" ht="12" customHeight="1" x14ac:dyDescent="0.2">
      <c r="A402" s="31"/>
      <c r="B402" s="31"/>
      <c r="C402" s="44">
        <v>4110</v>
      </c>
      <c r="D402" s="38" t="s">
        <v>138</v>
      </c>
      <c r="E402" s="39">
        <v>377082</v>
      </c>
      <c r="F402" s="104">
        <v>12750</v>
      </c>
      <c r="G402" s="104"/>
      <c r="H402" s="104">
        <f t="shared" si="65"/>
        <v>389832</v>
      </c>
    </row>
    <row r="403" spans="1:8" s="15" customFormat="1" ht="12" customHeight="1" x14ac:dyDescent="0.2">
      <c r="A403" s="31"/>
      <c r="B403" s="31"/>
      <c r="C403" s="44">
        <v>4120</v>
      </c>
      <c r="D403" s="38" t="s">
        <v>176</v>
      </c>
      <c r="E403" s="39">
        <v>53759</v>
      </c>
      <c r="F403" s="104">
        <v>2490</v>
      </c>
      <c r="G403" s="104"/>
      <c r="H403" s="104">
        <f t="shared" si="65"/>
        <v>56249</v>
      </c>
    </row>
    <row r="404" spans="1:8" s="15" customFormat="1" ht="12" customHeight="1" x14ac:dyDescent="0.2">
      <c r="A404" s="31"/>
      <c r="B404" s="31"/>
      <c r="C404" s="44">
        <v>4240</v>
      </c>
      <c r="D404" s="38" t="s">
        <v>158</v>
      </c>
      <c r="E404" s="39">
        <v>52850</v>
      </c>
      <c r="F404" s="104"/>
      <c r="G404" s="104">
        <v>8000</v>
      </c>
      <c r="H404" s="104">
        <f t="shared" si="65"/>
        <v>44850</v>
      </c>
    </row>
    <row r="405" spans="1:8" s="15" customFormat="1" ht="12" customHeight="1" x14ac:dyDescent="0.2">
      <c r="A405" s="31"/>
      <c r="B405" s="31"/>
      <c r="C405" s="44">
        <v>4440</v>
      </c>
      <c r="D405" s="38" t="s">
        <v>196</v>
      </c>
      <c r="E405" s="39">
        <v>105958</v>
      </c>
      <c r="F405" s="104">
        <f>1228+1190</f>
        <v>2418</v>
      </c>
      <c r="G405" s="104"/>
      <c r="H405" s="104">
        <f t="shared" si="65"/>
        <v>108376</v>
      </c>
    </row>
    <row r="406" spans="1:8" s="15" customFormat="1" ht="12" customHeight="1" x14ac:dyDescent="0.2">
      <c r="A406" s="31"/>
      <c r="B406" s="31"/>
      <c r="C406" s="44">
        <v>4710</v>
      </c>
      <c r="D406" s="131" t="s">
        <v>120</v>
      </c>
      <c r="E406" s="39">
        <v>17412</v>
      </c>
      <c r="F406" s="104">
        <v>650</v>
      </c>
      <c r="G406" s="104"/>
      <c r="H406" s="104">
        <f t="shared" si="65"/>
        <v>18062</v>
      </c>
    </row>
    <row r="407" spans="1:8" s="15" customFormat="1" ht="12" customHeight="1" x14ac:dyDescent="0.2">
      <c r="A407" s="31"/>
      <c r="B407" s="31"/>
      <c r="C407" s="43">
        <v>4790</v>
      </c>
      <c r="D407" s="144" t="s">
        <v>169</v>
      </c>
      <c r="E407" s="39">
        <v>2145601</v>
      </c>
      <c r="F407" s="104">
        <v>59200</v>
      </c>
      <c r="G407" s="104"/>
      <c r="H407" s="104">
        <f t="shared" si="65"/>
        <v>2204801</v>
      </c>
    </row>
    <row r="408" spans="1:8" s="15" customFormat="1" ht="12" customHeight="1" x14ac:dyDescent="0.2">
      <c r="A408" s="31"/>
      <c r="B408" s="31"/>
      <c r="C408" s="43">
        <v>4800</v>
      </c>
      <c r="D408" s="144" t="s">
        <v>159</v>
      </c>
      <c r="E408" s="104">
        <v>159207</v>
      </c>
      <c r="F408" s="104"/>
      <c r="G408" s="104">
        <f>1228+3200</f>
        <v>4428</v>
      </c>
      <c r="H408" s="104">
        <f t="shared" si="65"/>
        <v>154779</v>
      </c>
    </row>
    <row r="409" spans="1:8" s="15" customFormat="1" ht="12" customHeight="1" thickBot="1" x14ac:dyDescent="0.25">
      <c r="A409" s="32" t="s">
        <v>48</v>
      </c>
      <c r="B409" s="31"/>
      <c r="C409" s="32"/>
      <c r="D409" s="33" t="s">
        <v>83</v>
      </c>
      <c r="E409" s="29">
        <v>67280392.840000004</v>
      </c>
      <c r="F409" s="34">
        <f>SUM(F410,F425,F432,F435,F443)</f>
        <v>53593</v>
      </c>
      <c r="G409" s="34">
        <f>SUM(G410,G425,G432,G435,G443)</f>
        <v>52876</v>
      </c>
      <c r="H409" s="29">
        <f t="shared" ref="H409:H424" si="66">SUM(E409+F409-G409)</f>
        <v>67281109.840000004</v>
      </c>
    </row>
    <row r="410" spans="1:8" s="15" customFormat="1" ht="12" customHeight="1" thickTop="1" x14ac:dyDescent="0.2">
      <c r="A410" s="32"/>
      <c r="B410" s="35">
        <v>85202</v>
      </c>
      <c r="C410" s="25"/>
      <c r="D410" s="111" t="s">
        <v>206</v>
      </c>
      <c r="E410" s="46">
        <v>15747697.26</v>
      </c>
      <c r="F410" s="37">
        <f>SUM(F411,F420)</f>
        <v>9370</v>
      </c>
      <c r="G410" s="37">
        <f>SUM(G411,G420)</f>
        <v>7870</v>
      </c>
      <c r="H410" s="36">
        <f t="shared" si="66"/>
        <v>15749197.26</v>
      </c>
    </row>
    <row r="411" spans="1:8" s="15" customFormat="1" ht="12" customHeight="1" x14ac:dyDescent="0.2">
      <c r="A411" s="32"/>
      <c r="B411" s="35"/>
      <c r="C411" s="25"/>
      <c r="D411" s="369" t="s">
        <v>207</v>
      </c>
      <c r="E411" s="132">
        <v>3546523.26</v>
      </c>
      <c r="F411" s="154">
        <f>SUM(F412:F419)</f>
        <v>4900</v>
      </c>
      <c r="G411" s="154">
        <f>SUM(G412:G419)</f>
        <v>3400</v>
      </c>
      <c r="H411" s="374">
        <f t="shared" si="66"/>
        <v>3548023.26</v>
      </c>
    </row>
    <row r="412" spans="1:8" s="15" customFormat="1" ht="12" customHeight="1" x14ac:dyDescent="0.2">
      <c r="A412" s="32"/>
      <c r="B412" s="35"/>
      <c r="C412" s="44">
        <v>3020</v>
      </c>
      <c r="D412" s="38" t="s">
        <v>116</v>
      </c>
      <c r="E412" s="39">
        <v>12720</v>
      </c>
      <c r="F412" s="40"/>
      <c r="G412" s="40">
        <v>1000</v>
      </c>
      <c r="H412" s="104">
        <f t="shared" si="66"/>
        <v>11720</v>
      </c>
    </row>
    <row r="413" spans="1:8" s="15" customFormat="1" ht="12" customHeight="1" x14ac:dyDescent="0.2">
      <c r="A413" s="32"/>
      <c r="B413" s="35"/>
      <c r="C413" s="43">
        <v>4040</v>
      </c>
      <c r="D413" s="123" t="s">
        <v>156</v>
      </c>
      <c r="E413" s="39">
        <v>143580</v>
      </c>
      <c r="F413" s="40"/>
      <c r="G413" s="40">
        <v>500</v>
      </c>
      <c r="H413" s="104">
        <f t="shared" si="66"/>
        <v>143080</v>
      </c>
    </row>
    <row r="414" spans="1:8" s="15" customFormat="1" ht="12" customHeight="1" x14ac:dyDescent="0.2">
      <c r="A414" s="32"/>
      <c r="B414" s="35"/>
      <c r="C414" s="44">
        <v>4210</v>
      </c>
      <c r="D414" s="38" t="s">
        <v>135</v>
      </c>
      <c r="E414" s="39">
        <v>103075</v>
      </c>
      <c r="F414" s="40">
        <v>3100</v>
      </c>
      <c r="G414" s="40"/>
      <c r="H414" s="104">
        <f t="shared" si="66"/>
        <v>106175</v>
      </c>
    </row>
    <row r="415" spans="1:8" s="15" customFormat="1" ht="12" customHeight="1" x14ac:dyDescent="0.2">
      <c r="A415" s="32"/>
      <c r="B415" s="35"/>
      <c r="C415" s="44">
        <v>4280</v>
      </c>
      <c r="D415" s="38" t="s">
        <v>117</v>
      </c>
      <c r="E415" s="39">
        <v>5500</v>
      </c>
      <c r="F415" s="40">
        <v>300</v>
      </c>
      <c r="G415" s="40"/>
      <c r="H415" s="104">
        <f t="shared" si="66"/>
        <v>5800</v>
      </c>
    </row>
    <row r="416" spans="1:8" s="15" customFormat="1" ht="12" customHeight="1" x14ac:dyDescent="0.2">
      <c r="A416" s="32"/>
      <c r="B416" s="35"/>
      <c r="C416" s="44">
        <v>4360</v>
      </c>
      <c r="D416" s="38" t="s">
        <v>109</v>
      </c>
      <c r="E416" s="39">
        <v>2450</v>
      </c>
      <c r="F416" s="40">
        <v>800</v>
      </c>
      <c r="G416" s="40"/>
      <c r="H416" s="104">
        <f t="shared" si="66"/>
        <v>3250</v>
      </c>
    </row>
    <row r="417" spans="1:8" s="15" customFormat="1" ht="12" customHeight="1" x14ac:dyDescent="0.2">
      <c r="A417" s="32"/>
      <c r="B417" s="35"/>
      <c r="C417" s="44">
        <v>4410</v>
      </c>
      <c r="D417" s="131" t="s">
        <v>124</v>
      </c>
      <c r="E417" s="39">
        <v>1850</v>
      </c>
      <c r="F417" s="40">
        <v>700</v>
      </c>
      <c r="G417" s="40"/>
      <c r="H417" s="104">
        <f t="shared" si="66"/>
        <v>2550</v>
      </c>
    </row>
    <row r="418" spans="1:8" s="15" customFormat="1" ht="12" customHeight="1" x14ac:dyDescent="0.2">
      <c r="A418" s="32"/>
      <c r="B418" s="35"/>
      <c r="C418" s="44">
        <v>4430</v>
      </c>
      <c r="D418" s="38" t="s">
        <v>112</v>
      </c>
      <c r="E418" s="39">
        <v>9070</v>
      </c>
      <c r="F418" s="40"/>
      <c r="G418" s="40">
        <v>1600</v>
      </c>
      <c r="H418" s="104">
        <f t="shared" si="66"/>
        <v>7470</v>
      </c>
    </row>
    <row r="419" spans="1:8" s="15" customFormat="1" ht="12" customHeight="1" x14ac:dyDescent="0.2">
      <c r="A419" s="32"/>
      <c r="B419" s="35"/>
      <c r="C419" s="44">
        <v>4710</v>
      </c>
      <c r="D419" s="131" t="s">
        <v>120</v>
      </c>
      <c r="E419" s="39">
        <v>1000</v>
      </c>
      <c r="F419" s="40"/>
      <c r="G419" s="40">
        <v>300</v>
      </c>
      <c r="H419" s="104">
        <f t="shared" si="66"/>
        <v>700</v>
      </c>
    </row>
    <row r="420" spans="1:8" s="15" customFormat="1" ht="12" customHeight="1" x14ac:dyDescent="0.2">
      <c r="A420" s="32"/>
      <c r="B420" s="35"/>
      <c r="C420" s="25"/>
      <c r="D420" s="369" t="s">
        <v>208</v>
      </c>
      <c r="E420" s="132">
        <v>3452329</v>
      </c>
      <c r="F420" s="154">
        <f>SUM(F421:F424)</f>
        <v>4470</v>
      </c>
      <c r="G420" s="154">
        <f>SUM(G421:G424)</f>
        <v>4470</v>
      </c>
      <c r="H420" s="374">
        <f t="shared" si="66"/>
        <v>3452329</v>
      </c>
    </row>
    <row r="421" spans="1:8" s="15" customFormat="1" ht="12" customHeight="1" x14ac:dyDescent="0.2">
      <c r="A421" s="32"/>
      <c r="B421" s="35"/>
      <c r="C421" s="44">
        <v>4120</v>
      </c>
      <c r="D421" s="38" t="s">
        <v>176</v>
      </c>
      <c r="E421" s="39">
        <v>44300</v>
      </c>
      <c r="F421" s="40"/>
      <c r="G421" s="40">
        <v>2270</v>
      </c>
      <c r="H421" s="104">
        <f t="shared" si="66"/>
        <v>42030</v>
      </c>
    </row>
    <row r="422" spans="1:8" s="15" customFormat="1" ht="12" customHeight="1" x14ac:dyDescent="0.2">
      <c r="A422" s="32"/>
      <c r="B422" s="35"/>
      <c r="C422" s="44">
        <v>4170</v>
      </c>
      <c r="D422" s="38" t="s">
        <v>134</v>
      </c>
      <c r="E422" s="39">
        <v>5800</v>
      </c>
      <c r="F422" s="40">
        <v>2270</v>
      </c>
      <c r="G422" s="40"/>
      <c r="H422" s="104">
        <f t="shared" si="66"/>
        <v>8070</v>
      </c>
    </row>
    <row r="423" spans="1:8" s="15" customFormat="1" ht="12" customHeight="1" x14ac:dyDescent="0.2">
      <c r="A423" s="32"/>
      <c r="B423" s="35"/>
      <c r="C423" s="44">
        <v>4260</v>
      </c>
      <c r="D423" s="38" t="s">
        <v>106</v>
      </c>
      <c r="E423" s="39">
        <v>260151</v>
      </c>
      <c r="F423" s="40"/>
      <c r="G423" s="40">
        <v>2200</v>
      </c>
      <c r="H423" s="104">
        <f t="shared" si="66"/>
        <v>257951</v>
      </c>
    </row>
    <row r="424" spans="1:8" s="15" customFormat="1" ht="12" customHeight="1" x14ac:dyDescent="0.2">
      <c r="A424" s="32"/>
      <c r="B424" s="35"/>
      <c r="C424" s="44">
        <v>4280</v>
      </c>
      <c r="D424" s="38" t="s">
        <v>117</v>
      </c>
      <c r="E424" s="39">
        <v>3000</v>
      </c>
      <c r="F424" s="40">
        <v>2200</v>
      </c>
      <c r="G424" s="40"/>
      <c r="H424" s="104">
        <f t="shared" si="66"/>
        <v>5200</v>
      </c>
    </row>
    <row r="425" spans="1:8" s="15" customFormat="1" ht="12" customHeight="1" x14ac:dyDescent="0.2">
      <c r="A425" s="32"/>
      <c r="B425" s="43">
        <v>85203</v>
      </c>
      <c r="C425" s="152"/>
      <c r="D425" s="124" t="s">
        <v>209</v>
      </c>
      <c r="E425" s="46">
        <v>757819</v>
      </c>
      <c r="F425" s="37">
        <f>SUM(F427)</f>
        <v>200</v>
      </c>
      <c r="G425" s="37">
        <f>SUM(G427)</f>
        <v>1700</v>
      </c>
      <c r="H425" s="36">
        <f t="shared" ref="H425" si="67">SUM(E425+F425-G425)</f>
        <v>756319</v>
      </c>
    </row>
    <row r="426" spans="1:8" s="15" customFormat="1" ht="12" customHeight="1" x14ac:dyDescent="0.2">
      <c r="A426" s="32"/>
      <c r="B426" s="43"/>
      <c r="C426" s="152"/>
      <c r="D426" s="123" t="s">
        <v>210</v>
      </c>
      <c r="E426" s="40"/>
      <c r="F426" s="104"/>
      <c r="G426" s="104"/>
      <c r="H426" s="41"/>
    </row>
    <row r="427" spans="1:8" s="15" customFormat="1" ht="12" customHeight="1" x14ac:dyDescent="0.2">
      <c r="A427" s="32"/>
      <c r="B427" s="35"/>
      <c r="C427" s="25"/>
      <c r="D427" s="375" t="s">
        <v>211</v>
      </c>
      <c r="E427" s="132">
        <v>582101</v>
      </c>
      <c r="F427" s="154">
        <f>SUM(F428:F430)</f>
        <v>200</v>
      </c>
      <c r="G427" s="154">
        <f>SUM(G428:G430)</f>
        <v>1700</v>
      </c>
      <c r="H427" s="374">
        <f t="shared" ref="H427:H430" si="68">SUM(E427+F427-G427)</f>
        <v>580601</v>
      </c>
    </row>
    <row r="428" spans="1:8" s="15" customFormat="1" ht="12" customHeight="1" x14ac:dyDescent="0.2">
      <c r="A428" s="32"/>
      <c r="B428" s="35"/>
      <c r="C428" s="44">
        <v>4360</v>
      </c>
      <c r="D428" s="38" t="s">
        <v>109</v>
      </c>
      <c r="E428" s="39">
        <v>1340</v>
      </c>
      <c r="F428" s="40">
        <v>200</v>
      </c>
      <c r="G428" s="40"/>
      <c r="H428" s="104">
        <f t="shared" si="68"/>
        <v>1540</v>
      </c>
    </row>
    <row r="429" spans="1:8" s="15" customFormat="1" ht="12" customHeight="1" x14ac:dyDescent="0.2">
      <c r="A429" s="32"/>
      <c r="B429" s="35"/>
      <c r="C429" s="44">
        <v>4430</v>
      </c>
      <c r="D429" s="38" t="s">
        <v>112</v>
      </c>
      <c r="E429" s="39">
        <v>3146</v>
      </c>
      <c r="F429" s="40"/>
      <c r="G429" s="40">
        <v>1500</v>
      </c>
      <c r="H429" s="104">
        <f t="shared" si="68"/>
        <v>1646</v>
      </c>
    </row>
    <row r="430" spans="1:8" s="15" customFormat="1" ht="20.45" customHeight="1" x14ac:dyDescent="0.2">
      <c r="A430" s="32"/>
      <c r="B430" s="35"/>
      <c r="C430" s="118">
        <v>4700</v>
      </c>
      <c r="D430" s="128" t="s">
        <v>119</v>
      </c>
      <c r="E430" s="39">
        <v>1332</v>
      </c>
      <c r="F430" s="40"/>
      <c r="G430" s="40">
        <v>200</v>
      </c>
      <c r="H430" s="104">
        <f t="shared" si="68"/>
        <v>1132</v>
      </c>
    </row>
    <row r="431" spans="1:8" s="15" customFormat="1" ht="12" customHeight="1" x14ac:dyDescent="0.2">
      <c r="A431" s="32"/>
      <c r="B431" s="35">
        <v>85214</v>
      </c>
      <c r="C431" s="25"/>
      <c r="D431" s="108" t="s">
        <v>84</v>
      </c>
      <c r="E431" s="100"/>
      <c r="F431" s="109"/>
      <c r="G431" s="109"/>
      <c r="H431" s="100"/>
    </row>
    <row r="432" spans="1:8" s="15" customFormat="1" ht="12" customHeight="1" x14ac:dyDescent="0.2">
      <c r="A432" s="32"/>
      <c r="B432" s="35"/>
      <c r="C432" s="25"/>
      <c r="D432" s="110" t="s">
        <v>85</v>
      </c>
      <c r="E432" s="36">
        <v>9511744.1400000006</v>
      </c>
      <c r="F432" s="37">
        <f t="shared" ref="F432:G432" si="69">SUM(F433)</f>
        <v>717</v>
      </c>
      <c r="G432" s="37">
        <f t="shared" si="69"/>
        <v>0</v>
      </c>
      <c r="H432" s="36">
        <f>SUM(E432+F432-G432)</f>
        <v>9512461.1400000006</v>
      </c>
    </row>
    <row r="433" spans="1:8" s="15" customFormat="1" ht="19.899999999999999" customHeight="1" x14ac:dyDescent="0.2">
      <c r="A433" s="32"/>
      <c r="B433" s="31"/>
      <c r="C433" s="134"/>
      <c r="D433" s="371" t="s">
        <v>212</v>
      </c>
      <c r="E433" s="132">
        <v>0</v>
      </c>
      <c r="F433" s="370">
        <f>SUM(F434:F434)</f>
        <v>717</v>
      </c>
      <c r="G433" s="370">
        <f>SUM(G434:G434)</f>
        <v>0</v>
      </c>
      <c r="H433" s="132">
        <f t="shared" ref="H433:H465" si="70">SUM(E433+F433-G433)</f>
        <v>717</v>
      </c>
    </row>
    <row r="434" spans="1:8" s="15" customFormat="1" ht="21" customHeight="1" x14ac:dyDescent="0.2">
      <c r="A434" s="32"/>
      <c r="B434" s="31"/>
      <c r="C434" s="118">
        <v>3290</v>
      </c>
      <c r="D434" s="119" t="s">
        <v>213</v>
      </c>
      <c r="E434" s="41">
        <v>0</v>
      </c>
      <c r="F434" s="41">
        <v>717</v>
      </c>
      <c r="G434" s="104"/>
      <c r="H434" s="41">
        <f t="shared" si="70"/>
        <v>717</v>
      </c>
    </row>
    <row r="435" spans="1:8" s="15" customFormat="1" ht="12" customHeight="1" x14ac:dyDescent="0.2">
      <c r="A435" s="32"/>
      <c r="B435" s="35">
        <v>85219</v>
      </c>
      <c r="C435" s="25"/>
      <c r="D435" s="110" t="s">
        <v>88</v>
      </c>
      <c r="E435" s="46">
        <v>15059625</v>
      </c>
      <c r="F435" s="37">
        <f>SUM(F436)</f>
        <v>34132</v>
      </c>
      <c r="G435" s="37">
        <f>SUM(G436)</f>
        <v>34132</v>
      </c>
      <c r="H435" s="36">
        <f t="shared" si="70"/>
        <v>15059625</v>
      </c>
    </row>
    <row r="436" spans="1:8" s="15" customFormat="1" ht="12" customHeight="1" x14ac:dyDescent="0.2">
      <c r="A436" s="32"/>
      <c r="B436" s="31"/>
      <c r="C436" s="25"/>
      <c r="D436" s="369" t="s">
        <v>60</v>
      </c>
      <c r="E436" s="132">
        <v>15059625</v>
      </c>
      <c r="F436" s="370">
        <f>SUM(F437:F442)</f>
        <v>34132</v>
      </c>
      <c r="G436" s="370">
        <f>SUM(G437:G442)</f>
        <v>34132</v>
      </c>
      <c r="H436" s="132">
        <f>SUM(E436+F436-G436)</f>
        <v>15059625</v>
      </c>
    </row>
    <row r="437" spans="1:8" s="15" customFormat="1" ht="12" customHeight="1" x14ac:dyDescent="0.2">
      <c r="A437" s="32"/>
      <c r="B437" s="35"/>
      <c r="C437" s="44">
        <v>4040</v>
      </c>
      <c r="D437" s="38" t="s">
        <v>156</v>
      </c>
      <c r="E437" s="40">
        <v>738258</v>
      </c>
      <c r="F437" s="104"/>
      <c r="G437" s="104">
        <v>29841</v>
      </c>
      <c r="H437" s="104">
        <f t="shared" ref="H437:H442" si="71">SUM(E437+F437-G437)</f>
        <v>708417</v>
      </c>
    </row>
    <row r="438" spans="1:8" s="15" customFormat="1" ht="20.45" customHeight="1" x14ac:dyDescent="0.2">
      <c r="A438" s="32"/>
      <c r="B438" s="35"/>
      <c r="C438" s="143">
        <v>4140</v>
      </c>
      <c r="D438" s="128" t="s">
        <v>157</v>
      </c>
      <c r="E438" s="40">
        <v>2000</v>
      </c>
      <c r="F438" s="104"/>
      <c r="G438" s="104">
        <v>1000</v>
      </c>
      <c r="H438" s="104">
        <f t="shared" si="71"/>
        <v>1000</v>
      </c>
    </row>
    <row r="439" spans="1:8" s="15" customFormat="1" ht="12" customHeight="1" x14ac:dyDescent="0.2">
      <c r="A439" s="32"/>
      <c r="B439" s="35"/>
      <c r="C439" s="44">
        <v>4300</v>
      </c>
      <c r="D439" s="38" t="s">
        <v>108</v>
      </c>
      <c r="E439" s="40">
        <v>405374</v>
      </c>
      <c r="F439" s="104"/>
      <c r="G439" s="104">
        <v>2631</v>
      </c>
      <c r="H439" s="104">
        <f t="shared" si="71"/>
        <v>402743</v>
      </c>
    </row>
    <row r="440" spans="1:8" s="15" customFormat="1" ht="12" customHeight="1" x14ac:dyDescent="0.2">
      <c r="A440" s="32"/>
      <c r="B440" s="35"/>
      <c r="C440" s="44">
        <v>4430</v>
      </c>
      <c r="D440" s="38" t="s">
        <v>112</v>
      </c>
      <c r="E440" s="40">
        <v>37965</v>
      </c>
      <c r="F440" s="104">
        <v>4291</v>
      </c>
      <c r="G440" s="104"/>
      <c r="H440" s="104">
        <f t="shared" si="71"/>
        <v>42256</v>
      </c>
    </row>
    <row r="441" spans="1:8" s="15" customFormat="1" ht="12" customHeight="1" x14ac:dyDescent="0.2">
      <c r="A441" s="32"/>
      <c r="B441" s="35"/>
      <c r="C441" s="44">
        <v>4440</v>
      </c>
      <c r="D441" s="38" t="s">
        <v>196</v>
      </c>
      <c r="E441" s="40">
        <v>290416</v>
      </c>
      <c r="F441" s="104">
        <v>29841</v>
      </c>
      <c r="G441" s="104"/>
      <c r="H441" s="104">
        <f t="shared" si="71"/>
        <v>320257</v>
      </c>
    </row>
    <row r="442" spans="1:8" s="15" customFormat="1" ht="19.899999999999999" customHeight="1" x14ac:dyDescent="0.2">
      <c r="A442" s="32"/>
      <c r="B442" s="35"/>
      <c r="C442" s="118">
        <v>4700</v>
      </c>
      <c r="D442" s="128" t="s">
        <v>119</v>
      </c>
      <c r="E442" s="40">
        <v>40900</v>
      </c>
      <c r="F442" s="104"/>
      <c r="G442" s="104">
        <v>660</v>
      </c>
      <c r="H442" s="104">
        <f t="shared" si="71"/>
        <v>40240</v>
      </c>
    </row>
    <row r="443" spans="1:8" s="15" customFormat="1" ht="12" customHeight="1" x14ac:dyDescent="0.2">
      <c r="A443" s="32"/>
      <c r="B443" s="35">
        <v>85295</v>
      </c>
      <c r="C443" s="25"/>
      <c r="D443" s="42" t="s">
        <v>12</v>
      </c>
      <c r="E443" s="36">
        <v>5570489.4400000004</v>
      </c>
      <c r="F443" s="37">
        <f>SUM(F444)</f>
        <v>9174</v>
      </c>
      <c r="G443" s="37">
        <f>SUM(G444)</f>
        <v>9174</v>
      </c>
      <c r="H443" s="36">
        <f>SUM(E443+F443-G443)</f>
        <v>5570489.4400000004</v>
      </c>
    </row>
    <row r="444" spans="1:8" s="15" customFormat="1" ht="12" customHeight="1" x14ac:dyDescent="0.2">
      <c r="A444" s="32"/>
      <c r="B444" s="31"/>
      <c r="C444" s="134"/>
      <c r="D444" s="369" t="s">
        <v>60</v>
      </c>
      <c r="E444" s="132">
        <v>1322778</v>
      </c>
      <c r="F444" s="370">
        <f>SUM(F445:F447)</f>
        <v>9174</v>
      </c>
      <c r="G444" s="370">
        <f>SUM(G445:G447)</f>
        <v>9174</v>
      </c>
      <c r="H444" s="132">
        <f t="shared" ref="H444:H455" si="72">SUM(E444+F444-G444)</f>
        <v>1322778</v>
      </c>
    </row>
    <row r="445" spans="1:8" s="15" customFormat="1" ht="12" customHeight="1" x14ac:dyDescent="0.2">
      <c r="A445" s="32"/>
      <c r="B445" s="31"/>
      <c r="C445" s="44">
        <v>4040</v>
      </c>
      <c r="D445" s="38" t="s">
        <v>156</v>
      </c>
      <c r="E445" s="104">
        <v>59392</v>
      </c>
      <c r="F445" s="41"/>
      <c r="G445" s="104">
        <v>8797</v>
      </c>
      <c r="H445" s="104">
        <f t="shared" si="72"/>
        <v>50595</v>
      </c>
    </row>
    <row r="446" spans="1:8" s="15" customFormat="1" ht="12" customHeight="1" x14ac:dyDescent="0.2">
      <c r="A446" s="32"/>
      <c r="B446" s="31"/>
      <c r="C446" s="44">
        <v>4300</v>
      </c>
      <c r="D446" s="38" t="s">
        <v>108</v>
      </c>
      <c r="E446" s="104">
        <v>61570</v>
      </c>
      <c r="F446" s="41"/>
      <c r="G446" s="104">
        <v>377</v>
      </c>
      <c r="H446" s="104">
        <f t="shared" si="72"/>
        <v>61193</v>
      </c>
    </row>
    <row r="447" spans="1:8" s="15" customFormat="1" ht="12" customHeight="1" x14ac:dyDescent="0.2">
      <c r="A447" s="153"/>
      <c r="B447" s="113"/>
      <c r="C447" s="130">
        <v>4440</v>
      </c>
      <c r="D447" s="42" t="s">
        <v>196</v>
      </c>
      <c r="E447" s="37">
        <v>23254</v>
      </c>
      <c r="F447" s="36">
        <v>9174</v>
      </c>
      <c r="G447" s="117"/>
      <c r="H447" s="37">
        <f t="shared" si="72"/>
        <v>32428</v>
      </c>
    </row>
    <row r="448" spans="1:8" s="15" customFormat="1" ht="12" customHeight="1" thickBot="1" x14ac:dyDescent="0.25">
      <c r="A448" s="30">
        <v>853</v>
      </c>
      <c r="B448" s="31"/>
      <c r="C448" s="32"/>
      <c r="D448" s="33" t="s">
        <v>214</v>
      </c>
      <c r="E448" s="29">
        <v>10282887.9</v>
      </c>
      <c r="F448" s="34">
        <f>SUM(F449)</f>
        <v>22862</v>
      </c>
      <c r="G448" s="34">
        <f>SUM(G449)</f>
        <v>22862</v>
      </c>
      <c r="H448" s="29">
        <f t="shared" si="72"/>
        <v>10282887.9</v>
      </c>
    </row>
    <row r="449" spans="1:8" s="15" customFormat="1" ht="12" customHeight="1" thickTop="1" x14ac:dyDescent="0.2">
      <c r="A449" s="32"/>
      <c r="B449" s="35">
        <v>85395</v>
      </c>
      <c r="C449" s="25"/>
      <c r="D449" s="42" t="s">
        <v>12</v>
      </c>
      <c r="E449" s="46">
        <v>6322615.9000000004</v>
      </c>
      <c r="F449" s="36">
        <f>SUM(F450,F456,F462)</f>
        <v>22862</v>
      </c>
      <c r="G449" s="36">
        <f>SUM(G450,G456,G462)</f>
        <v>22862</v>
      </c>
      <c r="H449" s="36">
        <f t="shared" si="72"/>
        <v>6322615.9000000004</v>
      </c>
    </row>
    <row r="450" spans="1:8" s="15" customFormat="1" ht="12" customHeight="1" x14ac:dyDescent="0.2">
      <c r="A450" s="32"/>
      <c r="B450" s="35"/>
      <c r="C450" s="134"/>
      <c r="D450" s="377" t="s">
        <v>143</v>
      </c>
      <c r="E450" s="132">
        <v>4220806</v>
      </c>
      <c r="F450" s="370">
        <f>SUM(F451:F455)</f>
        <v>14100</v>
      </c>
      <c r="G450" s="370">
        <f>SUM(G451:G455)</f>
        <v>14100</v>
      </c>
      <c r="H450" s="132">
        <f t="shared" si="72"/>
        <v>4220806</v>
      </c>
    </row>
    <row r="451" spans="1:8" s="15" customFormat="1" ht="12" customHeight="1" x14ac:dyDescent="0.2">
      <c r="A451" s="32"/>
      <c r="B451" s="35"/>
      <c r="C451" s="134" t="s">
        <v>23</v>
      </c>
      <c r="D451" s="131" t="s">
        <v>135</v>
      </c>
      <c r="E451" s="40">
        <v>370000</v>
      </c>
      <c r="F451" s="39"/>
      <c r="G451" s="39">
        <v>11000</v>
      </c>
      <c r="H451" s="104">
        <f t="shared" si="72"/>
        <v>359000</v>
      </c>
    </row>
    <row r="452" spans="1:8" s="15" customFormat="1" ht="12" customHeight="1" x14ac:dyDescent="0.2">
      <c r="A452" s="32"/>
      <c r="B452" s="35"/>
      <c r="C452" s="44">
        <v>4220</v>
      </c>
      <c r="D452" s="38" t="s">
        <v>215</v>
      </c>
      <c r="E452" s="40">
        <v>1223700</v>
      </c>
      <c r="F452" s="39"/>
      <c r="G452" s="39">
        <v>3100</v>
      </c>
      <c r="H452" s="104">
        <f t="shared" si="72"/>
        <v>1220600</v>
      </c>
    </row>
    <row r="453" spans="1:8" s="15" customFormat="1" ht="12" customHeight="1" x14ac:dyDescent="0.2">
      <c r="A453" s="32"/>
      <c r="B453" s="35"/>
      <c r="C453" s="44">
        <v>4270</v>
      </c>
      <c r="D453" s="38" t="s">
        <v>107</v>
      </c>
      <c r="E453" s="40">
        <v>36000</v>
      </c>
      <c r="F453" s="39">
        <v>6000</v>
      </c>
      <c r="G453" s="39"/>
      <c r="H453" s="104">
        <f t="shared" si="72"/>
        <v>42000</v>
      </c>
    </row>
    <row r="454" spans="1:8" s="15" customFormat="1" ht="12" customHeight="1" x14ac:dyDescent="0.2">
      <c r="A454" s="32"/>
      <c r="B454" s="35"/>
      <c r="C454" s="44">
        <v>4280</v>
      </c>
      <c r="D454" s="38" t="s">
        <v>117</v>
      </c>
      <c r="E454" s="40">
        <v>4400</v>
      </c>
      <c r="F454" s="39">
        <v>1600</v>
      </c>
      <c r="G454" s="39"/>
      <c r="H454" s="104">
        <f t="shared" si="72"/>
        <v>6000</v>
      </c>
    </row>
    <row r="455" spans="1:8" s="15" customFormat="1" ht="12" customHeight="1" x14ac:dyDescent="0.2">
      <c r="A455" s="32"/>
      <c r="B455" s="35"/>
      <c r="C455" s="123">
        <v>4300</v>
      </c>
      <c r="D455" s="131" t="s">
        <v>108</v>
      </c>
      <c r="E455" s="40">
        <v>72000</v>
      </c>
      <c r="F455" s="39">
        <v>6500</v>
      </c>
      <c r="G455" s="39"/>
      <c r="H455" s="104">
        <f t="shared" si="72"/>
        <v>78500</v>
      </c>
    </row>
    <row r="456" spans="1:8" s="15" customFormat="1" ht="30" customHeight="1" x14ac:dyDescent="0.2">
      <c r="A456" s="32"/>
      <c r="B456" s="35"/>
      <c r="C456" s="134"/>
      <c r="D456" s="378" t="s">
        <v>216</v>
      </c>
      <c r="E456" s="132">
        <v>327936.99</v>
      </c>
      <c r="F456" s="370">
        <f>SUM(F457:F461)</f>
        <v>8462</v>
      </c>
      <c r="G456" s="370">
        <f>SUM(G457:G461)</f>
        <v>8462</v>
      </c>
      <c r="H456" s="132">
        <f>SUM(E456+F456-G456)</f>
        <v>327936.99</v>
      </c>
    </row>
    <row r="457" spans="1:8" s="15" customFormat="1" ht="12" customHeight="1" x14ac:dyDescent="0.2">
      <c r="A457" s="32"/>
      <c r="B457" s="35"/>
      <c r="C457" s="44">
        <v>4010</v>
      </c>
      <c r="D457" s="38" t="s">
        <v>137</v>
      </c>
      <c r="E457" s="40">
        <v>204910.41999999998</v>
      </c>
      <c r="F457" s="104">
        <v>7056</v>
      </c>
      <c r="G457" s="104"/>
      <c r="H457" s="104">
        <f>SUM(E457+F457-G457)</f>
        <v>211966.41999999998</v>
      </c>
    </row>
    <row r="458" spans="1:8" s="15" customFormat="1" ht="12" customHeight="1" x14ac:dyDescent="0.2">
      <c r="A458" s="32"/>
      <c r="B458" s="35"/>
      <c r="C458" s="44">
        <v>4110</v>
      </c>
      <c r="D458" s="38" t="s">
        <v>138</v>
      </c>
      <c r="E458" s="40">
        <v>35781.17</v>
      </c>
      <c r="F458" s="104">
        <v>1092</v>
      </c>
      <c r="G458" s="104"/>
      <c r="H458" s="104">
        <f t="shared" ref="H458:H461" si="73">SUM(E458+F458-G458)</f>
        <v>36873.17</v>
      </c>
    </row>
    <row r="459" spans="1:8" s="15" customFormat="1" ht="12" customHeight="1" x14ac:dyDescent="0.2">
      <c r="A459" s="32"/>
      <c r="B459" s="35"/>
      <c r="C459" s="44">
        <v>4120</v>
      </c>
      <c r="D459" s="38" t="s">
        <v>176</v>
      </c>
      <c r="E459" s="40">
        <v>4996.78</v>
      </c>
      <c r="F459" s="104">
        <v>314</v>
      </c>
      <c r="G459" s="104"/>
      <c r="H459" s="104">
        <f t="shared" si="73"/>
        <v>5310.78</v>
      </c>
    </row>
    <row r="460" spans="1:8" s="15" customFormat="1" ht="12" customHeight="1" x14ac:dyDescent="0.2">
      <c r="A460" s="32"/>
      <c r="B460" s="35"/>
      <c r="C460" s="44">
        <v>4440</v>
      </c>
      <c r="D460" s="38" t="s">
        <v>196</v>
      </c>
      <c r="E460" s="40">
        <v>7752</v>
      </c>
      <c r="F460" s="104"/>
      <c r="G460" s="104">
        <v>7752</v>
      </c>
      <c r="H460" s="104">
        <f t="shared" si="73"/>
        <v>0</v>
      </c>
    </row>
    <row r="461" spans="1:8" s="15" customFormat="1" ht="12" customHeight="1" x14ac:dyDescent="0.2">
      <c r="A461" s="32"/>
      <c r="B461" s="35"/>
      <c r="C461" s="44">
        <v>4710</v>
      </c>
      <c r="D461" s="131" t="s">
        <v>120</v>
      </c>
      <c r="E461" s="40">
        <v>710</v>
      </c>
      <c r="F461" s="104"/>
      <c r="G461" s="104">
        <v>710</v>
      </c>
      <c r="H461" s="104">
        <f t="shared" si="73"/>
        <v>0</v>
      </c>
    </row>
    <row r="462" spans="1:8" s="15" customFormat="1" ht="22.5" customHeight="1" x14ac:dyDescent="0.2">
      <c r="A462" s="32"/>
      <c r="B462" s="35"/>
      <c r="C462" s="134"/>
      <c r="D462" s="379" t="s">
        <v>217</v>
      </c>
      <c r="E462" s="132">
        <v>103764.15</v>
      </c>
      <c r="F462" s="154">
        <f>SUM(F463:F464)</f>
        <v>300</v>
      </c>
      <c r="G462" s="154">
        <f>SUM(G463:G464)</f>
        <v>300</v>
      </c>
      <c r="H462" s="132">
        <f>SUM(E462+F462-G462)</f>
        <v>103764.15</v>
      </c>
    </row>
    <row r="463" spans="1:8" s="15" customFormat="1" ht="12" customHeight="1" x14ac:dyDescent="0.2">
      <c r="A463" s="32"/>
      <c r="B463" s="35"/>
      <c r="C463" s="44">
        <v>4117</v>
      </c>
      <c r="D463" s="38" t="s">
        <v>168</v>
      </c>
      <c r="E463" s="40">
        <v>6851.9500000000007</v>
      </c>
      <c r="F463" s="104">
        <v>300</v>
      </c>
      <c r="G463" s="104"/>
      <c r="H463" s="104">
        <f t="shared" ref="H463:H464" si="74">SUM(E463+F463-G463)</f>
        <v>7151.9500000000007</v>
      </c>
    </row>
    <row r="464" spans="1:8" s="15" customFormat="1" ht="12" customHeight="1" x14ac:dyDescent="0.2">
      <c r="A464" s="32"/>
      <c r="B464" s="35"/>
      <c r="C464" s="44">
        <v>4717</v>
      </c>
      <c r="D464" s="131" t="s">
        <v>120</v>
      </c>
      <c r="E464" s="40">
        <v>389.09999999999997</v>
      </c>
      <c r="F464" s="104"/>
      <c r="G464" s="104">
        <v>300</v>
      </c>
      <c r="H464" s="104">
        <f t="shared" si="74"/>
        <v>89.099999999999966</v>
      </c>
    </row>
    <row r="465" spans="1:8" s="15" customFormat="1" ht="12" customHeight="1" thickBot="1" x14ac:dyDescent="0.25">
      <c r="A465" s="31">
        <v>854</v>
      </c>
      <c r="B465" s="31"/>
      <c r="C465" s="32"/>
      <c r="D465" s="33" t="s">
        <v>218</v>
      </c>
      <c r="E465" s="29">
        <v>15539181.77</v>
      </c>
      <c r="F465" s="34">
        <f>SUM(F467,F471,F476)</f>
        <v>146800</v>
      </c>
      <c r="G465" s="34">
        <f>SUM(G467,G471,G476)</f>
        <v>21800</v>
      </c>
      <c r="H465" s="29">
        <f t="shared" si="70"/>
        <v>15664181.77</v>
      </c>
    </row>
    <row r="466" spans="1:8" s="15" customFormat="1" ht="12" customHeight="1" thickTop="1" x14ac:dyDescent="0.2">
      <c r="A466" s="31"/>
      <c r="B466" s="44">
        <v>85406</v>
      </c>
      <c r="C466" s="44"/>
      <c r="D466" s="38" t="s">
        <v>219</v>
      </c>
      <c r="E466" s="100"/>
      <c r="F466" s="109"/>
      <c r="G466" s="109"/>
      <c r="H466" s="100"/>
    </row>
    <row r="467" spans="1:8" s="15" customFormat="1" ht="12" customHeight="1" x14ac:dyDescent="0.2">
      <c r="A467" s="31"/>
      <c r="B467" s="44"/>
      <c r="C467" s="25"/>
      <c r="D467" s="111" t="s">
        <v>220</v>
      </c>
      <c r="E467" s="36">
        <v>3986292.94</v>
      </c>
      <c r="F467" s="37">
        <f>SUM(F468)</f>
        <v>800</v>
      </c>
      <c r="G467" s="37">
        <f>SUM(G468)</f>
        <v>800</v>
      </c>
      <c r="H467" s="36">
        <f t="shared" ref="H467" si="75">SUM(E467+F467-G467)</f>
        <v>3986292.94</v>
      </c>
    </row>
    <row r="468" spans="1:8" s="15" customFormat="1" ht="12" customHeight="1" x14ac:dyDescent="0.2">
      <c r="A468" s="31"/>
      <c r="B468" s="31"/>
      <c r="C468" s="25"/>
      <c r="D468" s="369" t="s">
        <v>155</v>
      </c>
      <c r="E468" s="374">
        <v>3928556.08</v>
      </c>
      <c r="F468" s="374">
        <f>SUM(F469:F470)</f>
        <v>800</v>
      </c>
      <c r="G468" s="374">
        <f>SUM(G469:G470)</f>
        <v>800</v>
      </c>
      <c r="H468" s="132">
        <f>SUM(E468+F468-G468)</f>
        <v>3928556.08</v>
      </c>
    </row>
    <row r="469" spans="1:8" s="15" customFormat="1" ht="12" customHeight="1" x14ac:dyDescent="0.2">
      <c r="A469" s="31"/>
      <c r="B469" s="31"/>
      <c r="C469" s="44">
        <v>4280</v>
      </c>
      <c r="D469" s="38" t="s">
        <v>117</v>
      </c>
      <c r="E469" s="40">
        <v>2300</v>
      </c>
      <c r="F469" s="39">
        <v>800</v>
      </c>
      <c r="G469" s="39"/>
      <c r="H469" s="41">
        <f t="shared" ref="H469:H470" si="76">SUM(E469+F469-G469)</f>
        <v>3100</v>
      </c>
    </row>
    <row r="470" spans="1:8" s="15" customFormat="1" ht="12" customHeight="1" x14ac:dyDescent="0.2">
      <c r="A470" s="31"/>
      <c r="B470" s="31"/>
      <c r="C470" s="44">
        <v>4710</v>
      </c>
      <c r="D470" s="131" t="s">
        <v>120</v>
      </c>
      <c r="E470" s="40">
        <v>2471</v>
      </c>
      <c r="F470" s="39"/>
      <c r="G470" s="39">
        <v>800</v>
      </c>
      <c r="H470" s="41">
        <f t="shared" si="76"/>
        <v>1671</v>
      </c>
    </row>
    <row r="471" spans="1:8" s="15" customFormat="1" ht="12.6" customHeight="1" x14ac:dyDescent="0.2">
      <c r="A471" s="31"/>
      <c r="B471" s="43">
        <v>85410</v>
      </c>
      <c r="C471" s="122"/>
      <c r="D471" s="124" t="s">
        <v>221</v>
      </c>
      <c r="E471" s="37">
        <v>3489011.9699999997</v>
      </c>
      <c r="F471" s="37">
        <f>SUM(F472)</f>
        <v>53000</v>
      </c>
      <c r="G471" s="37">
        <f>SUM(G472)</f>
        <v>8000</v>
      </c>
      <c r="H471" s="36">
        <f>SUM(E471+F471-G471)</f>
        <v>3534011.9699999997</v>
      </c>
    </row>
    <row r="472" spans="1:8" s="15" customFormat="1" ht="12" customHeight="1" x14ac:dyDescent="0.2">
      <c r="A472" s="31"/>
      <c r="B472" s="44"/>
      <c r="C472" s="25"/>
      <c r="D472" s="369" t="s">
        <v>155</v>
      </c>
      <c r="E472" s="132">
        <v>2407004.9699999997</v>
      </c>
      <c r="F472" s="154">
        <f>SUM(F473:F475)</f>
        <v>53000</v>
      </c>
      <c r="G472" s="154">
        <f>SUM(G473:G475)</f>
        <v>8000</v>
      </c>
      <c r="H472" s="374">
        <f t="shared" ref="H472:H475" si="77">SUM(E472+F472-G472)</f>
        <v>2452004.9699999997</v>
      </c>
    </row>
    <row r="473" spans="1:8" s="15" customFormat="1" ht="12" customHeight="1" x14ac:dyDescent="0.2">
      <c r="A473" s="31"/>
      <c r="B473" s="44"/>
      <c r="C473" s="44">
        <v>4110</v>
      </c>
      <c r="D473" s="38" t="s">
        <v>138</v>
      </c>
      <c r="E473" s="40">
        <v>273057</v>
      </c>
      <c r="F473" s="40">
        <v>10000</v>
      </c>
      <c r="G473" s="40"/>
      <c r="H473" s="41">
        <f t="shared" si="77"/>
        <v>283057</v>
      </c>
    </row>
    <row r="474" spans="1:8" s="15" customFormat="1" ht="12" customHeight="1" x14ac:dyDescent="0.2">
      <c r="A474" s="31"/>
      <c r="B474" s="44"/>
      <c r="C474" s="44">
        <v>4270</v>
      </c>
      <c r="D474" s="38" t="s">
        <v>107</v>
      </c>
      <c r="E474" s="40">
        <v>35000</v>
      </c>
      <c r="F474" s="40"/>
      <c r="G474" s="40">
        <v>8000</v>
      </c>
      <c r="H474" s="41">
        <f t="shared" si="77"/>
        <v>27000</v>
      </c>
    </row>
    <row r="475" spans="1:8" s="15" customFormat="1" ht="12" customHeight="1" x14ac:dyDescent="0.2">
      <c r="A475" s="31"/>
      <c r="B475" s="44"/>
      <c r="C475" s="43">
        <v>4790</v>
      </c>
      <c r="D475" s="144" t="s">
        <v>169</v>
      </c>
      <c r="E475" s="40">
        <v>770038.97</v>
      </c>
      <c r="F475" s="40">
        <v>43000</v>
      </c>
      <c r="G475" s="40"/>
      <c r="H475" s="41">
        <f t="shared" si="77"/>
        <v>813038.97</v>
      </c>
    </row>
    <row r="476" spans="1:8" s="15" customFormat="1" ht="12" customHeight="1" x14ac:dyDescent="0.2">
      <c r="A476" s="31"/>
      <c r="B476" s="44">
        <v>85420</v>
      </c>
      <c r="C476" s="44"/>
      <c r="D476" s="111" t="s">
        <v>222</v>
      </c>
      <c r="E476" s="36">
        <v>4913909.26</v>
      </c>
      <c r="F476" s="37">
        <f>SUM(F477)</f>
        <v>93000</v>
      </c>
      <c r="G476" s="37">
        <f>SUM(G477)</f>
        <v>13000</v>
      </c>
      <c r="H476" s="36">
        <f>SUM(E476+F476-G476)</f>
        <v>4993909.26</v>
      </c>
    </row>
    <row r="477" spans="1:8" s="15" customFormat="1" ht="12" customHeight="1" x14ac:dyDescent="0.2">
      <c r="A477" s="31"/>
      <c r="B477" s="35"/>
      <c r="C477" s="25"/>
      <c r="D477" s="369" t="s">
        <v>155</v>
      </c>
      <c r="E477" s="132">
        <v>4913909.26</v>
      </c>
      <c r="F477" s="154">
        <f>SUM(F478:F491)</f>
        <v>93000</v>
      </c>
      <c r="G477" s="154">
        <f>SUM(G478:G491)</f>
        <v>13000</v>
      </c>
      <c r="H477" s="132">
        <f>SUM(E477+F477-G477)</f>
        <v>4993909.26</v>
      </c>
    </row>
    <row r="478" spans="1:8" s="15" customFormat="1" ht="12" customHeight="1" x14ac:dyDescent="0.2">
      <c r="A478" s="31"/>
      <c r="B478" s="35"/>
      <c r="C478" s="44">
        <v>4110</v>
      </c>
      <c r="D478" s="38" t="s">
        <v>138</v>
      </c>
      <c r="E478" s="41">
        <v>525534</v>
      </c>
      <c r="F478" s="39">
        <v>17000</v>
      </c>
      <c r="G478" s="39"/>
      <c r="H478" s="104">
        <f t="shared" ref="H478:H491" si="78">SUM(E478+F478-G478)</f>
        <v>542534</v>
      </c>
    </row>
    <row r="479" spans="1:8" s="15" customFormat="1" ht="12" customHeight="1" x14ac:dyDescent="0.2">
      <c r="A479" s="31"/>
      <c r="B479" s="35"/>
      <c r="C479" s="44">
        <v>4170</v>
      </c>
      <c r="D479" s="38" t="s">
        <v>134</v>
      </c>
      <c r="E479" s="41">
        <v>8500</v>
      </c>
      <c r="F479" s="39">
        <v>2000</v>
      </c>
      <c r="G479" s="39"/>
      <c r="H479" s="104">
        <f t="shared" si="78"/>
        <v>10500</v>
      </c>
    </row>
    <row r="480" spans="1:8" s="15" customFormat="1" ht="12" customHeight="1" x14ac:dyDescent="0.2">
      <c r="A480" s="31"/>
      <c r="B480" s="35"/>
      <c r="C480" s="134" t="s">
        <v>23</v>
      </c>
      <c r="D480" s="131" t="s">
        <v>135</v>
      </c>
      <c r="E480" s="41">
        <v>150000</v>
      </c>
      <c r="F480" s="39">
        <v>2000</v>
      </c>
      <c r="G480" s="39"/>
      <c r="H480" s="104">
        <f t="shared" si="78"/>
        <v>152000</v>
      </c>
    </row>
    <row r="481" spans="1:8" s="15" customFormat="1" ht="12" customHeight="1" x14ac:dyDescent="0.2">
      <c r="A481" s="31"/>
      <c r="B481" s="35"/>
      <c r="C481" s="44">
        <v>4220</v>
      </c>
      <c r="D481" s="38" t="s">
        <v>215</v>
      </c>
      <c r="E481" s="41">
        <v>330000</v>
      </c>
      <c r="F481" s="39">
        <v>10000</v>
      </c>
      <c r="G481" s="39"/>
      <c r="H481" s="104">
        <f t="shared" si="78"/>
        <v>340000</v>
      </c>
    </row>
    <row r="482" spans="1:8" s="15" customFormat="1" ht="11.25" customHeight="1" x14ac:dyDescent="0.2">
      <c r="A482" s="31"/>
      <c r="B482" s="35"/>
      <c r="C482" s="155" t="s">
        <v>57</v>
      </c>
      <c r="D482" s="156" t="s">
        <v>223</v>
      </c>
      <c r="E482" s="41">
        <v>13000</v>
      </c>
      <c r="F482" s="39">
        <v>2000</v>
      </c>
      <c r="G482" s="39"/>
      <c r="H482" s="104">
        <f t="shared" si="78"/>
        <v>15000</v>
      </c>
    </row>
    <row r="483" spans="1:8" s="15" customFormat="1" ht="12" customHeight="1" x14ac:dyDescent="0.2">
      <c r="A483" s="31"/>
      <c r="B483" s="35"/>
      <c r="C483" s="44">
        <v>4270</v>
      </c>
      <c r="D483" s="38" t="s">
        <v>107</v>
      </c>
      <c r="E483" s="41">
        <v>22500</v>
      </c>
      <c r="F483" s="39"/>
      <c r="G483" s="39">
        <v>4000</v>
      </c>
      <c r="H483" s="104">
        <f t="shared" si="78"/>
        <v>18500</v>
      </c>
    </row>
    <row r="484" spans="1:8" s="15" customFormat="1" ht="12" customHeight="1" x14ac:dyDescent="0.2">
      <c r="A484" s="31"/>
      <c r="B484" s="35"/>
      <c r="C484" s="44">
        <v>4300</v>
      </c>
      <c r="D484" s="38" t="s">
        <v>108</v>
      </c>
      <c r="E484" s="41">
        <v>79000</v>
      </c>
      <c r="F484" s="39"/>
      <c r="G484" s="39">
        <v>2000</v>
      </c>
      <c r="H484" s="104">
        <f t="shared" si="78"/>
        <v>77000</v>
      </c>
    </row>
    <row r="485" spans="1:8" s="15" customFormat="1" ht="12" customHeight="1" x14ac:dyDescent="0.2">
      <c r="A485" s="31"/>
      <c r="B485" s="35"/>
      <c r="C485" s="44">
        <v>4360</v>
      </c>
      <c r="D485" s="38" t="s">
        <v>109</v>
      </c>
      <c r="E485" s="41">
        <v>12000</v>
      </c>
      <c r="F485" s="39">
        <v>2000</v>
      </c>
      <c r="G485" s="39"/>
      <c r="H485" s="104">
        <f t="shared" si="78"/>
        <v>14000</v>
      </c>
    </row>
    <row r="486" spans="1:8" s="15" customFormat="1" ht="22.5" customHeight="1" x14ac:dyDescent="0.2">
      <c r="A486" s="31"/>
      <c r="B486" s="35"/>
      <c r="C486" s="118">
        <v>4390</v>
      </c>
      <c r="D486" s="119" t="s">
        <v>224</v>
      </c>
      <c r="E486" s="41">
        <v>1600</v>
      </c>
      <c r="F486" s="39"/>
      <c r="G486" s="39">
        <v>1200</v>
      </c>
      <c r="H486" s="104">
        <f t="shared" si="78"/>
        <v>400</v>
      </c>
    </row>
    <row r="487" spans="1:8" s="15" customFormat="1" ht="12" customHeight="1" x14ac:dyDescent="0.2">
      <c r="A487" s="31"/>
      <c r="B487" s="35"/>
      <c r="C487" s="44">
        <v>4410</v>
      </c>
      <c r="D487" s="131" t="s">
        <v>124</v>
      </c>
      <c r="E487" s="41">
        <v>4900</v>
      </c>
      <c r="F487" s="39"/>
      <c r="G487" s="39">
        <f>800+500</f>
        <v>1300</v>
      </c>
      <c r="H487" s="104">
        <f t="shared" si="78"/>
        <v>3600</v>
      </c>
    </row>
    <row r="488" spans="1:8" s="15" customFormat="1" ht="12" customHeight="1" x14ac:dyDescent="0.2">
      <c r="A488" s="31"/>
      <c r="B488" s="35"/>
      <c r="C488" s="44">
        <v>4430</v>
      </c>
      <c r="D488" s="38" t="s">
        <v>112</v>
      </c>
      <c r="E488" s="41">
        <v>3100</v>
      </c>
      <c r="F488" s="39">
        <v>3000</v>
      </c>
      <c r="G488" s="39"/>
      <c r="H488" s="104">
        <f t="shared" si="78"/>
        <v>6100</v>
      </c>
    </row>
    <row r="489" spans="1:8" s="15" customFormat="1" ht="12" customHeight="1" x14ac:dyDescent="0.2">
      <c r="A489" s="31"/>
      <c r="B489" s="35"/>
      <c r="C489" s="44">
        <v>4610</v>
      </c>
      <c r="D489" s="127" t="s">
        <v>114</v>
      </c>
      <c r="E489" s="41">
        <v>10500</v>
      </c>
      <c r="F489" s="39"/>
      <c r="G489" s="39">
        <v>3000</v>
      </c>
      <c r="H489" s="104">
        <f t="shared" si="78"/>
        <v>7500</v>
      </c>
    </row>
    <row r="490" spans="1:8" s="15" customFormat="1" ht="12" customHeight="1" x14ac:dyDescent="0.2">
      <c r="A490" s="31"/>
      <c r="B490" s="35"/>
      <c r="C490" s="44">
        <v>4710</v>
      </c>
      <c r="D490" s="131" t="s">
        <v>120</v>
      </c>
      <c r="E490" s="41">
        <v>2151</v>
      </c>
      <c r="F490" s="39"/>
      <c r="G490" s="39">
        <v>1500</v>
      </c>
      <c r="H490" s="104">
        <f t="shared" si="78"/>
        <v>651</v>
      </c>
    </row>
    <row r="491" spans="1:8" s="15" customFormat="1" ht="12" customHeight="1" x14ac:dyDescent="0.2">
      <c r="A491" s="31"/>
      <c r="B491" s="35"/>
      <c r="C491" s="43">
        <v>4790</v>
      </c>
      <c r="D491" s="144" t="s">
        <v>169</v>
      </c>
      <c r="E491" s="41">
        <v>2164523.2599999998</v>
      </c>
      <c r="F491" s="39">
        <v>55000</v>
      </c>
      <c r="G491" s="39"/>
      <c r="H491" s="104">
        <f t="shared" si="78"/>
        <v>2219523.2599999998</v>
      </c>
    </row>
    <row r="492" spans="1:8" s="15" customFormat="1" ht="12" customHeight="1" thickBot="1" x14ac:dyDescent="0.25">
      <c r="A492" s="31">
        <v>855</v>
      </c>
      <c r="B492" s="31"/>
      <c r="C492" s="32"/>
      <c r="D492" s="33" t="s">
        <v>92</v>
      </c>
      <c r="E492" s="34">
        <v>22347547.129999999</v>
      </c>
      <c r="F492" s="34">
        <f>SUM(F493,F499,F504,F514)</f>
        <v>37346.199999999997</v>
      </c>
      <c r="G492" s="34">
        <f>SUM(G493,G499,G504,G514)</f>
        <v>14845.2</v>
      </c>
      <c r="H492" s="34">
        <f>SUM(E492+F492-G492)</f>
        <v>22370048.129999999</v>
      </c>
    </row>
    <row r="493" spans="1:8" s="15" customFormat="1" ht="31.9" customHeight="1" thickTop="1" x14ac:dyDescent="0.2">
      <c r="A493" s="31"/>
      <c r="B493" s="118">
        <v>85502</v>
      </c>
      <c r="C493" s="25"/>
      <c r="D493" s="145" t="s">
        <v>225</v>
      </c>
      <c r="E493" s="36">
        <v>1089124</v>
      </c>
      <c r="F493" s="37">
        <f>SUM(F494)</f>
        <v>4971.2</v>
      </c>
      <c r="G493" s="37">
        <f>SUM(G494)</f>
        <v>4971.2</v>
      </c>
      <c r="H493" s="36">
        <f>SUM(E493+F493-G493)</f>
        <v>1089124</v>
      </c>
    </row>
    <row r="494" spans="1:8" s="15" customFormat="1" ht="12.75" customHeight="1" x14ac:dyDescent="0.2">
      <c r="A494" s="31"/>
      <c r="B494" s="31"/>
      <c r="C494" s="134"/>
      <c r="D494" s="371" t="s">
        <v>60</v>
      </c>
      <c r="E494" s="132">
        <v>772102</v>
      </c>
      <c r="F494" s="370">
        <f>SUM(F495:F498)</f>
        <v>4971.2</v>
      </c>
      <c r="G494" s="370">
        <f>SUM(G495:G498)</f>
        <v>4971.2</v>
      </c>
      <c r="H494" s="132">
        <f t="shared" ref="H494:H531" si="79">SUM(E494+F494-G494)</f>
        <v>772102</v>
      </c>
    </row>
    <row r="495" spans="1:8" s="15" customFormat="1" ht="12" customHeight="1" x14ac:dyDescent="0.2">
      <c r="A495" s="31"/>
      <c r="B495" s="31"/>
      <c r="C495" s="44">
        <v>3110</v>
      </c>
      <c r="D495" s="38" t="s">
        <v>226</v>
      </c>
      <c r="E495" s="41">
        <v>4295.2</v>
      </c>
      <c r="F495" s="41"/>
      <c r="G495" s="104">
        <v>4295.2</v>
      </c>
      <c r="H495" s="41">
        <f t="shared" si="79"/>
        <v>0</v>
      </c>
    </row>
    <row r="496" spans="1:8" s="15" customFormat="1" ht="12" customHeight="1" x14ac:dyDescent="0.2">
      <c r="A496" s="31"/>
      <c r="B496" s="35"/>
      <c r="C496" s="44">
        <v>4040</v>
      </c>
      <c r="D496" s="38" t="s">
        <v>156</v>
      </c>
      <c r="E496" s="39">
        <v>24281</v>
      </c>
      <c r="F496" s="40"/>
      <c r="G496" s="39">
        <v>676</v>
      </c>
      <c r="H496" s="41">
        <f t="shared" si="79"/>
        <v>23605</v>
      </c>
    </row>
    <row r="497" spans="1:8" s="15" customFormat="1" ht="12" customHeight="1" x14ac:dyDescent="0.2">
      <c r="A497" s="31"/>
      <c r="B497" s="35"/>
      <c r="C497" s="44">
        <v>4300</v>
      </c>
      <c r="D497" s="38" t="s">
        <v>108</v>
      </c>
      <c r="E497" s="39">
        <v>87214.8</v>
      </c>
      <c r="F497" s="40">
        <v>4295.2</v>
      </c>
      <c r="G497" s="39"/>
      <c r="H497" s="41">
        <f t="shared" si="79"/>
        <v>91510</v>
      </c>
    </row>
    <row r="498" spans="1:8" s="15" customFormat="1" ht="12" customHeight="1" x14ac:dyDescent="0.2">
      <c r="A498" s="31"/>
      <c r="B498" s="35"/>
      <c r="C498" s="44">
        <v>4440</v>
      </c>
      <c r="D498" s="38" t="s">
        <v>196</v>
      </c>
      <c r="E498" s="39">
        <v>9302</v>
      </c>
      <c r="F498" s="40">
        <v>676</v>
      </c>
      <c r="G498" s="39"/>
      <c r="H498" s="41">
        <f t="shared" si="79"/>
        <v>9978</v>
      </c>
    </row>
    <row r="499" spans="1:8" s="15" customFormat="1" ht="12" customHeight="1" x14ac:dyDescent="0.2">
      <c r="A499" s="31"/>
      <c r="B499" s="44">
        <v>85508</v>
      </c>
      <c r="C499" s="107"/>
      <c r="D499" s="112" t="s">
        <v>227</v>
      </c>
      <c r="E499" s="46">
        <v>3301551</v>
      </c>
      <c r="F499" s="36">
        <f>SUM(F501)</f>
        <v>2169</v>
      </c>
      <c r="G499" s="36">
        <f>SUM(G501)</f>
        <v>2169</v>
      </c>
      <c r="H499" s="36">
        <f t="shared" si="79"/>
        <v>3301551</v>
      </c>
    </row>
    <row r="500" spans="1:8" s="15" customFormat="1" ht="12" customHeight="1" x14ac:dyDescent="0.2">
      <c r="A500" s="31"/>
      <c r="B500" s="31"/>
      <c r="C500" s="44"/>
      <c r="D500" s="131" t="s">
        <v>228</v>
      </c>
      <c r="E500" s="40"/>
      <c r="F500" s="104"/>
      <c r="G500" s="104"/>
      <c r="H500" s="104"/>
    </row>
    <row r="501" spans="1:8" s="15" customFormat="1" ht="12" customHeight="1" x14ac:dyDescent="0.2">
      <c r="A501" s="31"/>
      <c r="B501" s="31"/>
      <c r="C501" s="43"/>
      <c r="D501" s="375" t="s">
        <v>229</v>
      </c>
      <c r="E501" s="374">
        <v>589838</v>
      </c>
      <c r="F501" s="370">
        <f>SUM(F502:F503)</f>
        <v>2169</v>
      </c>
      <c r="G501" s="370">
        <f>SUM(G502:G503)</f>
        <v>2169</v>
      </c>
      <c r="H501" s="132">
        <f t="shared" ref="H501:H503" si="80">SUM(E501+F501-G501)</f>
        <v>589838</v>
      </c>
    </row>
    <row r="502" spans="1:8" s="15" customFormat="1" ht="12" customHeight="1" x14ac:dyDescent="0.2">
      <c r="A502" s="31"/>
      <c r="B502" s="31"/>
      <c r="C502" s="44">
        <v>4040</v>
      </c>
      <c r="D502" s="38" t="s">
        <v>156</v>
      </c>
      <c r="E502" s="40">
        <v>26246</v>
      </c>
      <c r="F502" s="104"/>
      <c r="G502" s="104">
        <v>2169</v>
      </c>
      <c r="H502" s="104">
        <f t="shared" si="80"/>
        <v>24077</v>
      </c>
    </row>
    <row r="503" spans="1:8" s="15" customFormat="1" ht="12" customHeight="1" x14ac:dyDescent="0.2">
      <c r="A503" s="113"/>
      <c r="B503" s="113"/>
      <c r="C503" s="130">
        <v>4440</v>
      </c>
      <c r="D503" s="42" t="s">
        <v>196</v>
      </c>
      <c r="E503" s="46">
        <v>10852</v>
      </c>
      <c r="F503" s="37">
        <v>2169</v>
      </c>
      <c r="G503" s="37"/>
      <c r="H503" s="37">
        <f t="shared" si="80"/>
        <v>13021</v>
      </c>
    </row>
    <row r="504" spans="1:8" s="15" customFormat="1" ht="12" customHeight="1" x14ac:dyDescent="0.2">
      <c r="A504" s="32"/>
      <c r="B504" s="35">
        <v>85510</v>
      </c>
      <c r="C504" s="44"/>
      <c r="D504" s="42" t="s">
        <v>230</v>
      </c>
      <c r="E504" s="46">
        <v>10320038</v>
      </c>
      <c r="F504" s="36">
        <f>SUM(F505,F509)</f>
        <v>3420</v>
      </c>
      <c r="G504" s="36">
        <f>SUM(G505,G509)</f>
        <v>3420</v>
      </c>
      <c r="H504" s="36">
        <f t="shared" si="79"/>
        <v>10320038</v>
      </c>
    </row>
    <row r="505" spans="1:8" s="15" customFormat="1" ht="12" customHeight="1" x14ac:dyDescent="0.2">
      <c r="A505" s="32"/>
      <c r="B505" s="31"/>
      <c r="C505" s="25"/>
      <c r="D505" s="380" t="s">
        <v>231</v>
      </c>
      <c r="E505" s="132">
        <v>2190583</v>
      </c>
      <c r="F505" s="154">
        <f>SUM(F506:F508)</f>
        <v>750</v>
      </c>
      <c r="G505" s="154">
        <f>SUM(G506:G508)</f>
        <v>750</v>
      </c>
      <c r="H505" s="132">
        <f t="shared" si="79"/>
        <v>2190583</v>
      </c>
    </row>
    <row r="506" spans="1:8" s="15" customFormat="1" ht="12" customHeight="1" x14ac:dyDescent="0.2">
      <c r="A506" s="32"/>
      <c r="B506" s="31"/>
      <c r="C506" s="44">
        <v>4280</v>
      </c>
      <c r="D506" s="38" t="s">
        <v>117</v>
      </c>
      <c r="E506" s="40">
        <v>2206</v>
      </c>
      <c r="F506" s="39">
        <v>400</v>
      </c>
      <c r="G506" s="39"/>
      <c r="H506" s="39">
        <f t="shared" si="79"/>
        <v>2606</v>
      </c>
    </row>
    <row r="507" spans="1:8" s="15" customFormat="1" ht="12" customHeight="1" x14ac:dyDescent="0.2">
      <c r="A507" s="32"/>
      <c r="B507" s="31"/>
      <c r="C507" s="44">
        <v>4410</v>
      </c>
      <c r="D507" s="131" t="s">
        <v>124</v>
      </c>
      <c r="E507" s="40">
        <v>932</v>
      </c>
      <c r="F507" s="39">
        <v>350</v>
      </c>
      <c r="G507" s="39"/>
      <c r="H507" s="39">
        <f t="shared" si="79"/>
        <v>1282</v>
      </c>
    </row>
    <row r="508" spans="1:8" s="15" customFormat="1" ht="12" customHeight="1" x14ac:dyDescent="0.2">
      <c r="A508" s="32"/>
      <c r="B508" s="31"/>
      <c r="C508" s="44">
        <v>4710</v>
      </c>
      <c r="D508" s="123" t="s">
        <v>120</v>
      </c>
      <c r="E508" s="40">
        <v>21077</v>
      </c>
      <c r="F508" s="39"/>
      <c r="G508" s="39">
        <v>750</v>
      </c>
      <c r="H508" s="39">
        <f t="shared" si="79"/>
        <v>20327</v>
      </c>
    </row>
    <row r="509" spans="1:8" s="15" customFormat="1" ht="12" customHeight="1" x14ac:dyDescent="0.2">
      <c r="A509" s="32"/>
      <c r="B509" s="31"/>
      <c r="C509" s="25"/>
      <c r="D509" s="380" t="s">
        <v>232</v>
      </c>
      <c r="E509" s="132">
        <v>1527320</v>
      </c>
      <c r="F509" s="154">
        <f>SUM(F510:F513)</f>
        <v>2670</v>
      </c>
      <c r="G509" s="154">
        <f>SUM(G510:G513)</f>
        <v>2670</v>
      </c>
      <c r="H509" s="132">
        <f t="shared" si="79"/>
        <v>1527320</v>
      </c>
    </row>
    <row r="510" spans="1:8" s="15" customFormat="1" ht="12" customHeight="1" x14ac:dyDescent="0.2">
      <c r="A510" s="32"/>
      <c r="B510" s="31"/>
      <c r="C510" s="44">
        <v>3110</v>
      </c>
      <c r="D510" s="38" t="s">
        <v>226</v>
      </c>
      <c r="E510" s="40">
        <v>5040</v>
      </c>
      <c r="F510" s="39">
        <v>1800</v>
      </c>
      <c r="G510" s="39"/>
      <c r="H510" s="39">
        <f t="shared" si="79"/>
        <v>6840</v>
      </c>
    </row>
    <row r="511" spans="1:8" s="15" customFormat="1" ht="12" customHeight="1" x14ac:dyDescent="0.2">
      <c r="A511" s="32"/>
      <c r="B511" s="31"/>
      <c r="C511" s="44">
        <v>4280</v>
      </c>
      <c r="D511" s="38" t="s">
        <v>117</v>
      </c>
      <c r="E511" s="40">
        <v>729</v>
      </c>
      <c r="F511" s="39">
        <v>400</v>
      </c>
      <c r="G511" s="39"/>
      <c r="H511" s="39">
        <f t="shared" si="79"/>
        <v>1129</v>
      </c>
    </row>
    <row r="512" spans="1:8" s="15" customFormat="1" ht="12" customHeight="1" x14ac:dyDescent="0.2">
      <c r="A512" s="32"/>
      <c r="B512" s="31"/>
      <c r="C512" s="44">
        <v>4410</v>
      </c>
      <c r="D512" s="131" t="s">
        <v>124</v>
      </c>
      <c r="E512" s="40">
        <v>810</v>
      </c>
      <c r="F512" s="39">
        <v>470</v>
      </c>
      <c r="G512" s="39"/>
      <c r="H512" s="39">
        <f t="shared" si="79"/>
        <v>1280</v>
      </c>
    </row>
    <row r="513" spans="1:8" s="15" customFormat="1" ht="12" customHeight="1" x14ac:dyDescent="0.2">
      <c r="A513" s="32"/>
      <c r="B513" s="31"/>
      <c r="C513" s="44">
        <v>4710</v>
      </c>
      <c r="D513" s="123" t="s">
        <v>120</v>
      </c>
      <c r="E513" s="40">
        <v>16395</v>
      </c>
      <c r="F513" s="39"/>
      <c r="G513" s="39">
        <v>2670</v>
      </c>
      <c r="H513" s="39">
        <f t="shared" si="79"/>
        <v>13725</v>
      </c>
    </row>
    <row r="514" spans="1:8" s="15" customFormat="1" ht="12" customHeight="1" x14ac:dyDescent="0.2">
      <c r="A514" s="32"/>
      <c r="B514" s="44">
        <v>85516</v>
      </c>
      <c r="C514" s="107"/>
      <c r="D514" s="112" t="s">
        <v>233</v>
      </c>
      <c r="E514" s="46">
        <v>5511233.1299999999</v>
      </c>
      <c r="F514" s="37">
        <f>SUM(F515)</f>
        <v>26786</v>
      </c>
      <c r="G514" s="37">
        <f>SUM(G515)</f>
        <v>4285</v>
      </c>
      <c r="H514" s="36">
        <f t="shared" si="79"/>
        <v>5533734.1299999999</v>
      </c>
    </row>
    <row r="515" spans="1:8" s="15" customFormat="1" ht="12" customHeight="1" x14ac:dyDescent="0.2">
      <c r="A515" s="32"/>
      <c r="B515" s="106"/>
      <c r="C515" s="107"/>
      <c r="D515" s="380" t="s">
        <v>234</v>
      </c>
      <c r="E515" s="132">
        <v>5451745</v>
      </c>
      <c r="F515" s="370">
        <f>SUM(F516:F518)</f>
        <v>26786</v>
      </c>
      <c r="G515" s="370">
        <f>SUM(G516:G518)</f>
        <v>4285</v>
      </c>
      <c r="H515" s="132">
        <f>SUM(E515+F515-G515)</f>
        <v>5474246</v>
      </c>
    </row>
    <row r="516" spans="1:8" s="15" customFormat="1" ht="12" customHeight="1" x14ac:dyDescent="0.2">
      <c r="A516" s="32"/>
      <c r="B516" s="35"/>
      <c r="C516" s="44">
        <v>4110</v>
      </c>
      <c r="D516" s="38" t="s">
        <v>138</v>
      </c>
      <c r="E516" s="40">
        <v>424806</v>
      </c>
      <c r="F516" s="104">
        <v>25286</v>
      </c>
      <c r="G516" s="104"/>
      <c r="H516" s="104">
        <f t="shared" ref="H516:H518" si="81">SUM(E516+F516-G516)</f>
        <v>450092</v>
      </c>
    </row>
    <row r="517" spans="1:8" s="15" customFormat="1" ht="12" customHeight="1" x14ac:dyDescent="0.2">
      <c r="A517" s="32"/>
      <c r="B517" s="31"/>
      <c r="C517" s="44">
        <v>4280</v>
      </c>
      <c r="D517" s="38" t="s">
        <v>117</v>
      </c>
      <c r="E517" s="40">
        <v>4350</v>
      </c>
      <c r="F517" s="39">
        <v>1500</v>
      </c>
      <c r="G517" s="39"/>
      <c r="H517" s="104">
        <f t="shared" si="81"/>
        <v>5850</v>
      </c>
    </row>
    <row r="518" spans="1:8" s="15" customFormat="1" ht="12" customHeight="1" x14ac:dyDescent="0.2">
      <c r="A518" s="32"/>
      <c r="B518" s="31"/>
      <c r="C518" s="44">
        <v>4430</v>
      </c>
      <c r="D518" s="38" t="s">
        <v>112</v>
      </c>
      <c r="E518" s="40">
        <v>19558</v>
      </c>
      <c r="F518" s="39"/>
      <c r="G518" s="39">
        <v>4285</v>
      </c>
      <c r="H518" s="104">
        <f t="shared" si="81"/>
        <v>15273</v>
      </c>
    </row>
    <row r="519" spans="1:8" s="15" customFormat="1" ht="12" customHeight="1" thickBot="1" x14ac:dyDescent="0.25">
      <c r="A519" s="31">
        <v>900</v>
      </c>
      <c r="B519" s="31"/>
      <c r="C519" s="32"/>
      <c r="D519" s="33" t="s">
        <v>235</v>
      </c>
      <c r="E519" s="29">
        <v>75221912.879999995</v>
      </c>
      <c r="F519" s="34">
        <f>SUM(F520,F523,F526,F531)</f>
        <v>87955</v>
      </c>
      <c r="G519" s="34">
        <f>SUM(G520,G523,G526,G531)</f>
        <v>60600</v>
      </c>
      <c r="H519" s="29">
        <f t="shared" si="79"/>
        <v>75249267.879999995</v>
      </c>
    </row>
    <row r="520" spans="1:8" s="15" customFormat="1" ht="12" customHeight="1" thickTop="1" x14ac:dyDescent="0.2">
      <c r="A520" s="31"/>
      <c r="B520" s="43">
        <v>90003</v>
      </c>
      <c r="C520" s="121"/>
      <c r="D520" s="124" t="s">
        <v>236</v>
      </c>
      <c r="E520" s="36">
        <v>681712</v>
      </c>
      <c r="F520" s="36">
        <f>SUM(F521)</f>
        <v>0</v>
      </c>
      <c r="G520" s="36">
        <f>SUM(G521)</f>
        <v>10000</v>
      </c>
      <c r="H520" s="36">
        <f t="shared" ref="H520:H522" si="82">SUM(E520+F520-G520)</f>
        <v>671712</v>
      </c>
    </row>
    <row r="521" spans="1:8" s="15" customFormat="1" ht="12" customHeight="1" x14ac:dyDescent="0.2">
      <c r="A521" s="31"/>
      <c r="B521" s="35"/>
      <c r="C521" s="44"/>
      <c r="D521" s="371" t="s">
        <v>237</v>
      </c>
      <c r="E521" s="374">
        <v>666712</v>
      </c>
      <c r="F521" s="374">
        <f>SUM(F522:F522)</f>
        <v>0</v>
      </c>
      <c r="G521" s="374">
        <f>SUM(G522:G522)</f>
        <v>10000</v>
      </c>
      <c r="H521" s="374">
        <f t="shared" si="82"/>
        <v>656712</v>
      </c>
    </row>
    <row r="522" spans="1:8" s="15" customFormat="1" ht="12" customHeight="1" x14ac:dyDescent="0.2">
      <c r="A522" s="31"/>
      <c r="B522" s="35"/>
      <c r="C522" s="134" t="s">
        <v>23</v>
      </c>
      <c r="D522" s="131" t="s">
        <v>135</v>
      </c>
      <c r="E522" s="104">
        <v>282512</v>
      </c>
      <c r="F522" s="104"/>
      <c r="G522" s="104">
        <v>10000</v>
      </c>
      <c r="H522" s="104">
        <f t="shared" si="82"/>
        <v>272512</v>
      </c>
    </row>
    <row r="523" spans="1:8" s="15" customFormat="1" ht="12" customHeight="1" x14ac:dyDescent="0.2">
      <c r="A523" s="157"/>
      <c r="B523" s="35">
        <v>90004</v>
      </c>
      <c r="C523" s="32"/>
      <c r="D523" s="42" t="s">
        <v>238</v>
      </c>
      <c r="E523" s="36">
        <v>604000</v>
      </c>
      <c r="F523" s="36">
        <f>SUM(F524)</f>
        <v>0</v>
      </c>
      <c r="G523" s="36">
        <f>SUM(G524)</f>
        <v>10000</v>
      </c>
      <c r="H523" s="36">
        <f t="shared" si="79"/>
        <v>594000</v>
      </c>
    </row>
    <row r="524" spans="1:8" s="15" customFormat="1" ht="12" customHeight="1" x14ac:dyDescent="0.2">
      <c r="A524" s="157"/>
      <c r="B524" s="35"/>
      <c r="C524" s="44"/>
      <c r="D524" s="371" t="s">
        <v>237</v>
      </c>
      <c r="E524" s="374">
        <v>354000</v>
      </c>
      <c r="F524" s="374">
        <f>SUM(F525:F525)</f>
        <v>0</v>
      </c>
      <c r="G524" s="374">
        <f>SUM(G525:G525)</f>
        <v>10000</v>
      </c>
      <c r="H524" s="374">
        <f t="shared" si="79"/>
        <v>344000</v>
      </c>
    </row>
    <row r="525" spans="1:8" s="15" customFormat="1" ht="12" customHeight="1" x14ac:dyDescent="0.2">
      <c r="A525" s="157"/>
      <c r="B525" s="35"/>
      <c r="C525" s="134" t="s">
        <v>23</v>
      </c>
      <c r="D525" s="131" t="s">
        <v>135</v>
      </c>
      <c r="E525" s="104">
        <v>280000</v>
      </c>
      <c r="F525" s="104"/>
      <c r="G525" s="104">
        <v>10000</v>
      </c>
      <c r="H525" s="104">
        <f t="shared" si="79"/>
        <v>270000</v>
      </c>
    </row>
    <row r="526" spans="1:8" s="15" customFormat="1" ht="12" customHeight="1" x14ac:dyDescent="0.2">
      <c r="A526" s="32"/>
      <c r="B526" s="44">
        <v>90013</v>
      </c>
      <c r="C526" s="32"/>
      <c r="D526" s="42" t="s">
        <v>239</v>
      </c>
      <c r="E526" s="36">
        <v>1500514</v>
      </c>
      <c r="F526" s="37">
        <f t="shared" ref="F526:G526" si="83">SUM(F527)</f>
        <v>13752</v>
      </c>
      <c r="G526" s="37">
        <f t="shared" si="83"/>
        <v>0</v>
      </c>
      <c r="H526" s="36">
        <f t="shared" si="79"/>
        <v>1514266</v>
      </c>
    </row>
    <row r="527" spans="1:8" s="15" customFormat="1" ht="12" customHeight="1" x14ac:dyDescent="0.2">
      <c r="A527" s="32"/>
      <c r="B527" s="44"/>
      <c r="C527" s="44"/>
      <c r="D527" s="381" t="s">
        <v>240</v>
      </c>
      <c r="E527" s="374">
        <v>1500514</v>
      </c>
      <c r="F527" s="374">
        <f>SUM(F528:F530)</f>
        <v>13752</v>
      </c>
      <c r="G527" s="374">
        <f>SUM(G528:G530)</f>
        <v>0</v>
      </c>
      <c r="H527" s="374">
        <f t="shared" si="79"/>
        <v>1514266</v>
      </c>
    </row>
    <row r="528" spans="1:8" s="15" customFormat="1" ht="12" customHeight="1" x14ac:dyDescent="0.2">
      <c r="A528" s="32"/>
      <c r="B528" s="44"/>
      <c r="C528" s="44">
        <v>4010</v>
      </c>
      <c r="D528" s="38" t="s">
        <v>137</v>
      </c>
      <c r="E528" s="39">
        <v>798357</v>
      </c>
      <c r="F528" s="39">
        <v>11520</v>
      </c>
      <c r="G528" s="39"/>
      <c r="H528" s="104">
        <f t="shared" si="79"/>
        <v>809877</v>
      </c>
    </row>
    <row r="529" spans="1:8" s="15" customFormat="1" ht="12" customHeight="1" x14ac:dyDescent="0.2">
      <c r="A529" s="32"/>
      <c r="B529" s="44"/>
      <c r="C529" s="44">
        <v>4110</v>
      </c>
      <c r="D529" s="38" t="s">
        <v>138</v>
      </c>
      <c r="E529" s="39">
        <v>144438</v>
      </c>
      <c r="F529" s="39">
        <v>1950</v>
      </c>
      <c r="G529" s="39"/>
      <c r="H529" s="104">
        <f t="shared" si="79"/>
        <v>146388</v>
      </c>
    </row>
    <row r="530" spans="1:8" s="15" customFormat="1" ht="12" customHeight="1" x14ac:dyDescent="0.2">
      <c r="A530" s="32"/>
      <c r="B530" s="44"/>
      <c r="C530" s="44">
        <v>4120</v>
      </c>
      <c r="D530" s="38" t="s">
        <v>176</v>
      </c>
      <c r="E530" s="39">
        <v>21178</v>
      </c>
      <c r="F530" s="39">
        <v>282</v>
      </c>
      <c r="G530" s="39"/>
      <c r="H530" s="104">
        <f t="shared" si="79"/>
        <v>21460</v>
      </c>
    </row>
    <row r="531" spans="1:8" s="15" customFormat="1" ht="12" customHeight="1" x14ac:dyDescent="0.2">
      <c r="A531" s="32"/>
      <c r="B531" s="35">
        <v>90095</v>
      </c>
      <c r="C531" s="32"/>
      <c r="D531" s="96" t="s">
        <v>12</v>
      </c>
      <c r="E531" s="36">
        <v>32962429.549999997</v>
      </c>
      <c r="F531" s="36">
        <f>SUM(F532,F537,F543)</f>
        <v>74203</v>
      </c>
      <c r="G531" s="36">
        <f>SUM(G532,G537,G543)</f>
        <v>40600</v>
      </c>
      <c r="H531" s="36">
        <f t="shared" si="79"/>
        <v>32996032.549999997</v>
      </c>
    </row>
    <row r="532" spans="1:8" s="15" customFormat="1" ht="12" customHeight="1" x14ac:dyDescent="0.2">
      <c r="A532" s="32"/>
      <c r="B532" s="35"/>
      <c r="C532" s="25"/>
      <c r="D532" s="377" t="s">
        <v>237</v>
      </c>
      <c r="E532" s="382">
        <v>7190455</v>
      </c>
      <c r="F532" s="370">
        <f>SUM(F533:F536)</f>
        <v>49603</v>
      </c>
      <c r="G532" s="370">
        <f>SUM(G533:G536)</f>
        <v>0</v>
      </c>
      <c r="H532" s="132">
        <f>SUM(E532+F532-G532)</f>
        <v>7240058</v>
      </c>
    </row>
    <row r="533" spans="1:8" s="15" customFormat="1" ht="12" customHeight="1" x14ac:dyDescent="0.2">
      <c r="A533" s="32"/>
      <c r="B533" s="35"/>
      <c r="C533" s="44">
        <v>4010</v>
      </c>
      <c r="D533" s="38" t="s">
        <v>137</v>
      </c>
      <c r="E533" s="40">
        <v>4229158</v>
      </c>
      <c r="F533" s="39">
        <v>11344</v>
      </c>
      <c r="G533" s="39"/>
      <c r="H533" s="40">
        <f t="shared" ref="H533:H541" si="84">SUM(E533+F533-G533)</f>
        <v>4240502</v>
      </c>
    </row>
    <row r="534" spans="1:8" s="15" customFormat="1" ht="12" customHeight="1" x14ac:dyDescent="0.2">
      <c r="A534" s="32"/>
      <c r="B534" s="35"/>
      <c r="C534" s="44">
        <v>4110</v>
      </c>
      <c r="D534" s="38" t="s">
        <v>138</v>
      </c>
      <c r="E534" s="40">
        <v>853131</v>
      </c>
      <c r="F534" s="39">
        <v>1981</v>
      </c>
      <c r="G534" s="39"/>
      <c r="H534" s="40">
        <f t="shared" si="84"/>
        <v>855112</v>
      </c>
    </row>
    <row r="535" spans="1:8" s="15" customFormat="1" ht="12" customHeight="1" x14ac:dyDescent="0.2">
      <c r="A535" s="32"/>
      <c r="B535" s="35"/>
      <c r="C535" s="44">
        <v>4120</v>
      </c>
      <c r="D535" s="38" t="s">
        <v>176</v>
      </c>
      <c r="E535" s="40">
        <v>121306</v>
      </c>
      <c r="F535" s="39">
        <v>278</v>
      </c>
      <c r="G535" s="39"/>
      <c r="H535" s="40">
        <f t="shared" si="84"/>
        <v>121584</v>
      </c>
    </row>
    <row r="536" spans="1:8" s="15" customFormat="1" ht="12" customHeight="1" x14ac:dyDescent="0.2">
      <c r="A536" s="32"/>
      <c r="B536" s="35"/>
      <c r="C536" s="134" t="s">
        <v>23</v>
      </c>
      <c r="D536" s="131" t="s">
        <v>135</v>
      </c>
      <c r="E536" s="40">
        <v>367536</v>
      </c>
      <c r="F536" s="39">
        <v>36000</v>
      </c>
      <c r="G536" s="39"/>
      <c r="H536" s="40">
        <f t="shared" si="84"/>
        <v>403536</v>
      </c>
    </row>
    <row r="537" spans="1:8" s="15" customFormat="1" ht="28.9" customHeight="1" x14ac:dyDescent="0.2">
      <c r="A537" s="32"/>
      <c r="B537" s="35"/>
      <c r="C537" s="44"/>
      <c r="D537" s="371" t="s">
        <v>241</v>
      </c>
      <c r="E537" s="374">
        <v>287400</v>
      </c>
      <c r="F537" s="374">
        <f>SUM(F538:F541)</f>
        <v>24600</v>
      </c>
      <c r="G537" s="374">
        <f>SUM(G538:G541)</f>
        <v>4600</v>
      </c>
      <c r="H537" s="374">
        <f t="shared" si="84"/>
        <v>307400</v>
      </c>
    </row>
    <row r="538" spans="1:8" s="15" customFormat="1" ht="12" customHeight="1" x14ac:dyDescent="0.2">
      <c r="A538" s="32"/>
      <c r="B538" s="35"/>
      <c r="C538" s="134" t="s">
        <v>23</v>
      </c>
      <c r="D538" s="131" t="s">
        <v>135</v>
      </c>
      <c r="E538" s="40">
        <v>3000</v>
      </c>
      <c r="F538" s="40"/>
      <c r="G538" s="40">
        <v>2500</v>
      </c>
      <c r="H538" s="40">
        <f t="shared" si="84"/>
        <v>500</v>
      </c>
    </row>
    <row r="539" spans="1:8" s="15" customFormat="1" ht="12" customHeight="1" x14ac:dyDescent="0.2">
      <c r="A539" s="32"/>
      <c r="B539" s="35"/>
      <c r="C539" s="44">
        <v>4260</v>
      </c>
      <c r="D539" s="38" t="s">
        <v>106</v>
      </c>
      <c r="E539" s="40">
        <v>140000</v>
      </c>
      <c r="F539" s="40">
        <v>11600</v>
      </c>
      <c r="G539" s="40"/>
      <c r="H539" s="40">
        <f t="shared" si="84"/>
        <v>151600</v>
      </c>
    </row>
    <row r="540" spans="1:8" s="15" customFormat="1" ht="12" customHeight="1" x14ac:dyDescent="0.2">
      <c r="A540" s="32"/>
      <c r="B540" s="35"/>
      <c r="C540" s="44">
        <v>4300</v>
      </c>
      <c r="D540" s="38" t="s">
        <v>108</v>
      </c>
      <c r="E540" s="40">
        <v>32000</v>
      </c>
      <c r="F540" s="40">
        <v>13000</v>
      </c>
      <c r="G540" s="40"/>
      <c r="H540" s="40">
        <f t="shared" si="84"/>
        <v>45000</v>
      </c>
    </row>
    <row r="541" spans="1:8" s="15" customFormat="1" ht="12" customHeight="1" x14ac:dyDescent="0.2">
      <c r="A541" s="32"/>
      <c r="B541" s="35"/>
      <c r="C541" s="44">
        <v>4430</v>
      </c>
      <c r="D541" s="38" t="s">
        <v>112</v>
      </c>
      <c r="E541" s="104">
        <v>22000</v>
      </c>
      <c r="F541" s="104"/>
      <c r="G541" s="104">
        <v>2100</v>
      </c>
      <c r="H541" s="104">
        <f t="shared" si="84"/>
        <v>19900</v>
      </c>
    </row>
    <row r="542" spans="1:8" s="15" customFormat="1" ht="12" customHeight="1" x14ac:dyDescent="0.2">
      <c r="A542" s="32"/>
      <c r="B542" s="35"/>
      <c r="C542" s="32"/>
      <c r="D542" s="131" t="s">
        <v>242</v>
      </c>
      <c r="E542" s="41"/>
      <c r="F542" s="104"/>
      <c r="G542" s="104"/>
      <c r="H542" s="41"/>
    </row>
    <row r="543" spans="1:8" s="15" customFormat="1" ht="12" customHeight="1" x14ac:dyDescent="0.2">
      <c r="A543" s="32"/>
      <c r="B543" s="35"/>
      <c r="C543" s="44"/>
      <c r="D543" s="375" t="s">
        <v>243</v>
      </c>
      <c r="E543" s="374">
        <v>800657</v>
      </c>
      <c r="F543" s="370">
        <f>SUM(F544:F544)</f>
        <v>0</v>
      </c>
      <c r="G543" s="370">
        <f>SUM(G544:G544)</f>
        <v>36000</v>
      </c>
      <c r="H543" s="132">
        <f t="shared" ref="H543:H552" si="85">SUM(E543+F543-G543)</f>
        <v>764657</v>
      </c>
    </row>
    <row r="544" spans="1:8" s="15" customFormat="1" ht="12" customHeight="1" x14ac:dyDescent="0.2">
      <c r="A544" s="32"/>
      <c r="B544" s="35"/>
      <c r="C544" s="44">
        <v>4270</v>
      </c>
      <c r="D544" s="38" t="s">
        <v>107</v>
      </c>
      <c r="E544" s="40">
        <v>66567.89</v>
      </c>
      <c r="F544" s="39"/>
      <c r="G544" s="39">
        <v>36000</v>
      </c>
      <c r="H544" s="39">
        <f t="shared" si="85"/>
        <v>30567.89</v>
      </c>
    </row>
    <row r="545" spans="1:8" s="15" customFormat="1" ht="12" customHeight="1" thickBot="1" x14ac:dyDescent="0.25">
      <c r="A545" s="30">
        <v>921</v>
      </c>
      <c r="B545" s="30"/>
      <c r="C545" s="32"/>
      <c r="D545" s="33" t="s">
        <v>244</v>
      </c>
      <c r="E545" s="29">
        <v>11870839.02</v>
      </c>
      <c r="F545" s="34">
        <f>SUM(F546,F549,F552)</f>
        <v>69000</v>
      </c>
      <c r="G545" s="34">
        <f>SUM(G546,G549,G552)</f>
        <v>69000</v>
      </c>
      <c r="H545" s="29">
        <f t="shared" si="85"/>
        <v>11870839.02</v>
      </c>
    </row>
    <row r="546" spans="1:8" s="15" customFormat="1" ht="12" customHeight="1" thickTop="1" x14ac:dyDescent="0.2">
      <c r="A546" s="30"/>
      <c r="B546" s="43">
        <v>92110</v>
      </c>
      <c r="C546" s="121"/>
      <c r="D546" s="124" t="s">
        <v>245</v>
      </c>
      <c r="E546" s="36">
        <v>710303.48</v>
      </c>
      <c r="F546" s="36">
        <f>SUM(F547)</f>
        <v>12000</v>
      </c>
      <c r="G546" s="36">
        <f>SUM(G547)</f>
        <v>0</v>
      </c>
      <c r="H546" s="36">
        <f t="shared" si="85"/>
        <v>722303.48</v>
      </c>
    </row>
    <row r="547" spans="1:8" s="15" customFormat="1" ht="12" customHeight="1" x14ac:dyDescent="0.2">
      <c r="A547" s="30"/>
      <c r="B547" s="158"/>
      <c r="C547" s="43"/>
      <c r="D547" s="383" t="s">
        <v>67</v>
      </c>
      <c r="E547" s="132">
        <v>710303.48</v>
      </c>
      <c r="F547" s="154">
        <f>SUM(F548:F548)</f>
        <v>12000</v>
      </c>
      <c r="G547" s="154">
        <f>SUM(G548:G548)</f>
        <v>0</v>
      </c>
      <c r="H547" s="374">
        <f t="shared" si="85"/>
        <v>722303.48</v>
      </c>
    </row>
    <row r="548" spans="1:8" s="15" customFormat="1" ht="21" customHeight="1" x14ac:dyDescent="0.2">
      <c r="A548" s="30"/>
      <c r="B548" s="158"/>
      <c r="C548" s="51" t="s">
        <v>246</v>
      </c>
      <c r="D548" s="159" t="s">
        <v>247</v>
      </c>
      <c r="E548" s="104">
        <v>0</v>
      </c>
      <c r="F548" s="104">
        <v>12000</v>
      </c>
      <c r="G548" s="104"/>
      <c r="H548" s="104">
        <f t="shared" si="85"/>
        <v>12000</v>
      </c>
    </row>
    <row r="549" spans="1:8" s="15" customFormat="1" ht="12" customHeight="1" x14ac:dyDescent="0.2">
      <c r="A549" s="30"/>
      <c r="B549" s="43">
        <v>92113</v>
      </c>
      <c r="C549" s="43"/>
      <c r="D549" s="96" t="s">
        <v>248</v>
      </c>
      <c r="E549" s="36">
        <v>4008349.12</v>
      </c>
      <c r="F549" s="36">
        <f>SUM(F550)</f>
        <v>57000</v>
      </c>
      <c r="G549" s="36">
        <f>SUM(G550)</f>
        <v>0</v>
      </c>
      <c r="H549" s="36">
        <f t="shared" si="85"/>
        <v>4065349.12</v>
      </c>
    </row>
    <row r="550" spans="1:8" s="15" customFormat="1" ht="12" customHeight="1" x14ac:dyDescent="0.2">
      <c r="A550" s="30"/>
      <c r="B550" s="158"/>
      <c r="C550" s="43"/>
      <c r="D550" s="383" t="s">
        <v>67</v>
      </c>
      <c r="E550" s="132">
        <v>3527544.73</v>
      </c>
      <c r="F550" s="154">
        <f>SUM(F551:F551)</f>
        <v>57000</v>
      </c>
      <c r="G550" s="154">
        <f>SUM(G551:G551)</f>
        <v>0</v>
      </c>
      <c r="H550" s="374">
        <f t="shared" si="85"/>
        <v>3584544.73</v>
      </c>
    </row>
    <row r="551" spans="1:8" s="15" customFormat="1" ht="21.6" customHeight="1" x14ac:dyDescent="0.2">
      <c r="A551" s="30"/>
      <c r="B551" s="158"/>
      <c r="C551" s="51" t="s">
        <v>246</v>
      </c>
      <c r="D551" s="159" t="s">
        <v>247</v>
      </c>
      <c r="E551" s="104">
        <v>0</v>
      </c>
      <c r="F551" s="104">
        <v>57000</v>
      </c>
      <c r="G551" s="104"/>
      <c r="H551" s="104">
        <f t="shared" si="85"/>
        <v>57000</v>
      </c>
    </row>
    <row r="552" spans="1:8" s="15" customFormat="1" ht="12" customHeight="1" x14ac:dyDescent="0.2">
      <c r="A552" s="30"/>
      <c r="B552" s="35">
        <v>92195</v>
      </c>
      <c r="C552" s="32"/>
      <c r="D552" s="96" t="s">
        <v>12</v>
      </c>
      <c r="E552" s="36">
        <v>933066.26</v>
      </c>
      <c r="F552" s="36">
        <f>SUM(F553)</f>
        <v>0</v>
      </c>
      <c r="G552" s="36">
        <f>SUM(G553)</f>
        <v>69000</v>
      </c>
      <c r="H552" s="36">
        <f t="shared" si="85"/>
        <v>864066.26</v>
      </c>
    </row>
    <row r="553" spans="1:8" s="15" customFormat="1" ht="12" customHeight="1" x14ac:dyDescent="0.2">
      <c r="A553" s="30"/>
      <c r="B553" s="123"/>
      <c r="C553" s="25"/>
      <c r="D553" s="375" t="s">
        <v>67</v>
      </c>
      <c r="E553" s="132">
        <v>612530</v>
      </c>
      <c r="F553" s="370">
        <f>SUM(F554:F555)</f>
        <v>0</v>
      </c>
      <c r="G553" s="370">
        <f>SUM(G554:G555)</f>
        <v>69000</v>
      </c>
      <c r="H553" s="132">
        <f>SUM(E553+F553-G553)</f>
        <v>543530</v>
      </c>
    </row>
    <row r="554" spans="1:8" s="15" customFormat="1" ht="21" customHeight="1" x14ac:dyDescent="0.2">
      <c r="A554" s="30"/>
      <c r="B554" s="123"/>
      <c r="C554" s="51" t="s">
        <v>246</v>
      </c>
      <c r="D554" s="159" t="s">
        <v>247</v>
      </c>
      <c r="E554" s="40">
        <v>15000</v>
      </c>
      <c r="F554" s="39"/>
      <c r="G554" s="39">
        <v>12000</v>
      </c>
      <c r="H554" s="40">
        <f t="shared" ref="H554:H556" si="86">SUM(E554+F554-G554)</f>
        <v>3000</v>
      </c>
    </row>
    <row r="555" spans="1:8" s="15" customFormat="1" ht="12" customHeight="1" x14ac:dyDescent="0.2">
      <c r="A555" s="160"/>
      <c r="B555" s="113"/>
      <c r="C555" s="130">
        <v>4300</v>
      </c>
      <c r="D555" s="42" t="s">
        <v>108</v>
      </c>
      <c r="E555" s="46">
        <v>377800</v>
      </c>
      <c r="F555" s="116"/>
      <c r="G555" s="116">
        <v>57000</v>
      </c>
      <c r="H555" s="46">
        <f t="shared" si="86"/>
        <v>320800</v>
      </c>
    </row>
    <row r="556" spans="1:8" s="15" customFormat="1" ht="18.600000000000001" customHeight="1" thickBot="1" x14ac:dyDescent="0.25">
      <c r="A556" s="157"/>
      <c r="B556" s="35"/>
      <c r="C556" s="44"/>
      <c r="D556" s="28" t="s">
        <v>249</v>
      </c>
      <c r="E556" s="29">
        <v>92665121.789999992</v>
      </c>
      <c r="F556" s="29">
        <f>SUM(F558,F565,F590)</f>
        <v>632590.29999999993</v>
      </c>
      <c r="G556" s="29">
        <f>SUM(G558,G565,G590)</f>
        <v>190777.30000000002</v>
      </c>
      <c r="H556" s="29">
        <f t="shared" si="86"/>
        <v>93106934.789999992</v>
      </c>
    </row>
    <row r="557" spans="1:8" s="15" customFormat="1" ht="18.600000000000001" customHeight="1" thickTop="1" x14ac:dyDescent="0.2">
      <c r="A557" s="31">
        <v>754</v>
      </c>
      <c r="B557" s="31"/>
      <c r="C557" s="32"/>
      <c r="D557" s="33" t="s">
        <v>70</v>
      </c>
      <c r="E557" s="39"/>
      <c r="F557" s="41"/>
      <c r="G557" s="41"/>
      <c r="H557" s="39"/>
    </row>
    <row r="558" spans="1:8" s="15" customFormat="1" ht="12" customHeight="1" thickBot="1" x14ac:dyDescent="0.25">
      <c r="A558" s="31"/>
      <c r="B558" s="31"/>
      <c r="C558" s="32"/>
      <c r="D558" s="33" t="s">
        <v>71</v>
      </c>
      <c r="E558" s="34">
        <v>2208948</v>
      </c>
      <c r="F558" s="34">
        <f>SUM(F559)</f>
        <v>31053.449999999997</v>
      </c>
      <c r="G558" s="34">
        <f>SUM(G559)</f>
        <v>31053.45</v>
      </c>
      <c r="H558" s="34">
        <f>SUM(E558+F558-G558)</f>
        <v>2208948</v>
      </c>
    </row>
    <row r="559" spans="1:8" s="15" customFormat="1" ht="12" customHeight="1" thickTop="1" x14ac:dyDescent="0.2">
      <c r="A559" s="35"/>
      <c r="B559" s="35">
        <v>75495</v>
      </c>
      <c r="C559" s="25"/>
      <c r="D559" s="42" t="s">
        <v>12</v>
      </c>
      <c r="E559" s="36">
        <v>2208948</v>
      </c>
      <c r="F559" s="37">
        <f>SUM(F560,F562)</f>
        <v>31053.449999999997</v>
      </c>
      <c r="G559" s="37">
        <f>SUM(G560,G562)</f>
        <v>31053.45</v>
      </c>
      <c r="H559" s="36">
        <f>SUM(E559+F559-G559)</f>
        <v>2208948</v>
      </c>
    </row>
    <row r="560" spans="1:8" s="15" customFormat="1" ht="34.5" customHeight="1" x14ac:dyDescent="0.2">
      <c r="A560" s="95"/>
      <c r="B560" s="31"/>
      <c r="C560" s="134"/>
      <c r="D560" s="379" t="s">
        <v>250</v>
      </c>
      <c r="E560" s="374">
        <v>900364.33999999985</v>
      </c>
      <c r="F560" s="374">
        <f>SUM(F561:F561)</f>
        <v>0</v>
      </c>
      <c r="G560" s="374">
        <f>SUM(G561:G561)</f>
        <v>31053.45</v>
      </c>
      <c r="H560" s="132">
        <f>SUM(E560+F560-G560)</f>
        <v>869310.8899999999</v>
      </c>
    </row>
    <row r="561" spans="1:8" s="15" customFormat="1" ht="12" customHeight="1" x14ac:dyDescent="0.2">
      <c r="A561" s="95"/>
      <c r="B561" s="31"/>
      <c r="C561" s="35">
        <v>4370</v>
      </c>
      <c r="D561" s="38" t="s">
        <v>142</v>
      </c>
      <c r="E561" s="40">
        <v>900364.33999999985</v>
      </c>
      <c r="F561" s="39"/>
      <c r="G561" s="39">
        <v>31053.45</v>
      </c>
      <c r="H561" s="40">
        <f t="shared" ref="H561" si="87">SUM(E561+F561-G561)</f>
        <v>869310.8899999999</v>
      </c>
    </row>
    <row r="562" spans="1:8" s="15" customFormat="1" ht="33.75" customHeight="1" x14ac:dyDescent="0.2">
      <c r="A562" s="95"/>
      <c r="B562" s="31"/>
      <c r="C562" s="25"/>
      <c r="D562" s="384" t="s">
        <v>251</v>
      </c>
      <c r="E562" s="374">
        <v>92261.97</v>
      </c>
      <c r="F562" s="370">
        <f>SUM(F563:F564)</f>
        <v>31053.449999999997</v>
      </c>
      <c r="G562" s="370">
        <f>SUM(G563:G564)</f>
        <v>0</v>
      </c>
      <c r="H562" s="132">
        <f>SUM(E562+F562-G562)</f>
        <v>123315.42</v>
      </c>
    </row>
    <row r="563" spans="1:8" s="15" customFormat="1" ht="12" customHeight="1" x14ac:dyDescent="0.2">
      <c r="A563" s="95"/>
      <c r="B563" s="31"/>
      <c r="C563" s="44">
        <v>4370</v>
      </c>
      <c r="D563" s="38" t="s">
        <v>142</v>
      </c>
      <c r="E563" s="40">
        <v>18065.82</v>
      </c>
      <c r="F563" s="40">
        <v>7349.78</v>
      </c>
      <c r="G563" s="40"/>
      <c r="H563" s="41">
        <f t="shared" ref="H563:H593" si="88">SUM(E563+F563-G563)</f>
        <v>25415.599999999999</v>
      </c>
    </row>
    <row r="564" spans="1:8" s="15" customFormat="1" ht="21" customHeight="1" x14ac:dyDescent="0.2">
      <c r="A564" s="95"/>
      <c r="B564" s="31"/>
      <c r="C564" s="118">
        <v>4860</v>
      </c>
      <c r="D564" s="119" t="s">
        <v>164</v>
      </c>
      <c r="E564" s="40">
        <v>73809.98</v>
      </c>
      <c r="F564" s="40">
        <v>23703.67</v>
      </c>
      <c r="G564" s="40"/>
      <c r="H564" s="41">
        <f t="shared" si="88"/>
        <v>97513.65</v>
      </c>
    </row>
    <row r="565" spans="1:8" s="15" customFormat="1" ht="12" customHeight="1" thickBot="1" x14ac:dyDescent="0.25">
      <c r="A565" s="32" t="s">
        <v>48</v>
      </c>
      <c r="B565" s="31"/>
      <c r="C565" s="32"/>
      <c r="D565" s="33" t="s">
        <v>83</v>
      </c>
      <c r="E565" s="29">
        <v>16618236.75</v>
      </c>
      <c r="F565" s="29">
        <f>SUM(F566,F570,F574,F577)</f>
        <v>523202.85</v>
      </c>
      <c r="G565" s="29">
        <f>SUM(G566,G570,G574,G577)</f>
        <v>159723.85</v>
      </c>
      <c r="H565" s="29">
        <f t="shared" si="88"/>
        <v>16981715.75</v>
      </c>
    </row>
    <row r="566" spans="1:8" s="15" customFormat="1" ht="12" customHeight="1" thickTop="1" x14ac:dyDescent="0.2">
      <c r="A566" s="32"/>
      <c r="B566" s="35">
        <v>85203</v>
      </c>
      <c r="C566" s="25"/>
      <c r="D566" s="111" t="s">
        <v>209</v>
      </c>
      <c r="E566" s="46">
        <v>1079566</v>
      </c>
      <c r="F566" s="37">
        <f>SUM(F567)</f>
        <v>5000</v>
      </c>
      <c r="G566" s="37">
        <f>SUM(G567)</f>
        <v>5000</v>
      </c>
      <c r="H566" s="36">
        <f t="shared" si="88"/>
        <v>1079566</v>
      </c>
    </row>
    <row r="567" spans="1:8" s="15" customFormat="1" ht="12" customHeight="1" x14ac:dyDescent="0.2">
      <c r="A567" s="32"/>
      <c r="B567" s="35"/>
      <c r="C567" s="25"/>
      <c r="D567" s="369" t="s">
        <v>252</v>
      </c>
      <c r="E567" s="382">
        <v>967866</v>
      </c>
      <c r="F567" s="154">
        <f>SUM(F568:F569)</f>
        <v>5000</v>
      </c>
      <c r="G567" s="154">
        <f>SUM(G568:G569)</f>
        <v>5000</v>
      </c>
      <c r="H567" s="374">
        <f t="shared" si="88"/>
        <v>967866</v>
      </c>
    </row>
    <row r="568" spans="1:8" s="15" customFormat="1" ht="12" customHeight="1" x14ac:dyDescent="0.2">
      <c r="A568" s="32"/>
      <c r="B568" s="35"/>
      <c r="C568" s="43">
        <v>4210</v>
      </c>
      <c r="D568" s="131" t="s">
        <v>135</v>
      </c>
      <c r="E568" s="40">
        <v>40076</v>
      </c>
      <c r="F568" s="39"/>
      <c r="G568" s="39">
        <v>5000</v>
      </c>
      <c r="H568" s="39">
        <f t="shared" si="88"/>
        <v>35076</v>
      </c>
    </row>
    <row r="569" spans="1:8" s="15" customFormat="1" ht="12" customHeight="1" x14ac:dyDescent="0.2">
      <c r="A569" s="32"/>
      <c r="B569" s="35"/>
      <c r="C569" s="44">
        <v>4260</v>
      </c>
      <c r="D569" s="38" t="s">
        <v>106</v>
      </c>
      <c r="E569" s="40">
        <v>0</v>
      </c>
      <c r="F569" s="39">
        <v>5000</v>
      </c>
      <c r="G569" s="39"/>
      <c r="H569" s="39">
        <f t="shared" si="88"/>
        <v>5000</v>
      </c>
    </row>
    <row r="570" spans="1:8" s="15" customFormat="1" ht="12" customHeight="1" x14ac:dyDescent="0.2">
      <c r="A570" s="161"/>
      <c r="B570" s="35">
        <v>85219</v>
      </c>
      <c r="C570" s="25"/>
      <c r="D570" s="110" t="s">
        <v>88</v>
      </c>
      <c r="E570" s="46">
        <v>23361</v>
      </c>
      <c r="F570" s="37">
        <f t="shared" ref="F570:G570" si="89">SUM(F571)</f>
        <v>2039</v>
      </c>
      <c r="G570" s="37">
        <f t="shared" si="89"/>
        <v>0</v>
      </c>
      <c r="H570" s="36">
        <f t="shared" si="88"/>
        <v>25400</v>
      </c>
    </row>
    <row r="571" spans="1:8" s="15" customFormat="1" ht="12" customHeight="1" x14ac:dyDescent="0.2">
      <c r="A571" s="161"/>
      <c r="B571" s="31"/>
      <c r="C571" s="25"/>
      <c r="D571" s="369" t="s">
        <v>60</v>
      </c>
      <c r="E571" s="382">
        <v>23361</v>
      </c>
      <c r="F571" s="154">
        <f>SUM(F572:F573)</f>
        <v>2039</v>
      </c>
      <c r="G571" s="154">
        <f>SUM(G572:G573)</f>
        <v>0</v>
      </c>
      <c r="H571" s="374">
        <f t="shared" si="88"/>
        <v>25400</v>
      </c>
    </row>
    <row r="572" spans="1:8" s="15" customFormat="1" ht="12" customHeight="1" x14ac:dyDescent="0.2">
      <c r="A572" s="161"/>
      <c r="B572" s="31"/>
      <c r="C572" s="44">
        <v>3110</v>
      </c>
      <c r="D572" s="38" t="s">
        <v>226</v>
      </c>
      <c r="E572" s="39">
        <v>23015</v>
      </c>
      <c r="F572" s="39">
        <v>2010</v>
      </c>
      <c r="G572" s="162"/>
      <c r="H572" s="104">
        <f t="shared" si="88"/>
        <v>25025</v>
      </c>
    </row>
    <row r="573" spans="1:8" s="15" customFormat="1" ht="12" customHeight="1" x14ac:dyDescent="0.2">
      <c r="A573" s="161"/>
      <c r="B573" s="31"/>
      <c r="C573" s="43">
        <v>4210</v>
      </c>
      <c r="D573" s="131" t="s">
        <v>135</v>
      </c>
      <c r="E573" s="39">
        <v>346</v>
      </c>
      <c r="F573" s="39">
        <v>29</v>
      </c>
      <c r="G573" s="162"/>
      <c r="H573" s="104">
        <f t="shared" si="88"/>
        <v>375</v>
      </c>
    </row>
    <row r="574" spans="1:8" s="15" customFormat="1" ht="12" customHeight="1" x14ac:dyDescent="0.2">
      <c r="A574" s="161"/>
      <c r="B574" s="35">
        <v>85228</v>
      </c>
      <c r="C574" s="25"/>
      <c r="D574" s="111" t="s">
        <v>481</v>
      </c>
      <c r="E574" s="46">
        <v>2820752</v>
      </c>
      <c r="F574" s="37">
        <f t="shared" ref="F574:G574" si="90">SUM(F575)</f>
        <v>361440</v>
      </c>
      <c r="G574" s="37">
        <f t="shared" si="90"/>
        <v>0</v>
      </c>
      <c r="H574" s="36">
        <f t="shared" si="88"/>
        <v>3182192</v>
      </c>
    </row>
    <row r="575" spans="1:8" s="15" customFormat="1" ht="12" customHeight="1" x14ac:dyDescent="0.2">
      <c r="A575" s="161"/>
      <c r="B575" s="35"/>
      <c r="C575" s="25"/>
      <c r="D575" s="385" t="s">
        <v>253</v>
      </c>
      <c r="E575" s="382">
        <v>2820752</v>
      </c>
      <c r="F575" s="154">
        <f>SUM(F576:F576)</f>
        <v>361440</v>
      </c>
      <c r="G575" s="154">
        <f>SUM(G576:G576)</f>
        <v>0</v>
      </c>
      <c r="H575" s="374">
        <f t="shared" si="88"/>
        <v>3182192</v>
      </c>
    </row>
    <row r="576" spans="1:8" s="15" customFormat="1" ht="33.75" customHeight="1" x14ac:dyDescent="0.2">
      <c r="A576" s="161"/>
      <c r="B576" s="31"/>
      <c r="C576" s="133" t="s">
        <v>254</v>
      </c>
      <c r="D576" s="163" t="s">
        <v>255</v>
      </c>
      <c r="E576" s="39">
        <v>2820752</v>
      </c>
      <c r="F576" s="39">
        <v>361440</v>
      </c>
      <c r="G576" s="39"/>
      <c r="H576" s="104">
        <f t="shared" si="88"/>
        <v>3182192</v>
      </c>
    </row>
    <row r="577" spans="1:8" s="15" customFormat="1" ht="12" customHeight="1" x14ac:dyDescent="0.2">
      <c r="A577" s="161"/>
      <c r="B577" s="35">
        <v>85295</v>
      </c>
      <c r="C577" s="25"/>
      <c r="D577" s="42" t="s">
        <v>12</v>
      </c>
      <c r="E577" s="46">
        <v>12682093.57</v>
      </c>
      <c r="F577" s="37">
        <f>SUM(F578,F581)</f>
        <v>154723.85</v>
      </c>
      <c r="G577" s="37">
        <f>SUM(G578,G581)</f>
        <v>154723.85</v>
      </c>
      <c r="H577" s="36">
        <f t="shared" si="88"/>
        <v>12682093.57</v>
      </c>
    </row>
    <row r="578" spans="1:8" s="15" customFormat="1" ht="12" customHeight="1" x14ac:dyDescent="0.2">
      <c r="A578" s="161"/>
      <c r="B578" s="31"/>
      <c r="C578" s="25"/>
      <c r="D578" s="369" t="s">
        <v>60</v>
      </c>
      <c r="E578" s="382">
        <v>4818513.4400000004</v>
      </c>
      <c r="F578" s="154">
        <f>SUM(F579:F580)</f>
        <v>536</v>
      </c>
      <c r="G578" s="154">
        <f>SUM(G579:G580)</f>
        <v>536</v>
      </c>
      <c r="H578" s="374">
        <f t="shared" si="88"/>
        <v>4818513.4400000004</v>
      </c>
    </row>
    <row r="579" spans="1:8" s="15" customFormat="1" ht="12" customHeight="1" x14ac:dyDescent="0.2">
      <c r="A579" s="161"/>
      <c r="B579" s="31"/>
      <c r="C579" s="44">
        <v>4010</v>
      </c>
      <c r="D579" s="38" t="s">
        <v>137</v>
      </c>
      <c r="E579" s="39">
        <v>16368</v>
      </c>
      <c r="F579" s="40"/>
      <c r="G579" s="40">
        <v>536</v>
      </c>
      <c r="H579" s="104">
        <f t="shared" si="88"/>
        <v>15832</v>
      </c>
    </row>
    <row r="580" spans="1:8" s="15" customFormat="1" ht="12" customHeight="1" x14ac:dyDescent="0.2">
      <c r="A580" s="161"/>
      <c r="B580" s="31"/>
      <c r="C580" s="44">
        <v>4170</v>
      </c>
      <c r="D580" s="38" t="s">
        <v>134</v>
      </c>
      <c r="E580" s="39">
        <v>47360</v>
      </c>
      <c r="F580" s="40">
        <v>536</v>
      </c>
      <c r="G580" s="40"/>
      <c r="H580" s="104">
        <f t="shared" si="88"/>
        <v>47896</v>
      </c>
    </row>
    <row r="581" spans="1:8" s="15" customFormat="1" ht="20.45" customHeight="1" x14ac:dyDescent="0.2">
      <c r="A581" s="161"/>
      <c r="B581" s="31"/>
      <c r="C581" s="25"/>
      <c r="D581" s="371" t="s">
        <v>256</v>
      </c>
      <c r="E581" s="132">
        <v>7863580.1299999999</v>
      </c>
      <c r="F581" s="154">
        <f>SUM(F582:F589)</f>
        <v>154187.85</v>
      </c>
      <c r="G581" s="154">
        <f>SUM(G582:G589)</f>
        <v>154187.85</v>
      </c>
      <c r="H581" s="374">
        <f>SUM(E581+F581-G581)</f>
        <v>7863580.1299999999</v>
      </c>
    </row>
    <row r="582" spans="1:8" s="15" customFormat="1" ht="12" customHeight="1" x14ac:dyDescent="0.2">
      <c r="A582" s="161"/>
      <c r="B582" s="31"/>
      <c r="C582" s="44">
        <v>3110</v>
      </c>
      <c r="D582" s="38" t="s">
        <v>226</v>
      </c>
      <c r="E582" s="39">
        <v>7863580.1299999999</v>
      </c>
      <c r="F582" s="41"/>
      <c r="G582" s="39">
        <v>154187.85</v>
      </c>
      <c r="H582" s="104">
        <f t="shared" ref="H582:H589" si="91">SUM(E582+F582-G582)</f>
        <v>7709392.2800000003</v>
      </c>
    </row>
    <row r="583" spans="1:8" s="15" customFormat="1" ht="12" customHeight="1" x14ac:dyDescent="0.2">
      <c r="A583" s="161"/>
      <c r="B583" s="31"/>
      <c r="C583" s="44">
        <v>4010</v>
      </c>
      <c r="D583" s="38" t="s">
        <v>137</v>
      </c>
      <c r="E583" s="40">
        <v>0</v>
      </c>
      <c r="F583" s="104">
        <v>66855.850000000006</v>
      </c>
      <c r="G583" s="104"/>
      <c r="H583" s="104">
        <f t="shared" si="91"/>
        <v>66855.850000000006</v>
      </c>
    </row>
    <row r="584" spans="1:8" s="15" customFormat="1" ht="12" customHeight="1" x14ac:dyDescent="0.2">
      <c r="A584" s="161"/>
      <c r="B584" s="31"/>
      <c r="C584" s="44">
        <v>4110</v>
      </c>
      <c r="D584" s="38" t="s">
        <v>138</v>
      </c>
      <c r="E584" s="40">
        <v>0</v>
      </c>
      <c r="F584" s="104">
        <v>20156</v>
      </c>
      <c r="G584" s="104"/>
      <c r="H584" s="104">
        <f t="shared" si="91"/>
        <v>20156</v>
      </c>
    </row>
    <row r="585" spans="1:8" s="15" customFormat="1" ht="12" customHeight="1" x14ac:dyDescent="0.2">
      <c r="A585" s="161"/>
      <c r="B585" s="31"/>
      <c r="C585" s="44">
        <v>4120</v>
      </c>
      <c r="D585" s="38" t="s">
        <v>257</v>
      </c>
      <c r="E585" s="40">
        <v>0</v>
      </c>
      <c r="F585" s="104">
        <v>2829</v>
      </c>
      <c r="G585" s="104"/>
      <c r="H585" s="104">
        <f t="shared" si="91"/>
        <v>2829</v>
      </c>
    </row>
    <row r="586" spans="1:8" s="15" customFormat="1" ht="12" customHeight="1" x14ac:dyDescent="0.2">
      <c r="A586" s="161"/>
      <c r="B586" s="31"/>
      <c r="C586" s="44">
        <v>4170</v>
      </c>
      <c r="D586" s="38" t="s">
        <v>134</v>
      </c>
      <c r="E586" s="39">
        <v>0</v>
      </c>
      <c r="F586" s="39">
        <v>50230</v>
      </c>
      <c r="G586" s="162"/>
      <c r="H586" s="104">
        <f t="shared" si="91"/>
        <v>50230</v>
      </c>
    </row>
    <row r="587" spans="1:8" s="15" customFormat="1" ht="12" customHeight="1" x14ac:dyDescent="0.2">
      <c r="A587" s="161"/>
      <c r="B587" s="31"/>
      <c r="C587" s="43">
        <v>4210</v>
      </c>
      <c r="D587" s="131" t="s">
        <v>135</v>
      </c>
      <c r="E587" s="39">
        <v>0</v>
      </c>
      <c r="F587" s="39">
        <v>12828</v>
      </c>
      <c r="G587" s="162"/>
      <c r="H587" s="104">
        <f t="shared" si="91"/>
        <v>12828</v>
      </c>
    </row>
    <row r="588" spans="1:8" s="15" customFormat="1" ht="21" customHeight="1" x14ac:dyDescent="0.2">
      <c r="A588" s="161"/>
      <c r="B588" s="31"/>
      <c r="C588" s="118">
        <v>4700</v>
      </c>
      <c r="D588" s="128" t="s">
        <v>119</v>
      </c>
      <c r="E588" s="39">
        <v>0</v>
      </c>
      <c r="F588" s="39">
        <v>989</v>
      </c>
      <c r="G588" s="39"/>
      <c r="H588" s="104">
        <f t="shared" si="91"/>
        <v>989</v>
      </c>
    </row>
    <row r="589" spans="1:8" s="15" customFormat="1" ht="12" customHeight="1" x14ac:dyDescent="0.2">
      <c r="A589" s="161"/>
      <c r="B589" s="31"/>
      <c r="C589" s="44">
        <v>4710</v>
      </c>
      <c r="D589" s="131" t="s">
        <v>120</v>
      </c>
      <c r="E589" s="39">
        <v>0</v>
      </c>
      <c r="F589" s="39">
        <v>300</v>
      </c>
      <c r="G589" s="39"/>
      <c r="H589" s="104">
        <f t="shared" si="91"/>
        <v>300</v>
      </c>
    </row>
    <row r="590" spans="1:8" s="15" customFormat="1" ht="12" customHeight="1" thickBot="1" x14ac:dyDescent="0.25">
      <c r="A590" s="31">
        <v>855</v>
      </c>
      <c r="B590" s="31"/>
      <c r="C590" s="32"/>
      <c r="D590" s="33" t="s">
        <v>92</v>
      </c>
      <c r="E590" s="34">
        <v>71280018</v>
      </c>
      <c r="F590" s="29">
        <f>SUM(F591)</f>
        <v>78334</v>
      </c>
      <c r="G590" s="29">
        <f>SUM(G591)</f>
        <v>0</v>
      </c>
      <c r="H590" s="29">
        <f t="shared" si="88"/>
        <v>71358352</v>
      </c>
    </row>
    <row r="591" spans="1:8" s="15" customFormat="1" ht="12" customHeight="1" thickTop="1" x14ac:dyDescent="0.2">
      <c r="A591" s="31"/>
      <c r="B591" s="44">
        <v>85501</v>
      </c>
      <c r="C591" s="107"/>
      <c r="D591" s="112" t="s">
        <v>93</v>
      </c>
      <c r="E591" s="37">
        <v>36710846</v>
      </c>
      <c r="F591" s="37">
        <f t="shared" ref="F591:G591" si="92">SUM(F592)</f>
        <v>78334</v>
      </c>
      <c r="G591" s="37">
        <f t="shared" si="92"/>
        <v>0</v>
      </c>
      <c r="H591" s="36">
        <f t="shared" si="88"/>
        <v>36789180</v>
      </c>
    </row>
    <row r="592" spans="1:8" s="15" customFormat="1" ht="12" customHeight="1" x14ac:dyDescent="0.2">
      <c r="A592" s="31"/>
      <c r="B592" s="35"/>
      <c r="C592" s="25"/>
      <c r="D592" s="369" t="s">
        <v>60</v>
      </c>
      <c r="E592" s="154">
        <v>36710846</v>
      </c>
      <c r="F592" s="154">
        <f>SUM(F593:F593)</f>
        <v>78334</v>
      </c>
      <c r="G592" s="154">
        <f>SUM(G593:G593)</f>
        <v>0</v>
      </c>
      <c r="H592" s="374">
        <f t="shared" si="88"/>
        <v>36789180</v>
      </c>
    </row>
    <row r="593" spans="1:8" s="15" customFormat="1" ht="12" customHeight="1" x14ac:dyDescent="0.2">
      <c r="A593" s="31"/>
      <c r="B593" s="31"/>
      <c r="C593" s="44">
        <v>3110</v>
      </c>
      <c r="D593" s="38" t="s">
        <v>226</v>
      </c>
      <c r="E593" s="39">
        <v>36590562</v>
      </c>
      <c r="F593" s="40">
        <v>78334</v>
      </c>
      <c r="G593" s="40"/>
      <c r="H593" s="104">
        <f t="shared" si="88"/>
        <v>36668896</v>
      </c>
    </row>
    <row r="594" spans="1:8" s="15" customFormat="1" ht="18" customHeight="1" thickBot="1" x14ac:dyDescent="0.25">
      <c r="A594" s="161"/>
      <c r="B594" s="35"/>
      <c r="C594" s="44"/>
      <c r="D594" s="28" t="s">
        <v>258</v>
      </c>
      <c r="E594" s="29">
        <v>20336583.52</v>
      </c>
      <c r="F594" s="29">
        <f>SUM(F595,F600,F606)</f>
        <v>18140</v>
      </c>
      <c r="G594" s="29">
        <f>SUM(G595,G600,G606)</f>
        <v>591</v>
      </c>
      <c r="H594" s="29">
        <f>SUM(E594+F594-G594)</f>
        <v>20354132.52</v>
      </c>
    </row>
    <row r="595" spans="1:8" s="15" customFormat="1" ht="18.75" customHeight="1" thickTop="1" thickBot="1" x14ac:dyDescent="0.25">
      <c r="A595" s="31">
        <v>700</v>
      </c>
      <c r="B595" s="31"/>
      <c r="C595" s="32"/>
      <c r="D595" s="33" t="s">
        <v>96</v>
      </c>
      <c r="E595" s="29">
        <v>419855.8</v>
      </c>
      <c r="F595" s="34">
        <f t="shared" ref="F595:G596" si="93">SUM(F596)</f>
        <v>3091</v>
      </c>
      <c r="G595" s="34">
        <f t="shared" si="93"/>
        <v>591</v>
      </c>
      <c r="H595" s="29">
        <f t="shared" ref="H595:H596" si="94">SUM(E595+F595-G595)</f>
        <v>422355.8</v>
      </c>
    </row>
    <row r="596" spans="1:8" s="15" customFormat="1" ht="12" customHeight="1" thickTop="1" x14ac:dyDescent="0.2">
      <c r="A596" s="31"/>
      <c r="B596" s="35">
        <v>70005</v>
      </c>
      <c r="C596" s="25"/>
      <c r="D596" s="42" t="s">
        <v>97</v>
      </c>
      <c r="E596" s="36">
        <v>419855.8</v>
      </c>
      <c r="F596" s="37">
        <f t="shared" si="93"/>
        <v>3091</v>
      </c>
      <c r="G596" s="37">
        <f t="shared" si="93"/>
        <v>591</v>
      </c>
      <c r="H596" s="36">
        <f t="shared" si="94"/>
        <v>422355.8</v>
      </c>
    </row>
    <row r="597" spans="1:8" s="15" customFormat="1" ht="12" customHeight="1" x14ac:dyDescent="0.2">
      <c r="A597" s="31"/>
      <c r="B597" s="35"/>
      <c r="C597" s="25"/>
      <c r="D597" s="380" t="s">
        <v>259</v>
      </c>
      <c r="E597" s="374">
        <v>265855.8</v>
      </c>
      <c r="F597" s="370">
        <f>SUM(F598:F599)</f>
        <v>3091</v>
      </c>
      <c r="G597" s="370">
        <f>SUM(G598:G599)</f>
        <v>591</v>
      </c>
      <c r="H597" s="132">
        <f>SUM(E597+F597-G597)</f>
        <v>268355.8</v>
      </c>
    </row>
    <row r="598" spans="1:8" s="15" customFormat="1" ht="12" customHeight="1" x14ac:dyDescent="0.2">
      <c r="A598" s="31"/>
      <c r="B598" s="35"/>
      <c r="C598" s="43">
        <v>4300</v>
      </c>
      <c r="D598" s="123" t="s">
        <v>260</v>
      </c>
      <c r="E598" s="40">
        <v>20623</v>
      </c>
      <c r="F598" s="39">
        <v>2500</v>
      </c>
      <c r="G598" s="39">
        <v>591</v>
      </c>
      <c r="H598" s="104">
        <f t="shared" ref="H598:H609" si="95">SUM(E598+F598-G598)</f>
        <v>22532</v>
      </c>
    </row>
    <row r="599" spans="1:8" s="15" customFormat="1" ht="12" customHeight="1" x14ac:dyDescent="0.2">
      <c r="A599" s="157"/>
      <c r="B599" s="164"/>
      <c r="C599" s="44">
        <v>4610</v>
      </c>
      <c r="D599" s="127" t="s">
        <v>114</v>
      </c>
      <c r="E599" s="40">
        <v>1581</v>
      </c>
      <c r="F599" s="39">
        <v>591</v>
      </c>
      <c r="G599" s="39"/>
      <c r="H599" s="104">
        <f t="shared" si="95"/>
        <v>2172</v>
      </c>
    </row>
    <row r="600" spans="1:8" s="15" customFormat="1" ht="11.25" customHeight="1" thickBot="1" x14ac:dyDescent="0.25">
      <c r="A600" s="31">
        <v>851</v>
      </c>
      <c r="B600" s="31"/>
      <c r="C600" s="32"/>
      <c r="D600" s="33" t="s">
        <v>99</v>
      </c>
      <c r="E600" s="29">
        <v>49600</v>
      </c>
      <c r="F600" s="29">
        <f>SUM(F603)</f>
        <v>4249</v>
      </c>
      <c r="G600" s="29">
        <f>SUM(G603)</f>
        <v>0</v>
      </c>
      <c r="H600" s="29">
        <f t="shared" si="95"/>
        <v>53849</v>
      </c>
    </row>
    <row r="601" spans="1:8" s="15" customFormat="1" ht="12" customHeight="1" thickTop="1" x14ac:dyDescent="0.2">
      <c r="A601" s="32"/>
      <c r="B601" s="35">
        <v>85156</v>
      </c>
      <c r="C601" s="44"/>
      <c r="D601" s="38" t="s">
        <v>261</v>
      </c>
      <c r="E601" s="100"/>
      <c r="F601" s="100"/>
      <c r="G601" s="100"/>
      <c r="H601" s="100"/>
    </row>
    <row r="602" spans="1:8" s="15" customFormat="1" ht="12" customHeight="1" x14ac:dyDescent="0.2">
      <c r="A602" s="32"/>
      <c r="B602" s="35"/>
      <c r="C602" s="44"/>
      <c r="D602" s="38" t="s">
        <v>262</v>
      </c>
      <c r="E602" s="100"/>
      <c r="F602" s="100"/>
      <c r="G602" s="100"/>
      <c r="H602" s="100"/>
    </row>
    <row r="603" spans="1:8" s="15" customFormat="1" ht="12" customHeight="1" x14ac:dyDescent="0.2">
      <c r="A603" s="32"/>
      <c r="B603" s="95"/>
      <c r="C603" s="44"/>
      <c r="D603" s="42" t="s">
        <v>263</v>
      </c>
      <c r="E603" s="46">
        <v>49600</v>
      </c>
      <c r="F603" s="37">
        <f>SUM(F604)</f>
        <v>4249</v>
      </c>
      <c r="G603" s="37">
        <f>SUM(G604)</f>
        <v>0</v>
      </c>
      <c r="H603" s="36">
        <f t="shared" si="95"/>
        <v>53849</v>
      </c>
    </row>
    <row r="604" spans="1:8" s="15" customFormat="1" ht="12" customHeight="1" x14ac:dyDescent="0.2">
      <c r="A604" s="32"/>
      <c r="B604" s="35"/>
      <c r="C604" s="32"/>
      <c r="D604" s="369" t="s">
        <v>60</v>
      </c>
      <c r="E604" s="382">
        <v>49600</v>
      </c>
      <c r="F604" s="154">
        <f>SUM(F605:F605)</f>
        <v>4249</v>
      </c>
      <c r="G604" s="154">
        <f>SUM(G605:G605)</f>
        <v>0</v>
      </c>
      <c r="H604" s="374">
        <f t="shared" si="95"/>
        <v>53849</v>
      </c>
    </row>
    <row r="605" spans="1:8" s="15" customFormat="1" ht="12" customHeight="1" x14ac:dyDescent="0.2">
      <c r="A605" s="160"/>
      <c r="B605" s="113"/>
      <c r="C605" s="130">
        <v>4130</v>
      </c>
      <c r="D605" s="42" t="s">
        <v>264</v>
      </c>
      <c r="E605" s="116">
        <v>49600</v>
      </c>
      <c r="F605" s="116">
        <v>4249</v>
      </c>
      <c r="G605" s="116"/>
      <c r="H605" s="37">
        <f t="shared" si="95"/>
        <v>53849</v>
      </c>
    </row>
    <row r="606" spans="1:8" s="15" customFormat="1" ht="12" customHeight="1" thickBot="1" x14ac:dyDescent="0.25">
      <c r="A606" s="32" t="s">
        <v>48</v>
      </c>
      <c r="B606" s="31"/>
      <c r="C606" s="32"/>
      <c r="D606" s="33" t="s">
        <v>83</v>
      </c>
      <c r="E606" s="29">
        <v>476400</v>
      </c>
      <c r="F606" s="29">
        <f>SUM(F607)</f>
        <v>10800</v>
      </c>
      <c r="G606" s="29">
        <f>SUM(G607)</f>
        <v>0</v>
      </c>
      <c r="H606" s="29">
        <f t="shared" si="95"/>
        <v>487200</v>
      </c>
    </row>
    <row r="607" spans="1:8" s="15" customFormat="1" ht="12" customHeight="1" thickTop="1" x14ac:dyDescent="0.2">
      <c r="A607" s="161"/>
      <c r="B607" s="35">
        <v>85205</v>
      </c>
      <c r="C607" s="134"/>
      <c r="D607" s="96" t="s">
        <v>103</v>
      </c>
      <c r="E607" s="46">
        <v>476400</v>
      </c>
      <c r="F607" s="37">
        <f>SUM(F608)</f>
        <v>10800</v>
      </c>
      <c r="G607" s="37">
        <f>SUM(G608)</f>
        <v>0</v>
      </c>
      <c r="H607" s="36">
        <f t="shared" si="95"/>
        <v>487200</v>
      </c>
    </row>
    <row r="608" spans="1:8" s="15" customFormat="1" ht="21.6" customHeight="1" x14ac:dyDescent="0.2">
      <c r="A608" s="161"/>
      <c r="B608" s="35"/>
      <c r="C608" s="25"/>
      <c r="D608" s="376" t="s">
        <v>265</v>
      </c>
      <c r="E608" s="382">
        <v>0</v>
      </c>
      <c r="F608" s="154">
        <f>SUM(F609:F609)</f>
        <v>10800</v>
      </c>
      <c r="G608" s="154">
        <f>SUM(G609:G609)</f>
        <v>0</v>
      </c>
      <c r="H608" s="374">
        <f t="shared" si="95"/>
        <v>10800</v>
      </c>
    </row>
    <row r="609" spans="1:8" s="15" customFormat="1" ht="12" customHeight="1" x14ac:dyDescent="0.2">
      <c r="A609" s="161"/>
      <c r="B609" s="31"/>
      <c r="C609" s="44">
        <v>4170</v>
      </c>
      <c r="D609" s="38" t="s">
        <v>134</v>
      </c>
      <c r="E609" s="39">
        <v>0</v>
      </c>
      <c r="F609" s="39">
        <v>10800</v>
      </c>
      <c r="G609" s="39"/>
      <c r="H609" s="104">
        <f t="shared" si="95"/>
        <v>10800</v>
      </c>
    </row>
    <row r="610" spans="1:8" s="15" customFormat="1" ht="3.75" customHeight="1" x14ac:dyDescent="0.2">
      <c r="A610" s="165"/>
      <c r="B610" s="165"/>
      <c r="C610" s="47"/>
      <c r="D610" s="48"/>
      <c r="E610" s="36"/>
      <c r="F610" s="36"/>
      <c r="G610" s="36"/>
      <c r="H610" s="36"/>
    </row>
    <row r="611" spans="1:8" s="15" customFormat="1" ht="12.6" customHeight="1" x14ac:dyDescent="0.2"/>
    <row r="612" spans="1:8" s="15" customFormat="1" ht="12.6" customHeight="1" x14ac:dyDescent="0.2"/>
    <row r="613" spans="1:8" s="15" customFormat="1" ht="12.6" customHeight="1" x14ac:dyDescent="0.2"/>
    <row r="614" spans="1:8" s="15" customFormat="1" ht="12.6" customHeight="1" x14ac:dyDescent="0.2"/>
    <row r="615" spans="1:8" s="15" customFormat="1" ht="12.6" customHeight="1" x14ac:dyDescent="0.2"/>
    <row r="616" spans="1:8" s="15" customFormat="1" ht="12.6" customHeight="1" x14ac:dyDescent="0.2"/>
    <row r="617" spans="1:8" s="15" customFormat="1" ht="12.6" customHeight="1" x14ac:dyDescent="0.2"/>
    <row r="618" spans="1:8" s="15" customFormat="1" ht="12.6" customHeight="1" x14ac:dyDescent="0.2"/>
    <row r="619" spans="1:8" s="15" customFormat="1" ht="12.6" customHeight="1" x14ac:dyDescent="0.2"/>
    <row r="620" spans="1:8" s="15" customFormat="1" ht="12.6" customHeight="1" x14ac:dyDescent="0.2"/>
    <row r="621" spans="1:8" s="15" customFormat="1" ht="12.6" customHeight="1" x14ac:dyDescent="0.2"/>
    <row r="622" spans="1:8" s="15" customFormat="1" ht="12.6" customHeight="1" x14ac:dyDescent="0.2"/>
    <row r="623" spans="1:8" s="15" customFormat="1" ht="12.6" customHeight="1" x14ac:dyDescent="0.2"/>
    <row r="624" spans="1:8" s="15" customFormat="1" ht="12.6" customHeight="1" x14ac:dyDescent="0.2"/>
    <row r="625" s="15" customFormat="1" ht="12.6" customHeight="1" x14ac:dyDescent="0.2"/>
    <row r="626" s="15" customFormat="1" ht="12.6" customHeight="1" x14ac:dyDescent="0.2"/>
    <row r="627" s="15" customFormat="1" ht="12.6" customHeight="1" x14ac:dyDescent="0.2"/>
    <row r="628" s="15" customFormat="1" ht="12.6" customHeight="1" x14ac:dyDescent="0.2"/>
    <row r="629" s="15" customFormat="1" ht="12.6" customHeight="1" x14ac:dyDescent="0.2"/>
    <row r="630" s="15" customFormat="1" ht="12.6" customHeight="1" x14ac:dyDescent="0.2"/>
    <row r="631" s="15" customFormat="1" ht="12.6" customHeight="1" x14ac:dyDescent="0.2"/>
    <row r="632" s="15" customFormat="1" ht="12.6" customHeight="1" x14ac:dyDescent="0.2"/>
    <row r="633" s="15" customFormat="1" ht="12.6" customHeight="1" x14ac:dyDescent="0.2"/>
    <row r="634" s="15" customFormat="1" ht="12.6" customHeight="1" x14ac:dyDescent="0.2"/>
    <row r="635" s="15" customFormat="1" ht="12.6" customHeight="1" x14ac:dyDescent="0.2"/>
    <row r="636" s="15" customFormat="1" ht="12.6" customHeight="1" x14ac:dyDescent="0.2"/>
    <row r="637" s="15" customFormat="1" ht="12.6" customHeight="1" x14ac:dyDescent="0.2"/>
    <row r="638" s="15" customFormat="1" ht="12.6" customHeight="1" x14ac:dyDescent="0.2"/>
    <row r="639" s="15" customFormat="1" ht="12.6" customHeight="1" x14ac:dyDescent="0.2"/>
    <row r="640" s="15" customFormat="1" ht="12.6" customHeight="1" x14ac:dyDescent="0.2"/>
    <row r="641" s="15" customFormat="1" ht="12.6" customHeight="1" x14ac:dyDescent="0.2"/>
    <row r="642" s="15" customFormat="1" ht="12.6" customHeight="1" x14ac:dyDescent="0.2"/>
    <row r="643" s="15" customFormat="1" ht="12.6" customHeight="1" x14ac:dyDescent="0.2"/>
    <row r="644" s="15" customFormat="1" ht="12.6" customHeight="1" x14ac:dyDescent="0.2"/>
    <row r="645" s="15" customFormat="1" ht="12.6" customHeight="1" x14ac:dyDescent="0.2"/>
    <row r="646" s="15" customFormat="1" ht="12.6" customHeight="1" x14ac:dyDescent="0.2"/>
    <row r="647" s="15" customFormat="1" ht="12.6" customHeight="1" x14ac:dyDescent="0.2"/>
    <row r="648" s="15" customFormat="1" ht="12.6" customHeight="1" x14ac:dyDescent="0.2"/>
    <row r="649" s="15" customFormat="1" ht="12.2" customHeight="1" x14ac:dyDescent="0.2"/>
    <row r="650" s="15" customFormat="1" ht="12.2" customHeight="1" x14ac:dyDescent="0.2"/>
    <row r="651" s="15" customFormat="1" ht="12.2" customHeight="1" x14ac:dyDescent="0.2"/>
    <row r="652" s="15" customFormat="1" ht="12.95" customHeight="1" x14ac:dyDescent="0.2"/>
    <row r="653" s="15" customFormat="1" ht="12.95" customHeight="1" x14ac:dyDescent="0.2"/>
    <row r="654" s="15" customFormat="1" ht="12.95" customHeight="1" x14ac:dyDescent="0.2"/>
    <row r="655" s="15" customFormat="1" ht="12.95" customHeight="1" x14ac:dyDescent="0.2"/>
    <row r="656" s="15" customFormat="1" ht="12.95" customHeight="1" x14ac:dyDescent="0.2"/>
    <row r="657" s="15" customFormat="1" ht="12.95" customHeight="1" x14ac:dyDescent="0.2"/>
    <row r="658" s="15" customFormat="1" ht="12.95" customHeight="1" x14ac:dyDescent="0.2"/>
    <row r="659" s="15" customFormat="1" ht="12.95" customHeight="1" x14ac:dyDescent="0.2"/>
    <row r="660" s="15" customFormat="1" ht="12.95" customHeight="1" x14ac:dyDescent="0.2"/>
    <row r="661" s="15" customFormat="1" ht="12.95" customHeight="1" x14ac:dyDescent="0.2"/>
    <row r="662" s="15" customFormat="1" ht="12.95" customHeight="1" x14ac:dyDescent="0.2"/>
    <row r="663" s="15" customFormat="1" ht="12.95" customHeight="1" x14ac:dyDescent="0.2"/>
    <row r="664" s="15" customFormat="1" ht="12.95" customHeight="1" x14ac:dyDescent="0.2"/>
    <row r="665" s="15" customFormat="1" ht="12.95" customHeight="1" x14ac:dyDescent="0.2"/>
    <row r="666" s="15" customFormat="1" ht="12.95" customHeight="1" x14ac:dyDescent="0.2"/>
    <row r="667" s="15" customFormat="1" ht="12.95" customHeight="1" x14ac:dyDescent="0.2"/>
    <row r="668" s="15" customFormat="1" ht="12.95" customHeight="1" x14ac:dyDescent="0.2"/>
    <row r="669" s="15" customFormat="1" ht="12.95" customHeight="1" x14ac:dyDescent="0.2"/>
    <row r="670" s="15" customFormat="1" ht="12.95" customHeight="1" x14ac:dyDescent="0.2"/>
    <row r="671" s="15" customFormat="1" ht="12.95" customHeight="1" x14ac:dyDescent="0.2"/>
    <row r="672" s="15" customFormat="1" ht="12.95" customHeight="1" x14ac:dyDescent="0.2"/>
    <row r="673" s="15" customFormat="1" ht="12.95" customHeight="1" x14ac:dyDescent="0.2"/>
    <row r="674" s="15" customFormat="1" ht="12.95" customHeight="1" x14ac:dyDescent="0.2"/>
    <row r="675" s="15" customFormat="1" ht="12.95" customHeight="1" x14ac:dyDescent="0.2"/>
    <row r="676" s="15" customFormat="1" ht="12.95" customHeight="1" x14ac:dyDescent="0.2"/>
    <row r="677" s="15" customFormat="1" ht="12.95" customHeight="1" x14ac:dyDescent="0.2"/>
    <row r="678" s="15" customFormat="1" ht="12.95" customHeight="1" x14ac:dyDescent="0.2"/>
    <row r="679" s="15" customFormat="1" ht="12.95" customHeight="1" x14ac:dyDescent="0.2"/>
    <row r="680" s="15" customFormat="1" ht="12.95" customHeight="1" x14ac:dyDescent="0.2"/>
    <row r="681" s="15" customFormat="1" ht="12.95" customHeight="1" x14ac:dyDescent="0.2"/>
    <row r="682" s="15" customFormat="1" ht="12.95" customHeight="1" x14ac:dyDescent="0.2"/>
    <row r="683" s="15" customFormat="1" ht="12.95" customHeight="1" x14ac:dyDescent="0.2"/>
    <row r="684" s="15" customFormat="1" ht="12.95" customHeight="1" x14ac:dyDescent="0.2"/>
    <row r="685" s="15" customFormat="1" ht="12.95" customHeight="1" x14ac:dyDescent="0.2"/>
    <row r="686" s="15" customFormat="1" ht="12.95" customHeight="1" x14ac:dyDescent="0.2"/>
    <row r="687" s="15" customFormat="1" ht="12.95" customHeight="1" x14ac:dyDescent="0.2"/>
    <row r="688" s="15" customFormat="1" ht="12.95" customHeight="1" x14ac:dyDescent="0.2"/>
    <row r="689" s="15" customFormat="1" ht="12.95" customHeight="1" x14ac:dyDescent="0.2"/>
    <row r="690" s="15" customFormat="1" ht="12.95" customHeight="1" x14ac:dyDescent="0.2"/>
    <row r="691" s="15" customFormat="1" ht="12.95" customHeight="1" x14ac:dyDescent="0.2"/>
    <row r="692" s="15" customFormat="1" ht="12.95" customHeight="1" x14ac:dyDescent="0.2"/>
    <row r="693" s="15" customFormat="1" ht="12.95" customHeight="1" x14ac:dyDescent="0.2"/>
    <row r="694" s="15" customFormat="1" ht="12.95" customHeight="1" x14ac:dyDescent="0.2"/>
    <row r="695" s="15" customFormat="1" ht="12.95" customHeight="1" x14ac:dyDescent="0.2"/>
    <row r="696" s="15" customFormat="1" ht="12.95" customHeight="1" x14ac:dyDescent="0.2"/>
    <row r="697" s="15" customFormat="1" ht="12.95" customHeight="1" x14ac:dyDescent="0.2"/>
    <row r="698" s="15" customFormat="1" ht="12.95" customHeight="1" x14ac:dyDescent="0.2"/>
    <row r="699" s="15" customFormat="1" ht="12.95" customHeight="1" x14ac:dyDescent="0.2"/>
    <row r="700" s="15" customFormat="1" ht="12.95" customHeight="1" x14ac:dyDescent="0.2"/>
    <row r="701" s="15" customFormat="1" ht="12.95" customHeight="1" x14ac:dyDescent="0.2"/>
    <row r="702" s="15" customFormat="1" ht="12.95" customHeight="1" x14ac:dyDescent="0.2"/>
    <row r="703" s="15" customFormat="1" ht="12.95" customHeight="1" x14ac:dyDescent="0.2"/>
    <row r="704" s="15" customFormat="1" ht="12.95" customHeight="1" x14ac:dyDescent="0.2"/>
    <row r="705" s="15" customFormat="1" ht="12.95" customHeight="1" x14ac:dyDescent="0.2"/>
    <row r="706" s="15" customFormat="1" ht="12.95" customHeight="1" x14ac:dyDescent="0.2"/>
    <row r="707" s="15" customFormat="1" ht="12.95" customHeight="1" x14ac:dyDescent="0.2"/>
    <row r="708" s="15" customFormat="1" ht="12.95" customHeight="1" x14ac:dyDescent="0.2"/>
    <row r="709" s="15" customFormat="1" ht="12.95" customHeight="1" x14ac:dyDescent="0.2"/>
    <row r="710" s="15" customFormat="1" ht="12.95" customHeight="1" x14ac:dyDescent="0.2"/>
    <row r="711" s="15" customFormat="1" ht="12.95" customHeight="1" x14ac:dyDescent="0.2"/>
    <row r="712" s="15" customFormat="1" ht="12.95" customHeight="1" x14ac:dyDescent="0.2"/>
    <row r="713" s="15" customFormat="1" ht="12.95" customHeight="1" x14ac:dyDescent="0.2"/>
    <row r="714" s="15" customFormat="1" ht="12.95" customHeight="1" x14ac:dyDescent="0.2"/>
    <row r="715" s="15" customFormat="1" ht="12.95" customHeight="1" x14ac:dyDescent="0.2"/>
    <row r="716" s="15" customFormat="1" ht="12.95" customHeight="1" x14ac:dyDescent="0.2"/>
    <row r="717" s="15" customFormat="1" ht="12.95" customHeight="1" x14ac:dyDescent="0.2"/>
    <row r="718" s="15" customFormat="1" ht="12.95" customHeight="1" x14ac:dyDescent="0.2"/>
    <row r="719" ht="12.95" customHeight="1" x14ac:dyDescent="0.25"/>
    <row r="720" ht="12.95" customHeight="1" x14ac:dyDescent="0.25"/>
    <row r="721" ht="12.95" customHeight="1" x14ac:dyDescent="0.25"/>
    <row r="722" ht="12.95" customHeight="1" x14ac:dyDescent="0.25"/>
    <row r="723" ht="12.95" customHeight="1" x14ac:dyDescent="0.25"/>
    <row r="724" ht="12.95" customHeight="1" x14ac:dyDescent="0.25"/>
    <row r="725" ht="12.95" customHeight="1" x14ac:dyDescent="0.25"/>
    <row r="726" ht="12.95" customHeight="1" x14ac:dyDescent="0.25"/>
    <row r="727" ht="12.95" customHeight="1" x14ac:dyDescent="0.25"/>
    <row r="728" ht="12.95" customHeight="1" x14ac:dyDescent="0.25"/>
    <row r="729" ht="12.95" customHeight="1" x14ac:dyDescent="0.25"/>
    <row r="730" ht="12.9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  <headerFooter>
    <oddFooter>&amp;C&amp;"Arial,Normalny"&amp;8&amp;P</oddFooter>
  </headerFooter>
  <rowBreaks count="6" manualBreakCount="6">
    <brk id="92" max="16383" man="1"/>
    <brk id="236" max="16383" man="1"/>
    <brk id="332" max="16383" man="1"/>
    <brk id="447" max="16383" man="1"/>
    <brk id="555" max="16383" man="1"/>
    <brk id="6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CDFAC-2DC9-4771-8BF4-B1E805506BE5}">
  <sheetPr>
    <tabColor rgb="FFFFFF00"/>
  </sheetPr>
  <dimension ref="A1:BV22"/>
  <sheetViews>
    <sheetView zoomScale="130" zoomScaleNormal="130" workbookViewId="0"/>
  </sheetViews>
  <sheetFormatPr defaultRowHeight="12.75" x14ac:dyDescent="0.2"/>
  <cols>
    <col min="1" max="1" width="4.28515625" style="386" customWidth="1"/>
    <col min="2" max="2" width="8.7109375" style="386" customWidth="1"/>
    <col min="3" max="3" width="5.5703125" style="386" customWidth="1"/>
    <col min="4" max="4" width="10.140625" style="386" customWidth="1"/>
    <col min="5" max="5" width="10.42578125" style="386" customWidth="1"/>
    <col min="6" max="6" width="10.28515625" style="386" customWidth="1"/>
    <col min="7" max="7" width="14" style="386" customWidth="1"/>
    <col min="8" max="8" width="14.28515625" style="387" customWidth="1"/>
    <col min="9" max="9" width="11.28515625" style="387" customWidth="1"/>
    <col min="10" max="74" width="9.140625" style="387"/>
    <col min="75" max="256" width="9.140625" style="386"/>
    <col min="257" max="257" width="4.28515625" style="386" customWidth="1"/>
    <col min="258" max="258" width="8.7109375" style="386" customWidth="1"/>
    <col min="259" max="259" width="5.5703125" style="386" customWidth="1"/>
    <col min="260" max="260" width="10.140625" style="386" customWidth="1"/>
    <col min="261" max="261" width="10.42578125" style="386" customWidth="1"/>
    <col min="262" max="262" width="10.28515625" style="386" customWidth="1"/>
    <col min="263" max="263" width="14" style="386" customWidth="1"/>
    <col min="264" max="264" width="14.28515625" style="386" customWidth="1"/>
    <col min="265" max="265" width="11.28515625" style="386" customWidth="1"/>
    <col min="266" max="512" width="9.140625" style="386"/>
    <col min="513" max="513" width="4.28515625" style="386" customWidth="1"/>
    <col min="514" max="514" width="8.7109375" style="386" customWidth="1"/>
    <col min="515" max="515" width="5.5703125" style="386" customWidth="1"/>
    <col min="516" max="516" width="10.140625" style="386" customWidth="1"/>
    <col min="517" max="517" width="10.42578125" style="386" customWidth="1"/>
    <col min="518" max="518" width="10.28515625" style="386" customWidth="1"/>
    <col min="519" max="519" width="14" style="386" customWidth="1"/>
    <col min="520" max="520" width="14.28515625" style="386" customWidth="1"/>
    <col min="521" max="521" width="11.28515625" style="386" customWidth="1"/>
    <col min="522" max="768" width="9.140625" style="386"/>
    <col min="769" max="769" width="4.28515625" style="386" customWidth="1"/>
    <col min="770" max="770" width="8.7109375" style="386" customWidth="1"/>
    <col min="771" max="771" width="5.5703125" style="386" customWidth="1"/>
    <col min="772" max="772" width="10.140625" style="386" customWidth="1"/>
    <col min="773" max="773" width="10.42578125" style="386" customWidth="1"/>
    <col min="774" max="774" width="10.28515625" style="386" customWidth="1"/>
    <col min="775" max="775" width="14" style="386" customWidth="1"/>
    <col min="776" max="776" width="14.28515625" style="386" customWidth="1"/>
    <col min="777" max="777" width="11.28515625" style="386" customWidth="1"/>
    <col min="778" max="1024" width="9.140625" style="386"/>
    <col min="1025" max="1025" width="4.28515625" style="386" customWidth="1"/>
    <col min="1026" max="1026" width="8.7109375" style="386" customWidth="1"/>
    <col min="1027" max="1027" width="5.5703125" style="386" customWidth="1"/>
    <col min="1028" max="1028" width="10.140625" style="386" customWidth="1"/>
    <col min="1029" max="1029" width="10.42578125" style="386" customWidth="1"/>
    <col min="1030" max="1030" width="10.28515625" style="386" customWidth="1"/>
    <col min="1031" max="1031" width="14" style="386" customWidth="1"/>
    <col min="1032" max="1032" width="14.28515625" style="386" customWidth="1"/>
    <col min="1033" max="1033" width="11.28515625" style="386" customWidth="1"/>
    <col min="1034" max="1280" width="9.140625" style="386"/>
    <col min="1281" max="1281" width="4.28515625" style="386" customWidth="1"/>
    <col min="1282" max="1282" width="8.7109375" style="386" customWidth="1"/>
    <col min="1283" max="1283" width="5.5703125" style="386" customWidth="1"/>
    <col min="1284" max="1284" width="10.140625" style="386" customWidth="1"/>
    <col min="1285" max="1285" width="10.42578125" style="386" customWidth="1"/>
    <col min="1286" max="1286" width="10.28515625" style="386" customWidth="1"/>
    <col min="1287" max="1287" width="14" style="386" customWidth="1"/>
    <col min="1288" max="1288" width="14.28515625" style="386" customWidth="1"/>
    <col min="1289" max="1289" width="11.28515625" style="386" customWidth="1"/>
    <col min="1290" max="1536" width="9.140625" style="386"/>
    <col min="1537" max="1537" width="4.28515625" style="386" customWidth="1"/>
    <col min="1538" max="1538" width="8.7109375" style="386" customWidth="1"/>
    <col min="1539" max="1539" width="5.5703125" style="386" customWidth="1"/>
    <col min="1540" max="1540" width="10.140625" style="386" customWidth="1"/>
    <col min="1541" max="1541" width="10.42578125" style="386" customWidth="1"/>
    <col min="1542" max="1542" width="10.28515625" style="386" customWidth="1"/>
    <col min="1543" max="1543" width="14" style="386" customWidth="1"/>
    <col min="1544" max="1544" width="14.28515625" style="386" customWidth="1"/>
    <col min="1545" max="1545" width="11.28515625" style="386" customWidth="1"/>
    <col min="1546" max="1792" width="9.140625" style="386"/>
    <col min="1793" max="1793" width="4.28515625" style="386" customWidth="1"/>
    <col min="1794" max="1794" width="8.7109375" style="386" customWidth="1"/>
    <col min="1795" max="1795" width="5.5703125" style="386" customWidth="1"/>
    <col min="1796" max="1796" width="10.140625" style="386" customWidth="1"/>
    <col min="1797" max="1797" width="10.42578125" style="386" customWidth="1"/>
    <col min="1798" max="1798" width="10.28515625" style="386" customWidth="1"/>
    <col min="1799" max="1799" width="14" style="386" customWidth="1"/>
    <col min="1800" max="1800" width="14.28515625" style="386" customWidth="1"/>
    <col min="1801" max="1801" width="11.28515625" style="386" customWidth="1"/>
    <col min="1802" max="2048" width="9.140625" style="386"/>
    <col min="2049" max="2049" width="4.28515625" style="386" customWidth="1"/>
    <col min="2050" max="2050" width="8.7109375" style="386" customWidth="1"/>
    <col min="2051" max="2051" width="5.5703125" style="386" customWidth="1"/>
    <col min="2052" max="2052" width="10.140625" style="386" customWidth="1"/>
    <col min="2053" max="2053" width="10.42578125" style="386" customWidth="1"/>
    <col min="2054" max="2054" width="10.28515625" style="386" customWidth="1"/>
    <col min="2055" max="2055" width="14" style="386" customWidth="1"/>
    <col min="2056" max="2056" width="14.28515625" style="386" customWidth="1"/>
    <col min="2057" max="2057" width="11.28515625" style="386" customWidth="1"/>
    <col min="2058" max="2304" width="9.140625" style="386"/>
    <col min="2305" max="2305" width="4.28515625" style="386" customWidth="1"/>
    <col min="2306" max="2306" width="8.7109375" style="386" customWidth="1"/>
    <col min="2307" max="2307" width="5.5703125" style="386" customWidth="1"/>
    <col min="2308" max="2308" width="10.140625" style="386" customWidth="1"/>
    <col min="2309" max="2309" width="10.42578125" style="386" customWidth="1"/>
    <col min="2310" max="2310" width="10.28515625" style="386" customWidth="1"/>
    <col min="2311" max="2311" width="14" style="386" customWidth="1"/>
    <col min="2312" max="2312" width="14.28515625" style="386" customWidth="1"/>
    <col min="2313" max="2313" width="11.28515625" style="386" customWidth="1"/>
    <col min="2314" max="2560" width="9.140625" style="386"/>
    <col min="2561" max="2561" width="4.28515625" style="386" customWidth="1"/>
    <col min="2562" max="2562" width="8.7109375" style="386" customWidth="1"/>
    <col min="2563" max="2563" width="5.5703125" style="386" customWidth="1"/>
    <col min="2564" max="2564" width="10.140625" style="386" customWidth="1"/>
    <col min="2565" max="2565" width="10.42578125" style="386" customWidth="1"/>
    <col min="2566" max="2566" width="10.28515625" style="386" customWidth="1"/>
    <col min="2567" max="2567" width="14" style="386" customWidth="1"/>
    <col min="2568" max="2568" width="14.28515625" style="386" customWidth="1"/>
    <col min="2569" max="2569" width="11.28515625" style="386" customWidth="1"/>
    <col min="2570" max="2816" width="9.140625" style="386"/>
    <col min="2817" max="2817" width="4.28515625" style="386" customWidth="1"/>
    <col min="2818" max="2818" width="8.7109375" style="386" customWidth="1"/>
    <col min="2819" max="2819" width="5.5703125" style="386" customWidth="1"/>
    <col min="2820" max="2820" width="10.140625" style="386" customWidth="1"/>
    <col min="2821" max="2821" width="10.42578125" style="386" customWidth="1"/>
    <col min="2822" max="2822" width="10.28515625" style="386" customWidth="1"/>
    <col min="2823" max="2823" width="14" style="386" customWidth="1"/>
    <col min="2824" max="2824" width="14.28515625" style="386" customWidth="1"/>
    <col min="2825" max="2825" width="11.28515625" style="386" customWidth="1"/>
    <col min="2826" max="3072" width="9.140625" style="386"/>
    <col min="3073" max="3073" width="4.28515625" style="386" customWidth="1"/>
    <col min="3074" max="3074" width="8.7109375" style="386" customWidth="1"/>
    <col min="3075" max="3075" width="5.5703125" style="386" customWidth="1"/>
    <col min="3076" max="3076" width="10.140625" style="386" customWidth="1"/>
    <col min="3077" max="3077" width="10.42578125" style="386" customWidth="1"/>
    <col min="3078" max="3078" width="10.28515625" style="386" customWidth="1"/>
    <col min="3079" max="3079" width="14" style="386" customWidth="1"/>
    <col min="3080" max="3080" width="14.28515625" style="386" customWidth="1"/>
    <col min="3081" max="3081" width="11.28515625" style="386" customWidth="1"/>
    <col min="3082" max="3328" width="9.140625" style="386"/>
    <col min="3329" max="3329" width="4.28515625" style="386" customWidth="1"/>
    <col min="3330" max="3330" width="8.7109375" style="386" customWidth="1"/>
    <col min="3331" max="3331" width="5.5703125" style="386" customWidth="1"/>
    <col min="3332" max="3332" width="10.140625" style="386" customWidth="1"/>
    <col min="3333" max="3333" width="10.42578125" style="386" customWidth="1"/>
    <col min="3334" max="3334" width="10.28515625" style="386" customWidth="1"/>
    <col min="3335" max="3335" width="14" style="386" customWidth="1"/>
    <col min="3336" max="3336" width="14.28515625" style="386" customWidth="1"/>
    <col min="3337" max="3337" width="11.28515625" style="386" customWidth="1"/>
    <col min="3338" max="3584" width="9.140625" style="386"/>
    <col min="3585" max="3585" width="4.28515625" style="386" customWidth="1"/>
    <col min="3586" max="3586" width="8.7109375" style="386" customWidth="1"/>
    <col min="3587" max="3587" width="5.5703125" style="386" customWidth="1"/>
    <col min="3588" max="3588" width="10.140625" style="386" customWidth="1"/>
    <col min="3589" max="3589" width="10.42578125" style="386" customWidth="1"/>
    <col min="3590" max="3590" width="10.28515625" style="386" customWidth="1"/>
    <col min="3591" max="3591" width="14" style="386" customWidth="1"/>
    <col min="3592" max="3592" width="14.28515625" style="386" customWidth="1"/>
    <col min="3593" max="3593" width="11.28515625" style="386" customWidth="1"/>
    <col min="3594" max="3840" width="9.140625" style="386"/>
    <col min="3841" max="3841" width="4.28515625" style="386" customWidth="1"/>
    <col min="3842" max="3842" width="8.7109375" style="386" customWidth="1"/>
    <col min="3843" max="3843" width="5.5703125" style="386" customWidth="1"/>
    <col min="3844" max="3844" width="10.140625" style="386" customWidth="1"/>
    <col min="3845" max="3845" width="10.42578125" style="386" customWidth="1"/>
    <col min="3846" max="3846" width="10.28515625" style="386" customWidth="1"/>
    <col min="3847" max="3847" width="14" style="386" customWidth="1"/>
    <col min="3848" max="3848" width="14.28515625" style="386" customWidth="1"/>
    <col min="3849" max="3849" width="11.28515625" style="386" customWidth="1"/>
    <col min="3850" max="4096" width="9.140625" style="386"/>
    <col min="4097" max="4097" width="4.28515625" style="386" customWidth="1"/>
    <col min="4098" max="4098" width="8.7109375" style="386" customWidth="1"/>
    <col min="4099" max="4099" width="5.5703125" style="386" customWidth="1"/>
    <col min="4100" max="4100" width="10.140625" style="386" customWidth="1"/>
    <col min="4101" max="4101" width="10.42578125" style="386" customWidth="1"/>
    <col min="4102" max="4102" width="10.28515625" style="386" customWidth="1"/>
    <col min="4103" max="4103" width="14" style="386" customWidth="1"/>
    <col min="4104" max="4104" width="14.28515625" style="386" customWidth="1"/>
    <col min="4105" max="4105" width="11.28515625" style="386" customWidth="1"/>
    <col min="4106" max="4352" width="9.140625" style="386"/>
    <col min="4353" max="4353" width="4.28515625" style="386" customWidth="1"/>
    <col min="4354" max="4354" width="8.7109375" style="386" customWidth="1"/>
    <col min="4355" max="4355" width="5.5703125" style="386" customWidth="1"/>
    <col min="4356" max="4356" width="10.140625" style="386" customWidth="1"/>
    <col min="4357" max="4357" width="10.42578125" style="386" customWidth="1"/>
    <col min="4358" max="4358" width="10.28515625" style="386" customWidth="1"/>
    <col min="4359" max="4359" width="14" style="386" customWidth="1"/>
    <col min="4360" max="4360" width="14.28515625" style="386" customWidth="1"/>
    <col min="4361" max="4361" width="11.28515625" style="386" customWidth="1"/>
    <col min="4362" max="4608" width="9.140625" style="386"/>
    <col min="4609" max="4609" width="4.28515625" style="386" customWidth="1"/>
    <col min="4610" max="4610" width="8.7109375" style="386" customWidth="1"/>
    <col min="4611" max="4611" width="5.5703125" style="386" customWidth="1"/>
    <col min="4612" max="4612" width="10.140625" style="386" customWidth="1"/>
    <col min="4613" max="4613" width="10.42578125" style="386" customWidth="1"/>
    <col min="4614" max="4614" width="10.28515625" style="386" customWidth="1"/>
    <col min="4615" max="4615" width="14" style="386" customWidth="1"/>
    <col min="4616" max="4616" width="14.28515625" style="386" customWidth="1"/>
    <col min="4617" max="4617" width="11.28515625" style="386" customWidth="1"/>
    <col min="4618" max="4864" width="9.140625" style="386"/>
    <col min="4865" max="4865" width="4.28515625" style="386" customWidth="1"/>
    <col min="4866" max="4866" width="8.7109375" style="386" customWidth="1"/>
    <col min="4867" max="4867" width="5.5703125" style="386" customWidth="1"/>
    <col min="4868" max="4868" width="10.140625" style="386" customWidth="1"/>
    <col min="4869" max="4869" width="10.42578125" style="386" customWidth="1"/>
    <col min="4870" max="4870" width="10.28515625" style="386" customWidth="1"/>
    <col min="4871" max="4871" width="14" style="386" customWidth="1"/>
    <col min="4872" max="4872" width="14.28515625" style="386" customWidth="1"/>
    <col min="4873" max="4873" width="11.28515625" style="386" customWidth="1"/>
    <col min="4874" max="5120" width="9.140625" style="386"/>
    <col min="5121" max="5121" width="4.28515625" style="386" customWidth="1"/>
    <col min="5122" max="5122" width="8.7109375" style="386" customWidth="1"/>
    <col min="5123" max="5123" width="5.5703125" style="386" customWidth="1"/>
    <col min="5124" max="5124" width="10.140625" style="386" customWidth="1"/>
    <col min="5125" max="5125" width="10.42578125" style="386" customWidth="1"/>
    <col min="5126" max="5126" width="10.28515625" style="386" customWidth="1"/>
    <col min="5127" max="5127" width="14" style="386" customWidth="1"/>
    <col min="5128" max="5128" width="14.28515625" style="386" customWidth="1"/>
    <col min="5129" max="5129" width="11.28515625" style="386" customWidth="1"/>
    <col min="5130" max="5376" width="9.140625" style="386"/>
    <col min="5377" max="5377" width="4.28515625" style="386" customWidth="1"/>
    <col min="5378" max="5378" width="8.7109375" style="386" customWidth="1"/>
    <col min="5379" max="5379" width="5.5703125" style="386" customWidth="1"/>
    <col min="5380" max="5380" width="10.140625" style="386" customWidth="1"/>
    <col min="5381" max="5381" width="10.42578125" style="386" customWidth="1"/>
    <col min="5382" max="5382" width="10.28515625" style="386" customWidth="1"/>
    <col min="5383" max="5383" width="14" style="386" customWidth="1"/>
    <col min="5384" max="5384" width="14.28515625" style="386" customWidth="1"/>
    <col min="5385" max="5385" width="11.28515625" style="386" customWidth="1"/>
    <col min="5386" max="5632" width="9.140625" style="386"/>
    <col min="5633" max="5633" width="4.28515625" style="386" customWidth="1"/>
    <col min="5634" max="5634" width="8.7109375" style="386" customWidth="1"/>
    <col min="5635" max="5635" width="5.5703125" style="386" customWidth="1"/>
    <col min="5636" max="5636" width="10.140625" style="386" customWidth="1"/>
    <col min="5637" max="5637" width="10.42578125" style="386" customWidth="1"/>
    <col min="5638" max="5638" width="10.28515625" style="386" customWidth="1"/>
    <col min="5639" max="5639" width="14" style="386" customWidth="1"/>
    <col min="5640" max="5640" width="14.28515625" style="386" customWidth="1"/>
    <col min="5641" max="5641" width="11.28515625" style="386" customWidth="1"/>
    <col min="5642" max="5888" width="9.140625" style="386"/>
    <col min="5889" max="5889" width="4.28515625" style="386" customWidth="1"/>
    <col min="5890" max="5890" width="8.7109375" style="386" customWidth="1"/>
    <col min="5891" max="5891" width="5.5703125" style="386" customWidth="1"/>
    <col min="5892" max="5892" width="10.140625" style="386" customWidth="1"/>
    <col min="5893" max="5893" width="10.42578125" style="386" customWidth="1"/>
    <col min="5894" max="5894" width="10.28515625" style="386" customWidth="1"/>
    <col min="5895" max="5895" width="14" style="386" customWidth="1"/>
    <col min="5896" max="5896" width="14.28515625" style="386" customWidth="1"/>
    <col min="5897" max="5897" width="11.28515625" style="386" customWidth="1"/>
    <col min="5898" max="6144" width="9.140625" style="386"/>
    <col min="6145" max="6145" width="4.28515625" style="386" customWidth="1"/>
    <col min="6146" max="6146" width="8.7109375" style="386" customWidth="1"/>
    <col min="6147" max="6147" width="5.5703125" style="386" customWidth="1"/>
    <col min="6148" max="6148" width="10.140625" style="386" customWidth="1"/>
    <col min="6149" max="6149" width="10.42578125" style="386" customWidth="1"/>
    <col min="6150" max="6150" width="10.28515625" style="386" customWidth="1"/>
    <col min="6151" max="6151" width="14" style="386" customWidth="1"/>
    <col min="6152" max="6152" width="14.28515625" style="386" customWidth="1"/>
    <col min="6153" max="6153" width="11.28515625" style="386" customWidth="1"/>
    <col min="6154" max="6400" width="9.140625" style="386"/>
    <col min="6401" max="6401" width="4.28515625" style="386" customWidth="1"/>
    <col min="6402" max="6402" width="8.7109375" style="386" customWidth="1"/>
    <col min="6403" max="6403" width="5.5703125" style="386" customWidth="1"/>
    <col min="6404" max="6404" width="10.140625" style="386" customWidth="1"/>
    <col min="6405" max="6405" width="10.42578125" style="386" customWidth="1"/>
    <col min="6406" max="6406" width="10.28515625" style="386" customWidth="1"/>
    <col min="6407" max="6407" width="14" style="386" customWidth="1"/>
    <col min="6408" max="6408" width="14.28515625" style="386" customWidth="1"/>
    <col min="6409" max="6409" width="11.28515625" style="386" customWidth="1"/>
    <col min="6410" max="6656" width="9.140625" style="386"/>
    <col min="6657" max="6657" width="4.28515625" style="386" customWidth="1"/>
    <col min="6658" max="6658" width="8.7109375" style="386" customWidth="1"/>
    <col min="6659" max="6659" width="5.5703125" style="386" customWidth="1"/>
    <col min="6660" max="6660" width="10.140625" style="386" customWidth="1"/>
    <col min="6661" max="6661" width="10.42578125" style="386" customWidth="1"/>
    <col min="6662" max="6662" width="10.28515625" style="386" customWidth="1"/>
    <col min="6663" max="6663" width="14" style="386" customWidth="1"/>
    <col min="6664" max="6664" width="14.28515625" style="386" customWidth="1"/>
    <col min="6665" max="6665" width="11.28515625" style="386" customWidth="1"/>
    <col min="6666" max="6912" width="9.140625" style="386"/>
    <col min="6913" max="6913" width="4.28515625" style="386" customWidth="1"/>
    <col min="6914" max="6914" width="8.7109375" style="386" customWidth="1"/>
    <col min="6915" max="6915" width="5.5703125" style="386" customWidth="1"/>
    <col min="6916" max="6916" width="10.140625" style="386" customWidth="1"/>
    <col min="6917" max="6917" width="10.42578125" style="386" customWidth="1"/>
    <col min="6918" max="6918" width="10.28515625" style="386" customWidth="1"/>
    <col min="6919" max="6919" width="14" style="386" customWidth="1"/>
    <col min="6920" max="6920" width="14.28515625" style="386" customWidth="1"/>
    <col min="6921" max="6921" width="11.28515625" style="386" customWidth="1"/>
    <col min="6922" max="7168" width="9.140625" style="386"/>
    <col min="7169" max="7169" width="4.28515625" style="386" customWidth="1"/>
    <col min="7170" max="7170" width="8.7109375" style="386" customWidth="1"/>
    <col min="7171" max="7171" width="5.5703125" style="386" customWidth="1"/>
    <col min="7172" max="7172" width="10.140625" style="386" customWidth="1"/>
    <col min="7173" max="7173" width="10.42578125" style="386" customWidth="1"/>
    <col min="7174" max="7174" width="10.28515625" style="386" customWidth="1"/>
    <col min="7175" max="7175" width="14" style="386" customWidth="1"/>
    <col min="7176" max="7176" width="14.28515625" style="386" customWidth="1"/>
    <col min="7177" max="7177" width="11.28515625" style="386" customWidth="1"/>
    <col min="7178" max="7424" width="9.140625" style="386"/>
    <col min="7425" max="7425" width="4.28515625" style="386" customWidth="1"/>
    <col min="7426" max="7426" width="8.7109375" style="386" customWidth="1"/>
    <col min="7427" max="7427" width="5.5703125" style="386" customWidth="1"/>
    <col min="7428" max="7428" width="10.140625" style="386" customWidth="1"/>
    <col min="7429" max="7429" width="10.42578125" style="386" customWidth="1"/>
    <col min="7430" max="7430" width="10.28515625" style="386" customWidth="1"/>
    <col min="7431" max="7431" width="14" style="386" customWidth="1"/>
    <col min="7432" max="7432" width="14.28515625" style="386" customWidth="1"/>
    <col min="7433" max="7433" width="11.28515625" style="386" customWidth="1"/>
    <col min="7434" max="7680" width="9.140625" style="386"/>
    <col min="7681" max="7681" width="4.28515625" style="386" customWidth="1"/>
    <col min="7682" max="7682" width="8.7109375" style="386" customWidth="1"/>
    <col min="7683" max="7683" width="5.5703125" style="386" customWidth="1"/>
    <col min="7684" max="7684" width="10.140625" style="386" customWidth="1"/>
    <col min="7685" max="7685" width="10.42578125" style="386" customWidth="1"/>
    <col min="7686" max="7686" width="10.28515625" style="386" customWidth="1"/>
    <col min="7687" max="7687" width="14" style="386" customWidth="1"/>
    <col min="7688" max="7688" width="14.28515625" style="386" customWidth="1"/>
    <col min="7689" max="7689" width="11.28515625" style="386" customWidth="1"/>
    <col min="7690" max="7936" width="9.140625" style="386"/>
    <col min="7937" max="7937" width="4.28515625" style="386" customWidth="1"/>
    <col min="7938" max="7938" width="8.7109375" style="386" customWidth="1"/>
    <col min="7939" max="7939" width="5.5703125" style="386" customWidth="1"/>
    <col min="7940" max="7940" width="10.140625" style="386" customWidth="1"/>
    <col min="7941" max="7941" width="10.42578125" style="386" customWidth="1"/>
    <col min="7942" max="7942" width="10.28515625" style="386" customWidth="1"/>
    <col min="7943" max="7943" width="14" style="386" customWidth="1"/>
    <col min="7944" max="7944" width="14.28515625" style="386" customWidth="1"/>
    <col min="7945" max="7945" width="11.28515625" style="386" customWidth="1"/>
    <col min="7946" max="8192" width="9.140625" style="386"/>
    <col min="8193" max="8193" width="4.28515625" style="386" customWidth="1"/>
    <col min="8194" max="8194" width="8.7109375" style="386" customWidth="1"/>
    <col min="8195" max="8195" width="5.5703125" style="386" customWidth="1"/>
    <col min="8196" max="8196" width="10.140625" style="386" customWidth="1"/>
    <col min="8197" max="8197" width="10.42578125" style="386" customWidth="1"/>
    <col min="8198" max="8198" width="10.28515625" style="386" customWidth="1"/>
    <col min="8199" max="8199" width="14" style="386" customWidth="1"/>
    <col min="8200" max="8200" width="14.28515625" style="386" customWidth="1"/>
    <col min="8201" max="8201" width="11.28515625" style="386" customWidth="1"/>
    <col min="8202" max="8448" width="9.140625" style="386"/>
    <col min="8449" max="8449" width="4.28515625" style="386" customWidth="1"/>
    <col min="8450" max="8450" width="8.7109375" style="386" customWidth="1"/>
    <col min="8451" max="8451" width="5.5703125" style="386" customWidth="1"/>
    <col min="8452" max="8452" width="10.140625" style="386" customWidth="1"/>
    <col min="8453" max="8453" width="10.42578125" style="386" customWidth="1"/>
    <col min="8454" max="8454" width="10.28515625" style="386" customWidth="1"/>
    <col min="8455" max="8455" width="14" style="386" customWidth="1"/>
    <col min="8456" max="8456" width="14.28515625" style="386" customWidth="1"/>
    <col min="8457" max="8457" width="11.28515625" style="386" customWidth="1"/>
    <col min="8458" max="8704" width="9.140625" style="386"/>
    <col min="8705" max="8705" width="4.28515625" style="386" customWidth="1"/>
    <col min="8706" max="8706" width="8.7109375" style="386" customWidth="1"/>
    <col min="8707" max="8707" width="5.5703125" style="386" customWidth="1"/>
    <col min="8708" max="8708" width="10.140625" style="386" customWidth="1"/>
    <col min="8709" max="8709" width="10.42578125" style="386" customWidth="1"/>
    <col min="8710" max="8710" width="10.28515625" style="386" customWidth="1"/>
    <col min="8711" max="8711" width="14" style="386" customWidth="1"/>
    <col min="8712" max="8712" width="14.28515625" style="386" customWidth="1"/>
    <col min="8713" max="8713" width="11.28515625" style="386" customWidth="1"/>
    <col min="8714" max="8960" width="9.140625" style="386"/>
    <col min="8961" max="8961" width="4.28515625" style="386" customWidth="1"/>
    <col min="8962" max="8962" width="8.7109375" style="386" customWidth="1"/>
    <col min="8963" max="8963" width="5.5703125" style="386" customWidth="1"/>
    <col min="8964" max="8964" width="10.140625" style="386" customWidth="1"/>
    <col min="8965" max="8965" width="10.42578125" style="386" customWidth="1"/>
    <col min="8966" max="8966" width="10.28515625" style="386" customWidth="1"/>
    <col min="8967" max="8967" width="14" style="386" customWidth="1"/>
    <col min="8968" max="8968" width="14.28515625" style="386" customWidth="1"/>
    <col min="8969" max="8969" width="11.28515625" style="386" customWidth="1"/>
    <col min="8970" max="9216" width="9.140625" style="386"/>
    <col min="9217" max="9217" width="4.28515625" style="386" customWidth="1"/>
    <col min="9218" max="9218" width="8.7109375" style="386" customWidth="1"/>
    <col min="9219" max="9219" width="5.5703125" style="386" customWidth="1"/>
    <col min="9220" max="9220" width="10.140625" style="386" customWidth="1"/>
    <col min="9221" max="9221" width="10.42578125" style="386" customWidth="1"/>
    <col min="9222" max="9222" width="10.28515625" style="386" customWidth="1"/>
    <col min="9223" max="9223" width="14" style="386" customWidth="1"/>
    <col min="9224" max="9224" width="14.28515625" style="386" customWidth="1"/>
    <col min="9225" max="9225" width="11.28515625" style="386" customWidth="1"/>
    <col min="9226" max="9472" width="9.140625" style="386"/>
    <col min="9473" max="9473" width="4.28515625" style="386" customWidth="1"/>
    <col min="9474" max="9474" width="8.7109375" style="386" customWidth="1"/>
    <col min="9475" max="9475" width="5.5703125" style="386" customWidth="1"/>
    <col min="9476" max="9476" width="10.140625" style="386" customWidth="1"/>
    <col min="9477" max="9477" width="10.42578125" style="386" customWidth="1"/>
    <col min="9478" max="9478" width="10.28515625" style="386" customWidth="1"/>
    <col min="9479" max="9479" width="14" style="386" customWidth="1"/>
    <col min="9480" max="9480" width="14.28515625" style="386" customWidth="1"/>
    <col min="9481" max="9481" width="11.28515625" style="386" customWidth="1"/>
    <col min="9482" max="9728" width="9.140625" style="386"/>
    <col min="9729" max="9729" width="4.28515625" style="386" customWidth="1"/>
    <col min="9730" max="9730" width="8.7109375" style="386" customWidth="1"/>
    <col min="9731" max="9731" width="5.5703125" style="386" customWidth="1"/>
    <col min="9732" max="9732" width="10.140625" style="386" customWidth="1"/>
    <col min="9733" max="9733" width="10.42578125" style="386" customWidth="1"/>
    <col min="9734" max="9734" width="10.28515625" style="386" customWidth="1"/>
    <col min="9735" max="9735" width="14" style="386" customWidth="1"/>
    <col min="9736" max="9736" width="14.28515625" style="386" customWidth="1"/>
    <col min="9737" max="9737" width="11.28515625" style="386" customWidth="1"/>
    <col min="9738" max="9984" width="9.140625" style="386"/>
    <col min="9985" max="9985" width="4.28515625" style="386" customWidth="1"/>
    <col min="9986" max="9986" width="8.7109375" style="386" customWidth="1"/>
    <col min="9987" max="9987" width="5.5703125" style="386" customWidth="1"/>
    <col min="9988" max="9988" width="10.140625" style="386" customWidth="1"/>
    <col min="9989" max="9989" width="10.42578125" style="386" customWidth="1"/>
    <col min="9990" max="9990" width="10.28515625" style="386" customWidth="1"/>
    <col min="9991" max="9991" width="14" style="386" customWidth="1"/>
    <col min="9992" max="9992" width="14.28515625" style="386" customWidth="1"/>
    <col min="9993" max="9993" width="11.28515625" style="386" customWidth="1"/>
    <col min="9994" max="10240" width="9.140625" style="386"/>
    <col min="10241" max="10241" width="4.28515625" style="386" customWidth="1"/>
    <col min="10242" max="10242" width="8.7109375" style="386" customWidth="1"/>
    <col min="10243" max="10243" width="5.5703125" style="386" customWidth="1"/>
    <col min="10244" max="10244" width="10.140625" style="386" customWidth="1"/>
    <col min="10245" max="10245" width="10.42578125" style="386" customWidth="1"/>
    <col min="10246" max="10246" width="10.28515625" style="386" customWidth="1"/>
    <col min="10247" max="10247" width="14" style="386" customWidth="1"/>
    <col min="10248" max="10248" width="14.28515625" style="386" customWidth="1"/>
    <col min="10249" max="10249" width="11.28515625" style="386" customWidth="1"/>
    <col min="10250" max="10496" width="9.140625" style="386"/>
    <col min="10497" max="10497" width="4.28515625" style="386" customWidth="1"/>
    <col min="10498" max="10498" width="8.7109375" style="386" customWidth="1"/>
    <col min="10499" max="10499" width="5.5703125" style="386" customWidth="1"/>
    <col min="10500" max="10500" width="10.140625" style="386" customWidth="1"/>
    <col min="10501" max="10501" width="10.42578125" style="386" customWidth="1"/>
    <col min="10502" max="10502" width="10.28515625" style="386" customWidth="1"/>
    <col min="10503" max="10503" width="14" style="386" customWidth="1"/>
    <col min="10504" max="10504" width="14.28515625" style="386" customWidth="1"/>
    <col min="10505" max="10505" width="11.28515625" style="386" customWidth="1"/>
    <col min="10506" max="10752" width="9.140625" style="386"/>
    <col min="10753" max="10753" width="4.28515625" style="386" customWidth="1"/>
    <col min="10754" max="10754" width="8.7109375" style="386" customWidth="1"/>
    <col min="10755" max="10755" width="5.5703125" style="386" customWidth="1"/>
    <col min="10756" max="10756" width="10.140625" style="386" customWidth="1"/>
    <col min="10757" max="10757" width="10.42578125" style="386" customWidth="1"/>
    <col min="10758" max="10758" width="10.28515625" style="386" customWidth="1"/>
    <col min="10759" max="10759" width="14" style="386" customWidth="1"/>
    <col min="10760" max="10760" width="14.28515625" style="386" customWidth="1"/>
    <col min="10761" max="10761" width="11.28515625" style="386" customWidth="1"/>
    <col min="10762" max="11008" width="9.140625" style="386"/>
    <col min="11009" max="11009" width="4.28515625" style="386" customWidth="1"/>
    <col min="11010" max="11010" width="8.7109375" style="386" customWidth="1"/>
    <col min="11011" max="11011" width="5.5703125" style="386" customWidth="1"/>
    <col min="11012" max="11012" width="10.140625" style="386" customWidth="1"/>
    <col min="11013" max="11013" width="10.42578125" style="386" customWidth="1"/>
    <col min="11014" max="11014" width="10.28515625" style="386" customWidth="1"/>
    <col min="11015" max="11015" width="14" style="386" customWidth="1"/>
    <col min="11016" max="11016" width="14.28515625" style="386" customWidth="1"/>
    <col min="11017" max="11017" width="11.28515625" style="386" customWidth="1"/>
    <col min="11018" max="11264" width="9.140625" style="386"/>
    <col min="11265" max="11265" width="4.28515625" style="386" customWidth="1"/>
    <col min="11266" max="11266" width="8.7109375" style="386" customWidth="1"/>
    <col min="11267" max="11267" width="5.5703125" style="386" customWidth="1"/>
    <col min="11268" max="11268" width="10.140625" style="386" customWidth="1"/>
    <col min="11269" max="11269" width="10.42578125" style="386" customWidth="1"/>
    <col min="11270" max="11270" width="10.28515625" style="386" customWidth="1"/>
    <col min="11271" max="11271" width="14" style="386" customWidth="1"/>
    <col min="11272" max="11272" width="14.28515625" style="386" customWidth="1"/>
    <col min="11273" max="11273" width="11.28515625" style="386" customWidth="1"/>
    <col min="11274" max="11520" width="9.140625" style="386"/>
    <col min="11521" max="11521" width="4.28515625" style="386" customWidth="1"/>
    <col min="11522" max="11522" width="8.7109375" style="386" customWidth="1"/>
    <col min="11523" max="11523" width="5.5703125" style="386" customWidth="1"/>
    <col min="11524" max="11524" width="10.140625" style="386" customWidth="1"/>
    <col min="11525" max="11525" width="10.42578125" style="386" customWidth="1"/>
    <col min="11526" max="11526" width="10.28515625" style="386" customWidth="1"/>
    <col min="11527" max="11527" width="14" style="386" customWidth="1"/>
    <col min="11528" max="11528" width="14.28515625" style="386" customWidth="1"/>
    <col min="11529" max="11529" width="11.28515625" style="386" customWidth="1"/>
    <col min="11530" max="11776" width="9.140625" style="386"/>
    <col min="11777" max="11777" width="4.28515625" style="386" customWidth="1"/>
    <col min="11778" max="11778" width="8.7109375" style="386" customWidth="1"/>
    <col min="11779" max="11779" width="5.5703125" style="386" customWidth="1"/>
    <col min="11780" max="11780" width="10.140625" style="386" customWidth="1"/>
    <col min="11781" max="11781" width="10.42578125" style="386" customWidth="1"/>
    <col min="11782" max="11782" width="10.28515625" style="386" customWidth="1"/>
    <col min="11783" max="11783" width="14" style="386" customWidth="1"/>
    <col min="11784" max="11784" width="14.28515625" style="386" customWidth="1"/>
    <col min="11785" max="11785" width="11.28515625" style="386" customWidth="1"/>
    <col min="11786" max="12032" width="9.140625" style="386"/>
    <col min="12033" max="12033" width="4.28515625" style="386" customWidth="1"/>
    <col min="12034" max="12034" width="8.7109375" style="386" customWidth="1"/>
    <col min="12035" max="12035" width="5.5703125" style="386" customWidth="1"/>
    <col min="12036" max="12036" width="10.140625" style="386" customWidth="1"/>
    <col min="12037" max="12037" width="10.42578125" style="386" customWidth="1"/>
    <col min="12038" max="12038" width="10.28515625" style="386" customWidth="1"/>
    <col min="12039" max="12039" width="14" style="386" customWidth="1"/>
    <col min="12040" max="12040" width="14.28515625" style="386" customWidth="1"/>
    <col min="12041" max="12041" width="11.28515625" style="386" customWidth="1"/>
    <col min="12042" max="12288" width="9.140625" style="386"/>
    <col min="12289" max="12289" width="4.28515625" style="386" customWidth="1"/>
    <col min="12290" max="12290" width="8.7109375" style="386" customWidth="1"/>
    <col min="12291" max="12291" width="5.5703125" style="386" customWidth="1"/>
    <col min="12292" max="12292" width="10.140625" style="386" customWidth="1"/>
    <col min="12293" max="12293" width="10.42578125" style="386" customWidth="1"/>
    <col min="12294" max="12294" width="10.28515625" style="386" customWidth="1"/>
    <col min="12295" max="12295" width="14" style="386" customWidth="1"/>
    <col min="12296" max="12296" width="14.28515625" style="386" customWidth="1"/>
    <col min="12297" max="12297" width="11.28515625" style="386" customWidth="1"/>
    <col min="12298" max="12544" width="9.140625" style="386"/>
    <col min="12545" max="12545" width="4.28515625" style="386" customWidth="1"/>
    <col min="12546" max="12546" width="8.7109375" style="386" customWidth="1"/>
    <col min="12547" max="12547" width="5.5703125" style="386" customWidth="1"/>
    <col min="12548" max="12548" width="10.140625" style="386" customWidth="1"/>
    <col min="12549" max="12549" width="10.42578125" style="386" customWidth="1"/>
    <col min="12550" max="12550" width="10.28515625" style="386" customWidth="1"/>
    <col min="12551" max="12551" width="14" style="386" customWidth="1"/>
    <col min="12552" max="12552" width="14.28515625" style="386" customWidth="1"/>
    <col min="12553" max="12553" width="11.28515625" style="386" customWidth="1"/>
    <col min="12554" max="12800" width="9.140625" style="386"/>
    <col min="12801" max="12801" width="4.28515625" style="386" customWidth="1"/>
    <col min="12802" max="12802" width="8.7109375" style="386" customWidth="1"/>
    <col min="12803" max="12803" width="5.5703125" style="386" customWidth="1"/>
    <col min="12804" max="12804" width="10.140625" style="386" customWidth="1"/>
    <col min="12805" max="12805" width="10.42578125" style="386" customWidth="1"/>
    <col min="12806" max="12806" width="10.28515625" style="386" customWidth="1"/>
    <col min="12807" max="12807" width="14" style="386" customWidth="1"/>
    <col min="12808" max="12808" width="14.28515625" style="386" customWidth="1"/>
    <col min="12809" max="12809" width="11.28515625" style="386" customWidth="1"/>
    <col min="12810" max="13056" width="9.140625" style="386"/>
    <col min="13057" max="13057" width="4.28515625" style="386" customWidth="1"/>
    <col min="13058" max="13058" width="8.7109375" style="386" customWidth="1"/>
    <col min="13059" max="13059" width="5.5703125" style="386" customWidth="1"/>
    <col min="13060" max="13060" width="10.140625" style="386" customWidth="1"/>
    <col min="13061" max="13061" width="10.42578125" style="386" customWidth="1"/>
    <col min="13062" max="13062" width="10.28515625" style="386" customWidth="1"/>
    <col min="13063" max="13063" width="14" style="386" customWidth="1"/>
    <col min="13064" max="13064" width="14.28515625" style="386" customWidth="1"/>
    <col min="13065" max="13065" width="11.28515625" style="386" customWidth="1"/>
    <col min="13066" max="13312" width="9.140625" style="386"/>
    <col min="13313" max="13313" width="4.28515625" style="386" customWidth="1"/>
    <col min="13314" max="13314" width="8.7109375" style="386" customWidth="1"/>
    <col min="13315" max="13315" width="5.5703125" style="386" customWidth="1"/>
    <col min="13316" max="13316" width="10.140625" style="386" customWidth="1"/>
    <col min="13317" max="13317" width="10.42578125" style="386" customWidth="1"/>
    <col min="13318" max="13318" width="10.28515625" style="386" customWidth="1"/>
    <col min="13319" max="13319" width="14" style="386" customWidth="1"/>
    <col min="13320" max="13320" width="14.28515625" style="386" customWidth="1"/>
    <col min="13321" max="13321" width="11.28515625" style="386" customWidth="1"/>
    <col min="13322" max="13568" width="9.140625" style="386"/>
    <col min="13569" max="13569" width="4.28515625" style="386" customWidth="1"/>
    <col min="13570" max="13570" width="8.7109375" style="386" customWidth="1"/>
    <col min="13571" max="13571" width="5.5703125" style="386" customWidth="1"/>
    <col min="13572" max="13572" width="10.140625" style="386" customWidth="1"/>
    <col min="13573" max="13573" width="10.42578125" style="386" customWidth="1"/>
    <col min="13574" max="13574" width="10.28515625" style="386" customWidth="1"/>
    <col min="13575" max="13575" width="14" style="386" customWidth="1"/>
    <col min="13576" max="13576" width="14.28515625" style="386" customWidth="1"/>
    <col min="13577" max="13577" width="11.28515625" style="386" customWidth="1"/>
    <col min="13578" max="13824" width="9.140625" style="386"/>
    <col min="13825" max="13825" width="4.28515625" style="386" customWidth="1"/>
    <col min="13826" max="13826" width="8.7109375" style="386" customWidth="1"/>
    <col min="13827" max="13827" width="5.5703125" style="386" customWidth="1"/>
    <col min="13828" max="13828" width="10.140625" style="386" customWidth="1"/>
    <col min="13829" max="13829" width="10.42578125" style="386" customWidth="1"/>
    <col min="13830" max="13830" width="10.28515625" style="386" customWidth="1"/>
    <col min="13831" max="13831" width="14" style="386" customWidth="1"/>
    <col min="13832" max="13832" width="14.28515625" style="386" customWidth="1"/>
    <col min="13833" max="13833" width="11.28515625" style="386" customWidth="1"/>
    <col min="13834" max="14080" width="9.140625" style="386"/>
    <col min="14081" max="14081" width="4.28515625" style="386" customWidth="1"/>
    <col min="14082" max="14082" width="8.7109375" style="386" customWidth="1"/>
    <col min="14083" max="14083" width="5.5703125" style="386" customWidth="1"/>
    <col min="14084" max="14084" width="10.140625" style="386" customWidth="1"/>
    <col min="14085" max="14085" width="10.42578125" style="386" customWidth="1"/>
    <col min="14086" max="14086" width="10.28515625" style="386" customWidth="1"/>
    <col min="14087" max="14087" width="14" style="386" customWidth="1"/>
    <col min="14088" max="14088" width="14.28515625" style="386" customWidth="1"/>
    <col min="14089" max="14089" width="11.28515625" style="386" customWidth="1"/>
    <col min="14090" max="14336" width="9.140625" style="386"/>
    <col min="14337" max="14337" width="4.28515625" style="386" customWidth="1"/>
    <col min="14338" max="14338" width="8.7109375" style="386" customWidth="1"/>
    <col min="14339" max="14339" width="5.5703125" style="386" customWidth="1"/>
    <col min="14340" max="14340" width="10.140625" style="386" customWidth="1"/>
    <col min="14341" max="14341" width="10.42578125" style="386" customWidth="1"/>
    <col min="14342" max="14342" width="10.28515625" style="386" customWidth="1"/>
    <col min="14343" max="14343" width="14" style="386" customWidth="1"/>
    <col min="14344" max="14344" width="14.28515625" style="386" customWidth="1"/>
    <col min="14345" max="14345" width="11.28515625" style="386" customWidth="1"/>
    <col min="14346" max="14592" width="9.140625" style="386"/>
    <col min="14593" max="14593" width="4.28515625" style="386" customWidth="1"/>
    <col min="14594" max="14594" width="8.7109375" style="386" customWidth="1"/>
    <col min="14595" max="14595" width="5.5703125" style="386" customWidth="1"/>
    <col min="14596" max="14596" width="10.140625" style="386" customWidth="1"/>
    <col min="14597" max="14597" width="10.42578125" style="386" customWidth="1"/>
    <col min="14598" max="14598" width="10.28515625" style="386" customWidth="1"/>
    <col min="14599" max="14599" width="14" style="386" customWidth="1"/>
    <col min="14600" max="14600" width="14.28515625" style="386" customWidth="1"/>
    <col min="14601" max="14601" width="11.28515625" style="386" customWidth="1"/>
    <col min="14602" max="14848" width="9.140625" style="386"/>
    <col min="14849" max="14849" width="4.28515625" style="386" customWidth="1"/>
    <col min="14850" max="14850" width="8.7109375" style="386" customWidth="1"/>
    <col min="14851" max="14851" width="5.5703125" style="386" customWidth="1"/>
    <col min="14852" max="14852" width="10.140625" style="386" customWidth="1"/>
    <col min="14853" max="14853" width="10.42578125" style="386" customWidth="1"/>
    <col min="14854" max="14854" width="10.28515625" style="386" customWidth="1"/>
    <col min="14855" max="14855" width="14" style="386" customWidth="1"/>
    <col min="14856" max="14856" width="14.28515625" style="386" customWidth="1"/>
    <col min="14857" max="14857" width="11.28515625" style="386" customWidth="1"/>
    <col min="14858" max="15104" width="9.140625" style="386"/>
    <col min="15105" max="15105" width="4.28515625" style="386" customWidth="1"/>
    <col min="15106" max="15106" width="8.7109375" style="386" customWidth="1"/>
    <col min="15107" max="15107" width="5.5703125" style="386" customWidth="1"/>
    <col min="15108" max="15108" width="10.140625" style="386" customWidth="1"/>
    <col min="15109" max="15109" width="10.42578125" style="386" customWidth="1"/>
    <col min="15110" max="15110" width="10.28515625" style="386" customWidth="1"/>
    <col min="15111" max="15111" width="14" style="386" customWidth="1"/>
    <col min="15112" max="15112" width="14.28515625" style="386" customWidth="1"/>
    <col min="15113" max="15113" width="11.28515625" style="386" customWidth="1"/>
    <col min="15114" max="15360" width="9.140625" style="386"/>
    <col min="15361" max="15361" width="4.28515625" style="386" customWidth="1"/>
    <col min="15362" max="15362" width="8.7109375" style="386" customWidth="1"/>
    <col min="15363" max="15363" width="5.5703125" style="386" customWidth="1"/>
    <col min="15364" max="15364" width="10.140625" style="386" customWidth="1"/>
    <col min="15365" max="15365" width="10.42578125" style="386" customWidth="1"/>
    <col min="15366" max="15366" width="10.28515625" style="386" customWidth="1"/>
    <col min="15367" max="15367" width="14" style="386" customWidth="1"/>
    <col min="15368" max="15368" width="14.28515625" style="386" customWidth="1"/>
    <col min="15369" max="15369" width="11.28515625" style="386" customWidth="1"/>
    <col min="15370" max="15616" width="9.140625" style="386"/>
    <col min="15617" max="15617" width="4.28515625" style="386" customWidth="1"/>
    <col min="15618" max="15618" width="8.7109375" style="386" customWidth="1"/>
    <col min="15619" max="15619" width="5.5703125" style="386" customWidth="1"/>
    <col min="15620" max="15620" width="10.140625" style="386" customWidth="1"/>
    <col min="15621" max="15621" width="10.42578125" style="386" customWidth="1"/>
    <col min="15622" max="15622" width="10.28515625" style="386" customWidth="1"/>
    <col min="15623" max="15623" width="14" style="386" customWidth="1"/>
    <col min="15624" max="15624" width="14.28515625" style="386" customWidth="1"/>
    <col min="15625" max="15625" width="11.28515625" style="386" customWidth="1"/>
    <col min="15626" max="15872" width="9.140625" style="386"/>
    <col min="15873" max="15873" width="4.28515625" style="386" customWidth="1"/>
    <col min="15874" max="15874" width="8.7109375" style="386" customWidth="1"/>
    <col min="15875" max="15875" width="5.5703125" style="386" customWidth="1"/>
    <col min="15876" max="15876" width="10.140625" style="386" customWidth="1"/>
    <col min="15877" max="15877" width="10.42578125" style="386" customWidth="1"/>
    <col min="15878" max="15878" width="10.28515625" style="386" customWidth="1"/>
    <col min="15879" max="15879" width="14" style="386" customWidth="1"/>
    <col min="15880" max="15880" width="14.28515625" style="386" customWidth="1"/>
    <col min="15881" max="15881" width="11.28515625" style="386" customWidth="1"/>
    <col min="15882" max="16128" width="9.140625" style="386"/>
    <col min="16129" max="16129" width="4.28515625" style="386" customWidth="1"/>
    <col min="16130" max="16130" width="8.7109375" style="386" customWidth="1"/>
    <col min="16131" max="16131" width="5.5703125" style="386" customWidth="1"/>
    <col min="16132" max="16132" width="10.140625" style="386" customWidth="1"/>
    <col min="16133" max="16133" width="10.42578125" style="386" customWidth="1"/>
    <col min="16134" max="16134" width="10.28515625" style="386" customWidth="1"/>
    <col min="16135" max="16135" width="14" style="386" customWidth="1"/>
    <col min="16136" max="16136" width="14.28515625" style="386" customWidth="1"/>
    <col min="16137" max="16137" width="11.28515625" style="386" customWidth="1"/>
    <col min="16138" max="16384" width="9.140625" style="386"/>
  </cols>
  <sheetData>
    <row r="1" spans="1:9" x14ac:dyDescent="0.2">
      <c r="G1" s="166"/>
      <c r="H1" s="166" t="s">
        <v>17</v>
      </c>
    </row>
    <row r="2" spans="1:9" x14ac:dyDescent="0.2">
      <c r="G2" s="166"/>
      <c r="H2" s="3" t="s">
        <v>266</v>
      </c>
    </row>
    <row r="3" spans="1:9" x14ac:dyDescent="0.2">
      <c r="G3" s="166"/>
      <c r="H3" s="3" t="s">
        <v>64</v>
      </c>
    </row>
    <row r="4" spans="1:9" x14ac:dyDescent="0.2">
      <c r="G4" s="166"/>
      <c r="H4" s="3" t="s">
        <v>267</v>
      </c>
    </row>
    <row r="5" spans="1:9" x14ac:dyDescent="0.2">
      <c r="H5" s="167"/>
    </row>
    <row r="7" spans="1:9" ht="35.25" customHeight="1" x14ac:dyDescent="0.2">
      <c r="A7" s="168" t="s">
        <v>268</v>
      </c>
      <c r="B7" s="168"/>
      <c r="C7" s="168"/>
      <c r="D7" s="168"/>
      <c r="E7" s="168"/>
      <c r="F7" s="168"/>
      <c r="G7" s="168"/>
      <c r="H7" s="168"/>
      <c r="I7" s="168"/>
    </row>
    <row r="8" spans="1:9" ht="18" customHeight="1" x14ac:dyDescent="0.2">
      <c r="A8" s="169"/>
      <c r="B8" s="169"/>
      <c r="C8" s="169"/>
      <c r="D8" s="169"/>
      <c r="E8" s="169"/>
      <c r="F8" s="169"/>
      <c r="G8" s="169"/>
      <c r="H8" s="169"/>
      <c r="I8" s="169"/>
    </row>
    <row r="9" spans="1:9" ht="13.5" customHeight="1" x14ac:dyDescent="0.2">
      <c r="I9" s="170" t="s">
        <v>1</v>
      </c>
    </row>
    <row r="10" spans="1:9" ht="13.5" customHeight="1" x14ac:dyDescent="0.2">
      <c r="A10" s="171"/>
      <c r="B10" s="171"/>
      <c r="C10" s="171"/>
      <c r="D10" s="172"/>
      <c r="E10" s="172"/>
      <c r="F10" s="173" t="s">
        <v>269</v>
      </c>
      <c r="G10" s="174"/>
      <c r="H10" s="174"/>
      <c r="I10" s="175"/>
    </row>
    <row r="11" spans="1:9" ht="33.75" customHeight="1" x14ac:dyDescent="0.2">
      <c r="A11" s="176" t="s">
        <v>18</v>
      </c>
      <c r="B11" s="176" t="s">
        <v>21</v>
      </c>
      <c r="C11" s="176" t="s">
        <v>5</v>
      </c>
      <c r="D11" s="177" t="s">
        <v>270</v>
      </c>
      <c r="E11" s="177" t="s">
        <v>271</v>
      </c>
      <c r="F11" s="172"/>
      <c r="G11" s="173" t="s">
        <v>26</v>
      </c>
      <c r="H11" s="175"/>
      <c r="I11" s="172"/>
    </row>
    <row r="12" spans="1:9" ht="39.75" customHeight="1" x14ac:dyDescent="0.2">
      <c r="A12" s="178"/>
      <c r="B12" s="178"/>
      <c r="C12" s="178"/>
      <c r="D12" s="178"/>
      <c r="E12" s="179"/>
      <c r="F12" s="180" t="s">
        <v>272</v>
      </c>
      <c r="G12" s="181" t="s">
        <v>273</v>
      </c>
      <c r="H12" s="181" t="s">
        <v>274</v>
      </c>
      <c r="I12" s="180" t="s">
        <v>275</v>
      </c>
    </row>
    <row r="13" spans="1:9" ht="10.5" customHeight="1" x14ac:dyDescent="0.2">
      <c r="A13" s="182">
        <v>1</v>
      </c>
      <c r="B13" s="182">
        <v>2</v>
      </c>
      <c r="C13" s="182">
        <v>3</v>
      </c>
      <c r="D13" s="182">
        <v>4</v>
      </c>
      <c r="E13" s="182">
        <v>5</v>
      </c>
      <c r="F13" s="182">
        <v>6</v>
      </c>
      <c r="G13" s="182">
        <v>7</v>
      </c>
      <c r="H13" s="182">
        <v>8</v>
      </c>
      <c r="I13" s="182">
        <v>9</v>
      </c>
    </row>
    <row r="14" spans="1:9" ht="20.25" customHeight="1" x14ac:dyDescent="0.2">
      <c r="A14" s="388">
        <v>710</v>
      </c>
      <c r="B14" s="388">
        <v>71035</v>
      </c>
      <c r="C14" s="388">
        <v>2020</v>
      </c>
      <c r="D14" s="389">
        <f>9000+10000</f>
        <v>19000</v>
      </c>
      <c r="E14" s="389">
        <f t="shared" ref="E14:E19" si="0">SUM(F14,I14)</f>
        <v>19000</v>
      </c>
      <c r="F14" s="389">
        <f>9000+10000</f>
        <v>19000</v>
      </c>
      <c r="G14" s="389">
        <v>0</v>
      </c>
      <c r="H14" s="389">
        <v>0</v>
      </c>
      <c r="I14" s="389">
        <v>0</v>
      </c>
    </row>
    <row r="15" spans="1:9" ht="20.25" customHeight="1" x14ac:dyDescent="0.2">
      <c r="A15" s="388">
        <v>750</v>
      </c>
      <c r="B15" s="388">
        <v>75045</v>
      </c>
      <c r="C15" s="390">
        <v>2120</v>
      </c>
      <c r="D15" s="391">
        <f>25400+3340+960</f>
        <v>29700</v>
      </c>
      <c r="E15" s="389">
        <f t="shared" si="0"/>
        <v>29700</v>
      </c>
      <c r="F15" s="389">
        <f>25400+3340+960</f>
        <v>29700</v>
      </c>
      <c r="G15" s="389">
        <f>25400+3340-6600+960</f>
        <v>23100</v>
      </c>
      <c r="H15" s="389">
        <v>0</v>
      </c>
      <c r="I15" s="389">
        <v>0</v>
      </c>
    </row>
    <row r="16" spans="1:9" ht="20.25" customHeight="1" x14ac:dyDescent="0.2">
      <c r="A16" s="388">
        <v>754</v>
      </c>
      <c r="B16" s="388">
        <v>75421</v>
      </c>
      <c r="C16" s="390">
        <v>2020</v>
      </c>
      <c r="D16" s="391">
        <f>414000-342000-12676.83</f>
        <v>59323.17</v>
      </c>
      <c r="E16" s="389">
        <f t="shared" si="0"/>
        <v>59323.17</v>
      </c>
      <c r="F16" s="389">
        <f>414000-342000-12676.83</f>
        <v>59323.17</v>
      </c>
      <c r="G16" s="389">
        <v>0</v>
      </c>
      <c r="H16" s="389">
        <v>0</v>
      </c>
      <c r="I16" s="389">
        <v>0</v>
      </c>
    </row>
    <row r="17" spans="1:11" ht="20.25" customHeight="1" x14ac:dyDescent="0.2">
      <c r="A17" s="388">
        <v>801</v>
      </c>
      <c r="B17" s="388">
        <v>80146</v>
      </c>
      <c r="C17" s="390">
        <v>2020</v>
      </c>
      <c r="D17" s="391">
        <f>13423+7</f>
        <v>13430</v>
      </c>
      <c r="E17" s="389">
        <f t="shared" si="0"/>
        <v>13430</v>
      </c>
      <c r="F17" s="389">
        <f>13423+7</f>
        <v>13430</v>
      </c>
      <c r="G17" s="389">
        <f>13423+7</f>
        <v>13430</v>
      </c>
      <c r="H17" s="389">
        <v>0</v>
      </c>
      <c r="I17" s="389">
        <v>0</v>
      </c>
      <c r="K17" s="183"/>
    </row>
    <row r="18" spans="1:11" ht="20.25" customHeight="1" x14ac:dyDescent="0.2">
      <c r="A18" s="388">
        <v>801</v>
      </c>
      <c r="B18" s="388">
        <v>80146</v>
      </c>
      <c r="C18" s="390">
        <v>2120</v>
      </c>
      <c r="D18" s="391">
        <f>186000+116810-9551</f>
        <v>293259</v>
      </c>
      <c r="E18" s="389">
        <f t="shared" si="0"/>
        <v>293259</v>
      </c>
      <c r="F18" s="389">
        <f>186000+116810-9551</f>
        <v>293259</v>
      </c>
      <c r="G18" s="389">
        <f>178933+109204-1115-9551</f>
        <v>277471</v>
      </c>
      <c r="H18" s="389">
        <f>1115</f>
        <v>1115</v>
      </c>
      <c r="I18" s="389">
        <v>0</v>
      </c>
    </row>
    <row r="19" spans="1:11" ht="20.25" customHeight="1" x14ac:dyDescent="0.2">
      <c r="A19" s="388">
        <v>801</v>
      </c>
      <c r="B19" s="388">
        <v>80195</v>
      </c>
      <c r="C19" s="390">
        <v>2120</v>
      </c>
      <c r="D19" s="391">
        <v>351450</v>
      </c>
      <c r="E19" s="389">
        <f t="shared" si="0"/>
        <v>351450</v>
      </c>
      <c r="F19" s="389">
        <v>351450</v>
      </c>
      <c r="G19" s="389">
        <v>319500</v>
      </c>
      <c r="H19" s="389">
        <v>0</v>
      </c>
      <c r="I19" s="389">
        <v>0</v>
      </c>
    </row>
    <row r="20" spans="1:11" ht="20.25" customHeight="1" x14ac:dyDescent="0.2">
      <c r="A20" s="388">
        <v>852</v>
      </c>
      <c r="B20" s="388">
        <v>85205</v>
      </c>
      <c r="C20" s="390">
        <v>2020</v>
      </c>
      <c r="D20" s="391">
        <v>71260</v>
      </c>
      <c r="E20" s="389">
        <f>SUM(F20,I20)</f>
        <v>89950</v>
      </c>
      <c r="F20" s="389">
        <v>89950</v>
      </c>
      <c r="G20" s="389">
        <v>6000</v>
      </c>
      <c r="H20" s="389">
        <v>0</v>
      </c>
      <c r="I20" s="389">
        <v>0</v>
      </c>
    </row>
    <row r="21" spans="1:11" ht="23.25" customHeight="1" x14ac:dyDescent="0.2">
      <c r="A21" s="392" t="s">
        <v>42</v>
      </c>
      <c r="B21" s="393"/>
      <c r="C21" s="394"/>
      <c r="D21" s="395">
        <f t="shared" ref="D21:I21" si="1">SUM(D14:D20)</f>
        <v>837422.16999999993</v>
      </c>
      <c r="E21" s="395">
        <f t="shared" si="1"/>
        <v>856112.16999999993</v>
      </c>
      <c r="F21" s="395">
        <f t="shared" si="1"/>
        <v>856112.16999999993</v>
      </c>
      <c r="G21" s="395">
        <f t="shared" si="1"/>
        <v>639501</v>
      </c>
      <c r="H21" s="395">
        <f t="shared" si="1"/>
        <v>1115</v>
      </c>
      <c r="I21" s="395">
        <f t="shared" si="1"/>
        <v>0</v>
      </c>
    </row>
    <row r="22" spans="1:11" ht="12" customHeight="1" x14ac:dyDescent="0.2"/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ED8BE-A603-4B98-BE09-C623E063FA03}">
  <sheetPr>
    <tabColor rgb="FF92D050"/>
  </sheetPr>
  <dimension ref="A1:G51"/>
  <sheetViews>
    <sheetView zoomScale="120" zoomScaleNormal="120" workbookViewId="0"/>
  </sheetViews>
  <sheetFormatPr defaultRowHeight="12.75" x14ac:dyDescent="0.2"/>
  <cols>
    <col min="1" max="1" width="4" style="396" customWidth="1"/>
    <col min="2" max="2" width="6.28515625" style="396" customWidth="1"/>
    <col min="3" max="3" width="8.42578125" style="396" customWidth="1"/>
    <col min="4" max="4" width="51.28515625" style="396" customWidth="1"/>
    <col min="5" max="5" width="21" style="396" customWidth="1"/>
    <col min="6" max="6" width="9.140625" style="396"/>
    <col min="7" max="7" width="10.7109375" style="184" customWidth="1"/>
    <col min="8" max="256" width="9.140625" style="396"/>
    <col min="257" max="257" width="4" style="396" customWidth="1"/>
    <col min="258" max="258" width="6.28515625" style="396" customWidth="1"/>
    <col min="259" max="259" width="8.42578125" style="396" customWidth="1"/>
    <col min="260" max="260" width="51.28515625" style="396" customWidth="1"/>
    <col min="261" max="261" width="21" style="396" customWidth="1"/>
    <col min="262" max="262" width="9.140625" style="396"/>
    <col min="263" max="263" width="10.7109375" style="396" customWidth="1"/>
    <col min="264" max="512" width="9.140625" style="396"/>
    <col min="513" max="513" width="4" style="396" customWidth="1"/>
    <col min="514" max="514" width="6.28515625" style="396" customWidth="1"/>
    <col min="515" max="515" width="8.42578125" style="396" customWidth="1"/>
    <col min="516" max="516" width="51.28515625" style="396" customWidth="1"/>
    <col min="517" max="517" width="21" style="396" customWidth="1"/>
    <col min="518" max="518" width="9.140625" style="396"/>
    <col min="519" max="519" width="10.7109375" style="396" customWidth="1"/>
    <col min="520" max="768" width="9.140625" style="396"/>
    <col min="769" max="769" width="4" style="396" customWidth="1"/>
    <col min="770" max="770" width="6.28515625" style="396" customWidth="1"/>
    <col min="771" max="771" width="8.42578125" style="396" customWidth="1"/>
    <col min="772" max="772" width="51.28515625" style="396" customWidth="1"/>
    <col min="773" max="773" width="21" style="396" customWidth="1"/>
    <col min="774" max="774" width="9.140625" style="396"/>
    <col min="775" max="775" width="10.7109375" style="396" customWidth="1"/>
    <col min="776" max="1024" width="9.140625" style="396"/>
    <col min="1025" max="1025" width="4" style="396" customWidth="1"/>
    <col min="1026" max="1026" width="6.28515625" style="396" customWidth="1"/>
    <col min="1027" max="1027" width="8.42578125" style="396" customWidth="1"/>
    <col min="1028" max="1028" width="51.28515625" style="396" customWidth="1"/>
    <col min="1029" max="1029" width="21" style="396" customWidth="1"/>
    <col min="1030" max="1030" width="9.140625" style="396"/>
    <col min="1031" max="1031" width="10.7109375" style="396" customWidth="1"/>
    <col min="1032" max="1280" width="9.140625" style="396"/>
    <col min="1281" max="1281" width="4" style="396" customWidth="1"/>
    <col min="1282" max="1282" width="6.28515625" style="396" customWidth="1"/>
    <col min="1283" max="1283" width="8.42578125" style="396" customWidth="1"/>
    <col min="1284" max="1284" width="51.28515625" style="396" customWidth="1"/>
    <col min="1285" max="1285" width="21" style="396" customWidth="1"/>
    <col min="1286" max="1286" width="9.140625" style="396"/>
    <col min="1287" max="1287" width="10.7109375" style="396" customWidth="1"/>
    <col min="1288" max="1536" width="9.140625" style="396"/>
    <col min="1537" max="1537" width="4" style="396" customWidth="1"/>
    <col min="1538" max="1538" width="6.28515625" style="396" customWidth="1"/>
    <col min="1539" max="1539" width="8.42578125" style="396" customWidth="1"/>
    <col min="1540" max="1540" width="51.28515625" style="396" customWidth="1"/>
    <col min="1541" max="1541" width="21" style="396" customWidth="1"/>
    <col min="1542" max="1542" width="9.140625" style="396"/>
    <col min="1543" max="1543" width="10.7109375" style="396" customWidth="1"/>
    <col min="1544" max="1792" width="9.140625" style="396"/>
    <col min="1793" max="1793" width="4" style="396" customWidth="1"/>
    <col min="1794" max="1794" width="6.28515625" style="396" customWidth="1"/>
    <col min="1795" max="1795" width="8.42578125" style="396" customWidth="1"/>
    <col min="1796" max="1796" width="51.28515625" style="396" customWidth="1"/>
    <col min="1797" max="1797" width="21" style="396" customWidth="1"/>
    <col min="1798" max="1798" width="9.140625" style="396"/>
    <col min="1799" max="1799" width="10.7109375" style="396" customWidth="1"/>
    <col min="1800" max="2048" width="9.140625" style="396"/>
    <col min="2049" max="2049" width="4" style="396" customWidth="1"/>
    <col min="2050" max="2050" width="6.28515625" style="396" customWidth="1"/>
    <col min="2051" max="2051" width="8.42578125" style="396" customWidth="1"/>
    <col min="2052" max="2052" width="51.28515625" style="396" customWidth="1"/>
    <col min="2053" max="2053" width="21" style="396" customWidth="1"/>
    <col min="2054" max="2054" width="9.140625" style="396"/>
    <col min="2055" max="2055" width="10.7109375" style="396" customWidth="1"/>
    <col min="2056" max="2304" width="9.140625" style="396"/>
    <col min="2305" max="2305" width="4" style="396" customWidth="1"/>
    <col min="2306" max="2306" width="6.28515625" style="396" customWidth="1"/>
    <col min="2307" max="2307" width="8.42578125" style="396" customWidth="1"/>
    <col min="2308" max="2308" width="51.28515625" style="396" customWidth="1"/>
    <col min="2309" max="2309" width="21" style="396" customWidth="1"/>
    <col min="2310" max="2310" width="9.140625" style="396"/>
    <col min="2311" max="2311" width="10.7109375" style="396" customWidth="1"/>
    <col min="2312" max="2560" width="9.140625" style="396"/>
    <col min="2561" max="2561" width="4" style="396" customWidth="1"/>
    <col min="2562" max="2562" width="6.28515625" style="396" customWidth="1"/>
    <col min="2563" max="2563" width="8.42578125" style="396" customWidth="1"/>
    <col min="2564" max="2564" width="51.28515625" style="396" customWidth="1"/>
    <col min="2565" max="2565" width="21" style="396" customWidth="1"/>
    <col min="2566" max="2566" width="9.140625" style="396"/>
    <col min="2567" max="2567" width="10.7109375" style="396" customWidth="1"/>
    <col min="2568" max="2816" width="9.140625" style="396"/>
    <col min="2817" max="2817" width="4" style="396" customWidth="1"/>
    <col min="2818" max="2818" width="6.28515625" style="396" customWidth="1"/>
    <col min="2819" max="2819" width="8.42578125" style="396" customWidth="1"/>
    <col min="2820" max="2820" width="51.28515625" style="396" customWidth="1"/>
    <col min="2821" max="2821" width="21" style="396" customWidth="1"/>
    <col min="2822" max="2822" width="9.140625" style="396"/>
    <col min="2823" max="2823" width="10.7109375" style="396" customWidth="1"/>
    <col min="2824" max="3072" width="9.140625" style="396"/>
    <col min="3073" max="3073" width="4" style="396" customWidth="1"/>
    <col min="3074" max="3074" width="6.28515625" style="396" customWidth="1"/>
    <col min="3075" max="3075" width="8.42578125" style="396" customWidth="1"/>
    <col min="3076" max="3076" width="51.28515625" style="396" customWidth="1"/>
    <col min="3077" max="3077" width="21" style="396" customWidth="1"/>
    <col min="3078" max="3078" width="9.140625" style="396"/>
    <col min="3079" max="3079" width="10.7109375" style="396" customWidth="1"/>
    <col min="3080" max="3328" width="9.140625" style="396"/>
    <col min="3329" max="3329" width="4" style="396" customWidth="1"/>
    <col min="3330" max="3330" width="6.28515625" style="396" customWidth="1"/>
    <col min="3331" max="3331" width="8.42578125" style="396" customWidth="1"/>
    <col min="3332" max="3332" width="51.28515625" style="396" customWidth="1"/>
    <col min="3333" max="3333" width="21" style="396" customWidth="1"/>
    <col min="3334" max="3334" width="9.140625" style="396"/>
    <col min="3335" max="3335" width="10.7109375" style="396" customWidth="1"/>
    <col min="3336" max="3584" width="9.140625" style="396"/>
    <col min="3585" max="3585" width="4" style="396" customWidth="1"/>
    <col min="3586" max="3586" width="6.28515625" style="396" customWidth="1"/>
    <col min="3587" max="3587" width="8.42578125" style="396" customWidth="1"/>
    <col min="3588" max="3588" width="51.28515625" style="396" customWidth="1"/>
    <col min="3589" max="3589" width="21" style="396" customWidth="1"/>
    <col min="3590" max="3590" width="9.140625" style="396"/>
    <col min="3591" max="3591" width="10.7109375" style="396" customWidth="1"/>
    <col min="3592" max="3840" width="9.140625" style="396"/>
    <col min="3841" max="3841" width="4" style="396" customWidth="1"/>
    <col min="3842" max="3842" width="6.28515625" style="396" customWidth="1"/>
    <col min="3843" max="3843" width="8.42578125" style="396" customWidth="1"/>
    <col min="3844" max="3844" width="51.28515625" style="396" customWidth="1"/>
    <col min="3845" max="3845" width="21" style="396" customWidth="1"/>
    <col min="3846" max="3846" width="9.140625" style="396"/>
    <col min="3847" max="3847" width="10.7109375" style="396" customWidth="1"/>
    <col min="3848" max="4096" width="9.140625" style="396"/>
    <col min="4097" max="4097" width="4" style="396" customWidth="1"/>
    <col min="4098" max="4098" width="6.28515625" style="396" customWidth="1"/>
    <col min="4099" max="4099" width="8.42578125" style="396" customWidth="1"/>
    <col min="4100" max="4100" width="51.28515625" style="396" customWidth="1"/>
    <col min="4101" max="4101" width="21" style="396" customWidth="1"/>
    <col min="4102" max="4102" width="9.140625" style="396"/>
    <col min="4103" max="4103" width="10.7109375" style="396" customWidth="1"/>
    <col min="4104" max="4352" width="9.140625" style="396"/>
    <col min="4353" max="4353" width="4" style="396" customWidth="1"/>
    <col min="4354" max="4354" width="6.28515625" style="396" customWidth="1"/>
    <col min="4355" max="4355" width="8.42578125" style="396" customWidth="1"/>
    <col min="4356" max="4356" width="51.28515625" style="396" customWidth="1"/>
    <col min="4357" max="4357" width="21" style="396" customWidth="1"/>
    <col min="4358" max="4358" width="9.140625" style="396"/>
    <col min="4359" max="4359" width="10.7109375" style="396" customWidth="1"/>
    <col min="4360" max="4608" width="9.140625" style="396"/>
    <col min="4609" max="4609" width="4" style="396" customWidth="1"/>
    <col min="4610" max="4610" width="6.28515625" style="396" customWidth="1"/>
    <col min="4611" max="4611" width="8.42578125" style="396" customWidth="1"/>
    <col min="4612" max="4612" width="51.28515625" style="396" customWidth="1"/>
    <col min="4613" max="4613" width="21" style="396" customWidth="1"/>
    <col min="4614" max="4614" width="9.140625" style="396"/>
    <col min="4615" max="4615" width="10.7109375" style="396" customWidth="1"/>
    <col min="4616" max="4864" width="9.140625" style="396"/>
    <col min="4865" max="4865" width="4" style="396" customWidth="1"/>
    <col min="4866" max="4866" width="6.28515625" style="396" customWidth="1"/>
    <col min="4867" max="4867" width="8.42578125" style="396" customWidth="1"/>
    <col min="4868" max="4868" width="51.28515625" style="396" customWidth="1"/>
    <col min="4869" max="4869" width="21" style="396" customWidth="1"/>
    <col min="4870" max="4870" width="9.140625" style="396"/>
    <col min="4871" max="4871" width="10.7109375" style="396" customWidth="1"/>
    <col min="4872" max="5120" width="9.140625" style="396"/>
    <col min="5121" max="5121" width="4" style="396" customWidth="1"/>
    <col min="5122" max="5122" width="6.28515625" style="396" customWidth="1"/>
    <col min="5123" max="5123" width="8.42578125" style="396" customWidth="1"/>
    <col min="5124" max="5124" width="51.28515625" style="396" customWidth="1"/>
    <col min="5125" max="5125" width="21" style="396" customWidth="1"/>
    <col min="5126" max="5126" width="9.140625" style="396"/>
    <col min="5127" max="5127" width="10.7109375" style="396" customWidth="1"/>
    <col min="5128" max="5376" width="9.140625" style="396"/>
    <col min="5377" max="5377" width="4" style="396" customWidth="1"/>
    <col min="5378" max="5378" width="6.28515625" style="396" customWidth="1"/>
    <col min="5379" max="5379" width="8.42578125" style="396" customWidth="1"/>
    <col min="5380" max="5380" width="51.28515625" style="396" customWidth="1"/>
    <col min="5381" max="5381" width="21" style="396" customWidth="1"/>
    <col min="5382" max="5382" width="9.140625" style="396"/>
    <col min="5383" max="5383" width="10.7109375" style="396" customWidth="1"/>
    <col min="5384" max="5632" width="9.140625" style="396"/>
    <col min="5633" max="5633" width="4" style="396" customWidth="1"/>
    <col min="5634" max="5634" width="6.28515625" style="396" customWidth="1"/>
    <col min="5635" max="5635" width="8.42578125" style="396" customWidth="1"/>
    <col min="5636" max="5636" width="51.28515625" style="396" customWidth="1"/>
    <col min="5637" max="5637" width="21" style="396" customWidth="1"/>
    <col min="5638" max="5638" width="9.140625" style="396"/>
    <col min="5639" max="5639" width="10.7109375" style="396" customWidth="1"/>
    <col min="5640" max="5888" width="9.140625" style="396"/>
    <col min="5889" max="5889" width="4" style="396" customWidth="1"/>
    <col min="5890" max="5890" width="6.28515625" style="396" customWidth="1"/>
    <col min="5891" max="5891" width="8.42578125" style="396" customWidth="1"/>
    <col min="5892" max="5892" width="51.28515625" style="396" customWidth="1"/>
    <col min="5893" max="5893" width="21" style="396" customWidth="1"/>
    <col min="5894" max="5894" width="9.140625" style="396"/>
    <col min="5895" max="5895" width="10.7109375" style="396" customWidth="1"/>
    <col min="5896" max="6144" width="9.140625" style="396"/>
    <col min="6145" max="6145" width="4" style="396" customWidth="1"/>
    <col min="6146" max="6146" width="6.28515625" style="396" customWidth="1"/>
    <col min="6147" max="6147" width="8.42578125" style="396" customWidth="1"/>
    <col min="6148" max="6148" width="51.28515625" style="396" customWidth="1"/>
    <col min="6149" max="6149" width="21" style="396" customWidth="1"/>
    <col min="6150" max="6150" width="9.140625" style="396"/>
    <col min="6151" max="6151" width="10.7109375" style="396" customWidth="1"/>
    <col min="6152" max="6400" width="9.140625" style="396"/>
    <col min="6401" max="6401" width="4" style="396" customWidth="1"/>
    <col min="6402" max="6402" width="6.28515625" style="396" customWidth="1"/>
    <col min="6403" max="6403" width="8.42578125" style="396" customWidth="1"/>
    <col min="6404" max="6404" width="51.28515625" style="396" customWidth="1"/>
    <col min="6405" max="6405" width="21" style="396" customWidth="1"/>
    <col min="6406" max="6406" width="9.140625" style="396"/>
    <col min="6407" max="6407" width="10.7109375" style="396" customWidth="1"/>
    <col min="6408" max="6656" width="9.140625" style="396"/>
    <col min="6657" max="6657" width="4" style="396" customWidth="1"/>
    <col min="6658" max="6658" width="6.28515625" style="396" customWidth="1"/>
    <col min="6659" max="6659" width="8.42578125" style="396" customWidth="1"/>
    <col min="6660" max="6660" width="51.28515625" style="396" customWidth="1"/>
    <col min="6661" max="6661" width="21" style="396" customWidth="1"/>
    <col min="6662" max="6662" width="9.140625" style="396"/>
    <col min="6663" max="6663" width="10.7109375" style="396" customWidth="1"/>
    <col min="6664" max="6912" width="9.140625" style="396"/>
    <col min="6913" max="6913" width="4" style="396" customWidth="1"/>
    <col min="6914" max="6914" width="6.28515625" style="396" customWidth="1"/>
    <col min="6915" max="6915" width="8.42578125" style="396" customWidth="1"/>
    <col min="6916" max="6916" width="51.28515625" style="396" customWidth="1"/>
    <col min="6917" max="6917" width="21" style="396" customWidth="1"/>
    <col min="6918" max="6918" width="9.140625" style="396"/>
    <col min="6919" max="6919" width="10.7109375" style="396" customWidth="1"/>
    <col min="6920" max="7168" width="9.140625" style="396"/>
    <col min="7169" max="7169" width="4" style="396" customWidth="1"/>
    <col min="7170" max="7170" width="6.28515625" style="396" customWidth="1"/>
    <col min="7171" max="7171" width="8.42578125" style="396" customWidth="1"/>
    <col min="7172" max="7172" width="51.28515625" style="396" customWidth="1"/>
    <col min="7173" max="7173" width="21" style="396" customWidth="1"/>
    <col min="7174" max="7174" width="9.140625" style="396"/>
    <col min="7175" max="7175" width="10.7109375" style="396" customWidth="1"/>
    <col min="7176" max="7424" width="9.140625" style="396"/>
    <col min="7425" max="7425" width="4" style="396" customWidth="1"/>
    <col min="7426" max="7426" width="6.28515625" style="396" customWidth="1"/>
    <col min="7427" max="7427" width="8.42578125" style="396" customWidth="1"/>
    <col min="7428" max="7428" width="51.28515625" style="396" customWidth="1"/>
    <col min="7429" max="7429" width="21" style="396" customWidth="1"/>
    <col min="7430" max="7430" width="9.140625" style="396"/>
    <col min="7431" max="7431" width="10.7109375" style="396" customWidth="1"/>
    <col min="7432" max="7680" width="9.140625" style="396"/>
    <col min="7681" max="7681" width="4" style="396" customWidth="1"/>
    <col min="7682" max="7682" width="6.28515625" style="396" customWidth="1"/>
    <col min="7683" max="7683" width="8.42578125" style="396" customWidth="1"/>
    <col min="7684" max="7684" width="51.28515625" style="396" customWidth="1"/>
    <col min="7685" max="7685" width="21" style="396" customWidth="1"/>
    <col min="7686" max="7686" width="9.140625" style="396"/>
    <col min="7687" max="7687" width="10.7109375" style="396" customWidth="1"/>
    <col min="7688" max="7936" width="9.140625" style="396"/>
    <col min="7937" max="7937" width="4" style="396" customWidth="1"/>
    <col min="7938" max="7938" width="6.28515625" style="396" customWidth="1"/>
    <col min="7939" max="7939" width="8.42578125" style="396" customWidth="1"/>
    <col min="7940" max="7940" width="51.28515625" style="396" customWidth="1"/>
    <col min="7941" max="7941" width="21" style="396" customWidth="1"/>
    <col min="7942" max="7942" width="9.140625" style="396"/>
    <col min="7943" max="7943" width="10.7109375" style="396" customWidth="1"/>
    <col min="7944" max="8192" width="9.140625" style="396"/>
    <col min="8193" max="8193" width="4" style="396" customWidth="1"/>
    <col min="8194" max="8194" width="6.28515625" style="396" customWidth="1"/>
    <col min="8195" max="8195" width="8.42578125" style="396" customWidth="1"/>
    <col min="8196" max="8196" width="51.28515625" style="396" customWidth="1"/>
    <col min="8197" max="8197" width="21" style="396" customWidth="1"/>
    <col min="8198" max="8198" width="9.140625" style="396"/>
    <col min="8199" max="8199" width="10.7109375" style="396" customWidth="1"/>
    <col min="8200" max="8448" width="9.140625" style="396"/>
    <col min="8449" max="8449" width="4" style="396" customWidth="1"/>
    <col min="8450" max="8450" width="6.28515625" style="396" customWidth="1"/>
    <col min="8451" max="8451" width="8.42578125" style="396" customWidth="1"/>
    <col min="8452" max="8452" width="51.28515625" style="396" customWidth="1"/>
    <col min="8453" max="8453" width="21" style="396" customWidth="1"/>
    <col min="8454" max="8454" width="9.140625" style="396"/>
    <col min="8455" max="8455" width="10.7109375" style="396" customWidth="1"/>
    <col min="8456" max="8704" width="9.140625" style="396"/>
    <col min="8705" max="8705" width="4" style="396" customWidth="1"/>
    <col min="8706" max="8706" width="6.28515625" style="396" customWidth="1"/>
    <col min="8707" max="8707" width="8.42578125" style="396" customWidth="1"/>
    <col min="8708" max="8708" width="51.28515625" style="396" customWidth="1"/>
    <col min="8709" max="8709" width="21" style="396" customWidth="1"/>
    <col min="8710" max="8710" width="9.140625" style="396"/>
    <col min="8711" max="8711" width="10.7109375" style="396" customWidth="1"/>
    <col min="8712" max="8960" width="9.140625" style="396"/>
    <col min="8961" max="8961" width="4" style="396" customWidth="1"/>
    <col min="8962" max="8962" width="6.28515625" style="396" customWidth="1"/>
    <col min="8963" max="8963" width="8.42578125" style="396" customWidth="1"/>
    <col min="8964" max="8964" width="51.28515625" style="396" customWidth="1"/>
    <col min="8965" max="8965" width="21" style="396" customWidth="1"/>
    <col min="8966" max="8966" width="9.140625" style="396"/>
    <col min="8967" max="8967" width="10.7109375" style="396" customWidth="1"/>
    <col min="8968" max="9216" width="9.140625" style="396"/>
    <col min="9217" max="9217" width="4" style="396" customWidth="1"/>
    <col min="9218" max="9218" width="6.28515625" style="396" customWidth="1"/>
    <col min="9219" max="9219" width="8.42578125" style="396" customWidth="1"/>
    <col min="9220" max="9220" width="51.28515625" style="396" customWidth="1"/>
    <col min="9221" max="9221" width="21" style="396" customWidth="1"/>
    <col min="9222" max="9222" width="9.140625" style="396"/>
    <col min="9223" max="9223" width="10.7109375" style="396" customWidth="1"/>
    <col min="9224" max="9472" width="9.140625" style="396"/>
    <col min="9473" max="9473" width="4" style="396" customWidth="1"/>
    <col min="9474" max="9474" width="6.28515625" style="396" customWidth="1"/>
    <col min="9475" max="9475" width="8.42578125" style="396" customWidth="1"/>
    <col min="9476" max="9476" width="51.28515625" style="396" customWidth="1"/>
    <col min="9477" max="9477" width="21" style="396" customWidth="1"/>
    <col min="9478" max="9478" width="9.140625" style="396"/>
    <col min="9479" max="9479" width="10.7109375" style="396" customWidth="1"/>
    <col min="9480" max="9728" width="9.140625" style="396"/>
    <col min="9729" max="9729" width="4" style="396" customWidth="1"/>
    <col min="9730" max="9730" width="6.28515625" style="396" customWidth="1"/>
    <col min="9731" max="9731" width="8.42578125" style="396" customWidth="1"/>
    <col min="9732" max="9732" width="51.28515625" style="396" customWidth="1"/>
    <col min="9733" max="9733" width="21" style="396" customWidth="1"/>
    <col min="9734" max="9734" width="9.140625" style="396"/>
    <col min="9735" max="9735" width="10.7109375" style="396" customWidth="1"/>
    <col min="9736" max="9984" width="9.140625" style="396"/>
    <col min="9985" max="9985" width="4" style="396" customWidth="1"/>
    <col min="9986" max="9986" width="6.28515625" style="396" customWidth="1"/>
    <col min="9987" max="9987" width="8.42578125" style="396" customWidth="1"/>
    <col min="9988" max="9988" width="51.28515625" style="396" customWidth="1"/>
    <col min="9989" max="9989" width="21" style="396" customWidth="1"/>
    <col min="9990" max="9990" width="9.140625" style="396"/>
    <col min="9991" max="9991" width="10.7109375" style="396" customWidth="1"/>
    <col min="9992" max="10240" width="9.140625" style="396"/>
    <col min="10241" max="10241" width="4" style="396" customWidth="1"/>
    <col min="10242" max="10242" width="6.28515625" style="396" customWidth="1"/>
    <col min="10243" max="10243" width="8.42578125" style="396" customWidth="1"/>
    <col min="10244" max="10244" width="51.28515625" style="396" customWidth="1"/>
    <col min="10245" max="10245" width="21" style="396" customWidth="1"/>
    <col min="10246" max="10246" width="9.140625" style="396"/>
    <col min="10247" max="10247" width="10.7109375" style="396" customWidth="1"/>
    <col min="10248" max="10496" width="9.140625" style="396"/>
    <col min="10497" max="10497" width="4" style="396" customWidth="1"/>
    <col min="10498" max="10498" width="6.28515625" style="396" customWidth="1"/>
    <col min="10499" max="10499" width="8.42578125" style="396" customWidth="1"/>
    <col min="10500" max="10500" width="51.28515625" style="396" customWidth="1"/>
    <col min="10501" max="10501" width="21" style="396" customWidth="1"/>
    <col min="10502" max="10502" width="9.140625" style="396"/>
    <col min="10503" max="10503" width="10.7109375" style="396" customWidth="1"/>
    <col min="10504" max="10752" width="9.140625" style="396"/>
    <col min="10753" max="10753" width="4" style="396" customWidth="1"/>
    <col min="10754" max="10754" width="6.28515625" style="396" customWidth="1"/>
    <col min="10755" max="10755" width="8.42578125" style="396" customWidth="1"/>
    <col min="10756" max="10756" width="51.28515625" style="396" customWidth="1"/>
    <col min="10757" max="10757" width="21" style="396" customWidth="1"/>
    <col min="10758" max="10758" width="9.140625" style="396"/>
    <col min="10759" max="10759" width="10.7109375" style="396" customWidth="1"/>
    <col min="10760" max="11008" width="9.140625" style="396"/>
    <col min="11009" max="11009" width="4" style="396" customWidth="1"/>
    <col min="11010" max="11010" width="6.28515625" style="396" customWidth="1"/>
    <col min="11011" max="11011" width="8.42578125" style="396" customWidth="1"/>
    <col min="11012" max="11012" width="51.28515625" style="396" customWidth="1"/>
    <col min="11013" max="11013" width="21" style="396" customWidth="1"/>
    <col min="11014" max="11014" width="9.140625" style="396"/>
    <col min="11015" max="11015" width="10.7109375" style="396" customWidth="1"/>
    <col min="11016" max="11264" width="9.140625" style="396"/>
    <col min="11265" max="11265" width="4" style="396" customWidth="1"/>
    <col min="11266" max="11266" width="6.28515625" style="396" customWidth="1"/>
    <col min="11267" max="11267" width="8.42578125" style="396" customWidth="1"/>
    <col min="11268" max="11268" width="51.28515625" style="396" customWidth="1"/>
    <col min="11269" max="11269" width="21" style="396" customWidth="1"/>
    <col min="11270" max="11270" width="9.140625" style="396"/>
    <col min="11271" max="11271" width="10.7109375" style="396" customWidth="1"/>
    <col min="11272" max="11520" width="9.140625" style="396"/>
    <col min="11521" max="11521" width="4" style="396" customWidth="1"/>
    <col min="11522" max="11522" width="6.28515625" style="396" customWidth="1"/>
    <col min="11523" max="11523" width="8.42578125" style="396" customWidth="1"/>
    <col min="11524" max="11524" width="51.28515625" style="396" customWidth="1"/>
    <col min="11525" max="11525" width="21" style="396" customWidth="1"/>
    <col min="11526" max="11526" width="9.140625" style="396"/>
    <col min="11527" max="11527" width="10.7109375" style="396" customWidth="1"/>
    <col min="11528" max="11776" width="9.140625" style="396"/>
    <col min="11777" max="11777" width="4" style="396" customWidth="1"/>
    <col min="11778" max="11778" width="6.28515625" style="396" customWidth="1"/>
    <col min="11779" max="11779" width="8.42578125" style="396" customWidth="1"/>
    <col min="11780" max="11780" width="51.28515625" style="396" customWidth="1"/>
    <col min="11781" max="11781" width="21" style="396" customWidth="1"/>
    <col min="11782" max="11782" width="9.140625" style="396"/>
    <col min="11783" max="11783" width="10.7109375" style="396" customWidth="1"/>
    <col min="11784" max="12032" width="9.140625" style="396"/>
    <col min="12033" max="12033" width="4" style="396" customWidth="1"/>
    <col min="12034" max="12034" width="6.28515625" style="396" customWidth="1"/>
    <col min="12035" max="12035" width="8.42578125" style="396" customWidth="1"/>
    <col min="12036" max="12036" width="51.28515625" style="396" customWidth="1"/>
    <col min="12037" max="12037" width="21" style="396" customWidth="1"/>
    <col min="12038" max="12038" width="9.140625" style="396"/>
    <col min="12039" max="12039" width="10.7109375" style="396" customWidth="1"/>
    <col min="12040" max="12288" width="9.140625" style="396"/>
    <col min="12289" max="12289" width="4" style="396" customWidth="1"/>
    <col min="12290" max="12290" width="6.28515625" style="396" customWidth="1"/>
    <col min="12291" max="12291" width="8.42578125" style="396" customWidth="1"/>
    <col min="12292" max="12292" width="51.28515625" style="396" customWidth="1"/>
    <col min="12293" max="12293" width="21" style="396" customWidth="1"/>
    <col min="12294" max="12294" width="9.140625" style="396"/>
    <col min="12295" max="12295" width="10.7109375" style="396" customWidth="1"/>
    <col min="12296" max="12544" width="9.140625" style="396"/>
    <col min="12545" max="12545" width="4" style="396" customWidth="1"/>
    <col min="12546" max="12546" width="6.28515625" style="396" customWidth="1"/>
    <col min="12547" max="12547" width="8.42578125" style="396" customWidth="1"/>
    <col min="12548" max="12548" width="51.28515625" style="396" customWidth="1"/>
    <col min="12549" max="12549" width="21" style="396" customWidth="1"/>
    <col min="12550" max="12550" width="9.140625" style="396"/>
    <col min="12551" max="12551" width="10.7109375" style="396" customWidth="1"/>
    <col min="12552" max="12800" width="9.140625" style="396"/>
    <col min="12801" max="12801" width="4" style="396" customWidth="1"/>
    <col min="12802" max="12802" width="6.28515625" style="396" customWidth="1"/>
    <col min="12803" max="12803" width="8.42578125" style="396" customWidth="1"/>
    <col min="12804" max="12804" width="51.28515625" style="396" customWidth="1"/>
    <col min="12805" max="12805" width="21" style="396" customWidth="1"/>
    <col min="12806" max="12806" width="9.140625" style="396"/>
    <col min="12807" max="12807" width="10.7109375" style="396" customWidth="1"/>
    <col min="12808" max="13056" width="9.140625" style="396"/>
    <col min="13057" max="13057" width="4" style="396" customWidth="1"/>
    <col min="13058" max="13058" width="6.28515625" style="396" customWidth="1"/>
    <col min="13059" max="13059" width="8.42578125" style="396" customWidth="1"/>
    <col min="13060" max="13060" width="51.28515625" style="396" customWidth="1"/>
    <col min="13061" max="13061" width="21" style="396" customWidth="1"/>
    <col min="13062" max="13062" width="9.140625" style="396"/>
    <col min="13063" max="13063" width="10.7109375" style="396" customWidth="1"/>
    <col min="13064" max="13312" width="9.140625" style="396"/>
    <col min="13313" max="13313" width="4" style="396" customWidth="1"/>
    <col min="13314" max="13314" width="6.28515625" style="396" customWidth="1"/>
    <col min="13315" max="13315" width="8.42578125" style="396" customWidth="1"/>
    <col min="13316" max="13316" width="51.28515625" style="396" customWidth="1"/>
    <col min="13317" max="13317" width="21" style="396" customWidth="1"/>
    <col min="13318" max="13318" width="9.140625" style="396"/>
    <col min="13319" max="13319" width="10.7109375" style="396" customWidth="1"/>
    <col min="13320" max="13568" width="9.140625" style="396"/>
    <col min="13569" max="13569" width="4" style="396" customWidth="1"/>
    <col min="13570" max="13570" width="6.28515625" style="396" customWidth="1"/>
    <col min="13571" max="13571" width="8.42578125" style="396" customWidth="1"/>
    <col min="13572" max="13572" width="51.28515625" style="396" customWidth="1"/>
    <col min="13573" max="13573" width="21" style="396" customWidth="1"/>
    <col min="13574" max="13574" width="9.140625" style="396"/>
    <col min="13575" max="13575" width="10.7109375" style="396" customWidth="1"/>
    <col min="13576" max="13824" width="9.140625" style="396"/>
    <col min="13825" max="13825" width="4" style="396" customWidth="1"/>
    <col min="13826" max="13826" width="6.28515625" style="396" customWidth="1"/>
    <col min="13827" max="13827" width="8.42578125" style="396" customWidth="1"/>
    <col min="13828" max="13828" width="51.28515625" style="396" customWidth="1"/>
    <col min="13829" max="13829" width="21" style="396" customWidth="1"/>
    <col min="13830" max="13830" width="9.140625" style="396"/>
    <col min="13831" max="13831" width="10.7109375" style="396" customWidth="1"/>
    <col min="13832" max="14080" width="9.140625" style="396"/>
    <col min="14081" max="14081" width="4" style="396" customWidth="1"/>
    <col min="14082" max="14082" width="6.28515625" style="396" customWidth="1"/>
    <col min="14083" max="14083" width="8.42578125" style="396" customWidth="1"/>
    <col min="14084" max="14084" width="51.28515625" style="396" customWidth="1"/>
    <col min="14085" max="14085" width="21" style="396" customWidth="1"/>
    <col min="14086" max="14086" width="9.140625" style="396"/>
    <col min="14087" max="14087" width="10.7109375" style="396" customWidth="1"/>
    <col min="14088" max="14336" width="9.140625" style="396"/>
    <col min="14337" max="14337" width="4" style="396" customWidth="1"/>
    <col min="14338" max="14338" width="6.28515625" style="396" customWidth="1"/>
    <col min="14339" max="14339" width="8.42578125" style="396" customWidth="1"/>
    <col min="14340" max="14340" width="51.28515625" style="396" customWidth="1"/>
    <col min="14341" max="14341" width="21" style="396" customWidth="1"/>
    <col min="14342" max="14342" width="9.140625" style="396"/>
    <col min="14343" max="14343" width="10.7109375" style="396" customWidth="1"/>
    <col min="14344" max="14592" width="9.140625" style="396"/>
    <col min="14593" max="14593" width="4" style="396" customWidth="1"/>
    <col min="14594" max="14594" width="6.28515625" style="396" customWidth="1"/>
    <col min="14595" max="14595" width="8.42578125" style="396" customWidth="1"/>
    <col min="14596" max="14596" width="51.28515625" style="396" customWidth="1"/>
    <col min="14597" max="14597" width="21" style="396" customWidth="1"/>
    <col min="14598" max="14598" width="9.140625" style="396"/>
    <col min="14599" max="14599" width="10.7109375" style="396" customWidth="1"/>
    <col min="14600" max="14848" width="9.140625" style="396"/>
    <col min="14849" max="14849" width="4" style="396" customWidth="1"/>
    <col min="14850" max="14850" width="6.28515625" style="396" customWidth="1"/>
    <col min="14851" max="14851" width="8.42578125" style="396" customWidth="1"/>
    <col min="14852" max="14852" width="51.28515625" style="396" customWidth="1"/>
    <col min="14853" max="14853" width="21" style="396" customWidth="1"/>
    <col min="14854" max="14854" width="9.140625" style="396"/>
    <col min="14855" max="14855" width="10.7109375" style="396" customWidth="1"/>
    <col min="14856" max="15104" width="9.140625" style="396"/>
    <col min="15105" max="15105" width="4" style="396" customWidth="1"/>
    <col min="15106" max="15106" width="6.28515625" style="396" customWidth="1"/>
    <col min="15107" max="15107" width="8.42578125" style="396" customWidth="1"/>
    <col min="15108" max="15108" width="51.28515625" style="396" customWidth="1"/>
    <col min="15109" max="15109" width="21" style="396" customWidth="1"/>
    <col min="15110" max="15110" width="9.140625" style="396"/>
    <col min="15111" max="15111" width="10.7109375" style="396" customWidth="1"/>
    <col min="15112" max="15360" width="9.140625" style="396"/>
    <col min="15361" max="15361" width="4" style="396" customWidth="1"/>
    <col min="15362" max="15362" width="6.28515625" style="396" customWidth="1"/>
    <col min="15363" max="15363" width="8.42578125" style="396" customWidth="1"/>
    <col min="15364" max="15364" width="51.28515625" style="396" customWidth="1"/>
    <col min="15365" max="15365" width="21" style="396" customWidth="1"/>
    <col min="15366" max="15366" width="9.140625" style="396"/>
    <col min="15367" max="15367" width="10.7109375" style="396" customWidth="1"/>
    <col min="15368" max="15616" width="9.140625" style="396"/>
    <col min="15617" max="15617" width="4" style="396" customWidth="1"/>
    <col min="15618" max="15618" width="6.28515625" style="396" customWidth="1"/>
    <col min="15619" max="15619" width="8.42578125" style="396" customWidth="1"/>
    <col min="15620" max="15620" width="51.28515625" style="396" customWidth="1"/>
    <col min="15621" max="15621" width="21" style="396" customWidth="1"/>
    <col min="15622" max="15622" width="9.140625" style="396"/>
    <col min="15623" max="15623" width="10.7109375" style="396" customWidth="1"/>
    <col min="15624" max="15872" width="9.140625" style="396"/>
    <col min="15873" max="15873" width="4" style="396" customWidth="1"/>
    <col min="15874" max="15874" width="6.28515625" style="396" customWidth="1"/>
    <col min="15875" max="15875" width="8.42578125" style="396" customWidth="1"/>
    <col min="15876" max="15876" width="51.28515625" style="396" customWidth="1"/>
    <col min="15877" max="15877" width="21" style="396" customWidth="1"/>
    <col min="15878" max="15878" width="9.140625" style="396"/>
    <col min="15879" max="15879" width="10.7109375" style="396" customWidth="1"/>
    <col min="15880" max="16128" width="9.140625" style="396"/>
    <col min="16129" max="16129" width="4" style="396" customWidth="1"/>
    <col min="16130" max="16130" width="6.28515625" style="396" customWidth="1"/>
    <col min="16131" max="16131" width="8.42578125" style="396" customWidth="1"/>
    <col min="16132" max="16132" width="51.28515625" style="396" customWidth="1"/>
    <col min="16133" max="16133" width="21" style="396" customWidth="1"/>
    <col min="16134" max="16134" width="9.140625" style="396"/>
    <col min="16135" max="16135" width="10.7109375" style="396" customWidth="1"/>
    <col min="16136" max="16384" width="9.140625" style="396"/>
  </cols>
  <sheetData>
    <row r="1" spans="1:7" ht="12" customHeight="1" x14ac:dyDescent="0.2">
      <c r="A1" s="184"/>
      <c r="E1" s="185" t="s">
        <v>25</v>
      </c>
    </row>
    <row r="2" spans="1:7" ht="12" customHeight="1" x14ac:dyDescent="0.2">
      <c r="D2" s="185"/>
      <c r="E2" s="3" t="s">
        <v>266</v>
      </c>
    </row>
    <row r="3" spans="1:7" ht="12" customHeight="1" x14ac:dyDescent="0.2">
      <c r="D3" s="185"/>
      <c r="E3" s="3" t="s">
        <v>64</v>
      </c>
    </row>
    <row r="4" spans="1:7" ht="12" customHeight="1" x14ac:dyDescent="0.2">
      <c r="D4" s="185"/>
      <c r="E4" s="3" t="s">
        <v>267</v>
      </c>
    </row>
    <row r="5" spans="1:7" x14ac:dyDescent="0.2">
      <c r="D5" s="185"/>
      <c r="E5" s="185"/>
    </row>
    <row r="6" spans="1:7" ht="15" customHeight="1" x14ac:dyDescent="0.2">
      <c r="A6" s="186" t="s">
        <v>276</v>
      </c>
      <c r="B6" s="186"/>
      <c r="C6" s="186"/>
      <c r="D6" s="186"/>
      <c r="E6" s="186"/>
    </row>
    <row r="7" spans="1:7" ht="15" customHeight="1" x14ac:dyDescent="0.2">
      <c r="A7" s="186" t="s">
        <v>277</v>
      </c>
      <c r="B7" s="186"/>
      <c r="C7" s="186"/>
      <c r="D7" s="186"/>
      <c r="E7" s="186"/>
    </row>
    <row r="8" spans="1:7" ht="8.25" customHeight="1" x14ac:dyDescent="0.2">
      <c r="D8" s="187"/>
      <c r="E8" s="187"/>
    </row>
    <row r="9" spans="1:7" ht="12" customHeight="1" x14ac:dyDescent="0.2">
      <c r="D9" s="397"/>
      <c r="E9" s="188" t="s">
        <v>1</v>
      </c>
    </row>
    <row r="10" spans="1:7" ht="19.5" customHeight="1" x14ac:dyDescent="0.2">
      <c r="A10" s="189" t="s">
        <v>27</v>
      </c>
      <c r="B10" s="189" t="s">
        <v>18</v>
      </c>
      <c r="C10" s="189" t="s">
        <v>21</v>
      </c>
      <c r="D10" s="189" t="s">
        <v>33</v>
      </c>
      <c r="E10" s="189" t="s">
        <v>278</v>
      </c>
    </row>
    <row r="11" spans="1:7" s="191" customFormat="1" ht="9.75" customHeight="1" x14ac:dyDescent="0.2">
      <c r="A11" s="190">
        <v>1</v>
      </c>
      <c r="B11" s="190">
        <v>2</v>
      </c>
      <c r="C11" s="190">
        <v>3</v>
      </c>
      <c r="D11" s="190">
        <v>4</v>
      </c>
      <c r="E11" s="190">
        <v>5</v>
      </c>
      <c r="G11" s="192"/>
    </row>
    <row r="12" spans="1:7" ht="18" customHeight="1" x14ac:dyDescent="0.2">
      <c r="A12" s="193" t="s">
        <v>279</v>
      </c>
      <c r="B12" s="194"/>
      <c r="C12" s="194"/>
      <c r="D12" s="194"/>
      <c r="E12" s="195"/>
    </row>
    <row r="13" spans="1:7" ht="28.5" customHeight="1" x14ac:dyDescent="0.2">
      <c r="A13" s="196">
        <v>1</v>
      </c>
      <c r="B13" s="196">
        <v>750</v>
      </c>
      <c r="C13" s="196">
        <v>75023</v>
      </c>
      <c r="D13" s="197" t="s">
        <v>280</v>
      </c>
      <c r="E13" s="198">
        <v>8369</v>
      </c>
    </row>
    <row r="14" spans="1:7" ht="55.15" customHeight="1" x14ac:dyDescent="0.2">
      <c r="A14" s="196">
        <v>2</v>
      </c>
      <c r="B14" s="196">
        <v>750</v>
      </c>
      <c r="C14" s="196">
        <v>75058</v>
      </c>
      <c r="D14" s="197" t="s">
        <v>281</v>
      </c>
      <c r="E14" s="198">
        <v>65033</v>
      </c>
      <c r="G14" s="199"/>
    </row>
    <row r="15" spans="1:7" ht="15" customHeight="1" x14ac:dyDescent="0.2">
      <c r="A15" s="196">
        <v>3</v>
      </c>
      <c r="B15" s="196">
        <v>801</v>
      </c>
      <c r="C15" s="196">
        <v>80104</v>
      </c>
      <c r="D15" s="197" t="s">
        <v>170</v>
      </c>
      <c r="E15" s="198">
        <v>240000</v>
      </c>
      <c r="G15" s="199"/>
    </row>
    <row r="16" spans="1:7" ht="16.5" customHeight="1" x14ac:dyDescent="0.2">
      <c r="A16" s="196">
        <v>4</v>
      </c>
      <c r="B16" s="196">
        <v>801</v>
      </c>
      <c r="C16" s="196">
        <v>80195</v>
      </c>
      <c r="D16" s="200" t="s">
        <v>282</v>
      </c>
      <c r="E16" s="198">
        <v>3000</v>
      </c>
      <c r="G16" s="199"/>
    </row>
    <row r="17" spans="1:7" ht="16.5" customHeight="1" x14ac:dyDescent="0.2">
      <c r="A17" s="196">
        <v>5</v>
      </c>
      <c r="B17" s="201">
        <v>851</v>
      </c>
      <c r="C17" s="201">
        <v>85149</v>
      </c>
      <c r="D17" s="197" t="s">
        <v>283</v>
      </c>
      <c r="E17" s="198">
        <v>16000</v>
      </c>
      <c r="G17" s="199"/>
    </row>
    <row r="18" spans="1:7" ht="25.5" customHeight="1" x14ac:dyDescent="0.2">
      <c r="A18" s="196">
        <v>6</v>
      </c>
      <c r="B18" s="196">
        <v>851</v>
      </c>
      <c r="C18" s="196">
        <v>85154</v>
      </c>
      <c r="D18" s="197" t="s">
        <v>284</v>
      </c>
      <c r="E18" s="198">
        <v>6000</v>
      </c>
    </row>
    <row r="19" spans="1:7" ht="17.25" customHeight="1" x14ac:dyDescent="0.2">
      <c r="A19" s="202">
        <v>7</v>
      </c>
      <c r="B19" s="202">
        <v>853</v>
      </c>
      <c r="C19" s="202">
        <v>85333</v>
      </c>
      <c r="D19" s="203" t="s">
        <v>285</v>
      </c>
      <c r="E19" s="204">
        <v>3422964</v>
      </c>
    </row>
    <row r="20" spans="1:7" ht="36.75" customHeight="1" x14ac:dyDescent="0.2">
      <c r="A20" s="201">
        <v>8</v>
      </c>
      <c r="B20" s="201">
        <v>900</v>
      </c>
      <c r="C20" s="201">
        <v>90095</v>
      </c>
      <c r="D20" s="205" t="s">
        <v>286</v>
      </c>
      <c r="E20" s="204">
        <v>40000</v>
      </c>
    </row>
    <row r="21" spans="1:7" ht="17.25" customHeight="1" x14ac:dyDescent="0.2">
      <c r="A21" s="203">
        <v>9</v>
      </c>
      <c r="B21" s="203">
        <v>921</v>
      </c>
      <c r="C21" s="203">
        <v>92110</v>
      </c>
      <c r="D21" s="203" t="s">
        <v>287</v>
      </c>
      <c r="E21" s="204">
        <v>40000</v>
      </c>
    </row>
    <row r="22" spans="1:7" ht="13.5" customHeight="1" x14ac:dyDescent="0.2">
      <c r="A22" s="206"/>
      <c r="B22" s="207"/>
      <c r="C22" s="208"/>
      <c r="D22" s="209" t="s">
        <v>288</v>
      </c>
      <c r="E22" s="210"/>
    </row>
    <row r="23" spans="1:7" ht="13.5" customHeight="1" x14ac:dyDescent="0.2">
      <c r="A23" s="203">
        <v>10</v>
      </c>
      <c r="B23" s="203">
        <v>921</v>
      </c>
      <c r="C23" s="203">
        <v>92110</v>
      </c>
      <c r="D23" s="203" t="s">
        <v>245</v>
      </c>
      <c r="E23" s="204">
        <v>12000</v>
      </c>
    </row>
    <row r="24" spans="1:7" ht="13.5" customHeight="1" x14ac:dyDescent="0.2">
      <c r="A24" s="206"/>
      <c r="B24" s="207"/>
      <c r="C24" s="208"/>
      <c r="D24" s="209" t="s">
        <v>288</v>
      </c>
      <c r="E24" s="210"/>
    </row>
    <row r="25" spans="1:7" ht="13.5" customHeight="1" x14ac:dyDescent="0.2">
      <c r="A25" s="203">
        <v>11</v>
      </c>
      <c r="B25" s="203">
        <v>921</v>
      </c>
      <c r="C25" s="203">
        <v>92113</v>
      </c>
      <c r="D25" s="203" t="s">
        <v>248</v>
      </c>
      <c r="E25" s="204">
        <v>480804.39</v>
      </c>
    </row>
    <row r="26" spans="1:7" ht="37.9" customHeight="1" x14ac:dyDescent="0.2">
      <c r="A26" s="206"/>
      <c r="B26" s="207"/>
      <c r="C26" s="208"/>
      <c r="D26" s="211" t="s">
        <v>289</v>
      </c>
      <c r="E26" s="210"/>
    </row>
    <row r="27" spans="1:7" ht="13.5" customHeight="1" x14ac:dyDescent="0.2">
      <c r="A27" s="203">
        <v>12</v>
      </c>
      <c r="B27" s="203">
        <v>921</v>
      </c>
      <c r="C27" s="203">
        <v>92113</v>
      </c>
      <c r="D27" s="203" t="s">
        <v>248</v>
      </c>
      <c r="E27" s="204">
        <v>57000</v>
      </c>
    </row>
    <row r="28" spans="1:7" ht="15.75" customHeight="1" x14ac:dyDescent="0.2">
      <c r="A28" s="206"/>
      <c r="B28" s="207"/>
      <c r="C28" s="208"/>
      <c r="D28" s="211" t="s">
        <v>290</v>
      </c>
      <c r="E28" s="210"/>
    </row>
    <row r="29" spans="1:7" ht="15.75" customHeight="1" x14ac:dyDescent="0.2">
      <c r="A29" s="203">
        <v>13</v>
      </c>
      <c r="B29" s="203">
        <v>921</v>
      </c>
      <c r="C29" s="203">
        <v>92114</v>
      </c>
      <c r="D29" s="203" t="s">
        <v>291</v>
      </c>
      <c r="E29" s="204">
        <v>40000</v>
      </c>
    </row>
    <row r="30" spans="1:7" ht="15.75" customHeight="1" x14ac:dyDescent="0.2">
      <c r="A30" s="206"/>
      <c r="B30" s="207"/>
      <c r="C30" s="207"/>
      <c r="D30" s="212" t="s">
        <v>292</v>
      </c>
      <c r="E30" s="210"/>
    </row>
    <row r="31" spans="1:7" ht="14.25" customHeight="1" x14ac:dyDescent="0.2">
      <c r="A31" s="203">
        <v>14</v>
      </c>
      <c r="B31" s="203">
        <v>921</v>
      </c>
      <c r="C31" s="203">
        <v>92116</v>
      </c>
      <c r="D31" s="203" t="s">
        <v>293</v>
      </c>
      <c r="E31" s="204">
        <v>238500</v>
      </c>
    </row>
    <row r="32" spans="1:7" ht="12" customHeight="1" x14ac:dyDescent="0.2">
      <c r="A32" s="206"/>
      <c r="B32" s="207"/>
      <c r="C32" s="207"/>
      <c r="D32" s="212" t="s">
        <v>294</v>
      </c>
      <c r="E32" s="210"/>
    </row>
    <row r="33" spans="1:5" ht="14.25" customHeight="1" x14ac:dyDescent="0.2">
      <c r="A33" s="203">
        <v>15</v>
      </c>
      <c r="B33" s="203">
        <v>921</v>
      </c>
      <c r="C33" s="203">
        <v>92116</v>
      </c>
      <c r="D33" s="203" t="s">
        <v>295</v>
      </c>
      <c r="E33" s="204">
        <f>15000+40000</f>
        <v>55000</v>
      </c>
    </row>
    <row r="34" spans="1:5" ht="12" customHeight="1" x14ac:dyDescent="0.2">
      <c r="A34" s="206"/>
      <c r="B34" s="207"/>
      <c r="C34" s="207"/>
      <c r="D34" s="212" t="s">
        <v>294</v>
      </c>
      <c r="E34" s="210"/>
    </row>
    <row r="35" spans="1:5" ht="12" customHeight="1" x14ac:dyDescent="0.2">
      <c r="A35" s="203">
        <v>16</v>
      </c>
      <c r="B35" s="203">
        <v>921</v>
      </c>
      <c r="C35" s="203">
        <v>92195</v>
      </c>
      <c r="D35" s="203" t="s">
        <v>12</v>
      </c>
      <c r="E35" s="204">
        <f>15000-12000</f>
        <v>3000</v>
      </c>
    </row>
    <row r="36" spans="1:5" ht="13.5" customHeight="1" x14ac:dyDescent="0.2">
      <c r="A36" s="398" t="s">
        <v>296</v>
      </c>
      <c r="B36" s="399"/>
      <c r="C36" s="399"/>
      <c r="D36" s="400"/>
      <c r="E36" s="401">
        <f>SUM(E13:E35)</f>
        <v>4727670.3899999997</v>
      </c>
    </row>
    <row r="37" spans="1:5" ht="15.75" customHeight="1" x14ac:dyDescent="0.2">
      <c r="A37" s="193" t="s">
        <v>297</v>
      </c>
      <c r="B37" s="194"/>
      <c r="C37" s="194"/>
      <c r="D37" s="194"/>
      <c r="E37" s="195"/>
    </row>
    <row r="38" spans="1:5" ht="15.75" customHeight="1" x14ac:dyDescent="0.2">
      <c r="A38" s="203">
        <v>1</v>
      </c>
      <c r="B38" s="203">
        <v>853</v>
      </c>
      <c r="C38" s="203">
        <v>85395</v>
      </c>
      <c r="D38" s="203" t="s">
        <v>12</v>
      </c>
      <c r="E38" s="204">
        <v>529080</v>
      </c>
    </row>
    <row r="39" spans="1:5" ht="12.75" customHeight="1" x14ac:dyDescent="0.2">
      <c r="A39" s="206"/>
      <c r="B39" s="207"/>
      <c r="C39" s="208"/>
      <c r="D39" s="209" t="s">
        <v>298</v>
      </c>
      <c r="E39" s="210"/>
    </row>
    <row r="40" spans="1:5" ht="15" customHeight="1" x14ac:dyDescent="0.2">
      <c r="A40" s="203">
        <v>2</v>
      </c>
      <c r="B40" s="203">
        <v>921</v>
      </c>
      <c r="C40" s="203">
        <v>92110</v>
      </c>
      <c r="D40" s="203" t="s">
        <v>245</v>
      </c>
      <c r="E40" s="204">
        <f>604731+22572.48+43000</f>
        <v>670303.48</v>
      </c>
    </row>
    <row r="41" spans="1:5" ht="12.75" customHeight="1" x14ac:dyDescent="0.2">
      <c r="A41" s="206"/>
      <c r="B41" s="207"/>
      <c r="C41" s="208"/>
      <c r="D41" s="209" t="s">
        <v>288</v>
      </c>
      <c r="E41" s="210"/>
    </row>
    <row r="42" spans="1:5" ht="15.75" customHeight="1" x14ac:dyDescent="0.2">
      <c r="A42" s="203">
        <v>3</v>
      </c>
      <c r="B42" s="203">
        <v>921</v>
      </c>
      <c r="C42" s="203">
        <v>92113</v>
      </c>
      <c r="D42" s="203" t="s">
        <v>248</v>
      </c>
      <c r="E42" s="204">
        <f>3389340+88204.73+50000</f>
        <v>3527544.73</v>
      </c>
    </row>
    <row r="43" spans="1:5" ht="12" customHeight="1" x14ac:dyDescent="0.2">
      <c r="A43" s="213"/>
      <c r="B43" s="214"/>
      <c r="C43" s="214"/>
      <c r="D43" s="212" t="s">
        <v>299</v>
      </c>
      <c r="E43" s="215"/>
    </row>
    <row r="44" spans="1:5" ht="15.75" customHeight="1" x14ac:dyDescent="0.2">
      <c r="A44" s="203">
        <v>4</v>
      </c>
      <c r="B44" s="203">
        <v>921</v>
      </c>
      <c r="C44" s="203">
        <v>92114</v>
      </c>
      <c r="D44" s="203" t="s">
        <v>300</v>
      </c>
      <c r="E44" s="204">
        <f>1389200+188498.16-171596.16</f>
        <v>1406102</v>
      </c>
    </row>
    <row r="45" spans="1:5" ht="12.75" customHeight="1" x14ac:dyDescent="0.2">
      <c r="A45" s="206"/>
      <c r="B45" s="207"/>
      <c r="C45" s="207"/>
      <c r="D45" s="212" t="s">
        <v>292</v>
      </c>
      <c r="E45" s="210"/>
    </row>
    <row r="46" spans="1:5" ht="15.75" customHeight="1" x14ac:dyDescent="0.2">
      <c r="A46" s="203">
        <v>5</v>
      </c>
      <c r="B46" s="203">
        <v>921</v>
      </c>
      <c r="C46" s="203">
        <v>92116</v>
      </c>
      <c r="D46" s="203" t="s">
        <v>295</v>
      </c>
      <c r="E46" s="204">
        <f>3781970+16902+171596.16+5000</f>
        <v>3975468.16</v>
      </c>
    </row>
    <row r="47" spans="1:5" ht="12.75" customHeight="1" x14ac:dyDescent="0.2">
      <c r="A47" s="206"/>
      <c r="B47" s="207"/>
      <c r="C47" s="207"/>
      <c r="D47" s="212" t="s">
        <v>294</v>
      </c>
      <c r="E47" s="210"/>
    </row>
    <row r="48" spans="1:5" ht="12.75" customHeight="1" x14ac:dyDescent="0.2">
      <c r="A48" s="398" t="s">
        <v>296</v>
      </c>
      <c r="B48" s="399"/>
      <c r="C48" s="399"/>
      <c r="D48" s="400"/>
      <c r="E48" s="401">
        <f>SUM(E38:E47)</f>
        <v>10108498.370000001</v>
      </c>
    </row>
    <row r="49" spans="1:5" ht="16.5" customHeight="1" x14ac:dyDescent="0.2">
      <c r="A49" s="216" t="s">
        <v>42</v>
      </c>
      <c r="B49" s="217"/>
      <c r="C49" s="217"/>
      <c r="D49" s="218"/>
      <c r="E49" s="219">
        <f>SUM(E36,E48)</f>
        <v>14836168.760000002</v>
      </c>
    </row>
    <row r="51" spans="1:5" x14ac:dyDescent="0.2">
      <c r="A51" s="402"/>
    </row>
  </sheetData>
  <pageMargins left="0.59055118110236227" right="0.59055118110236227" top="0.74803149606299213" bottom="0.62992125984251968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61ADA-9596-4D5B-BB93-1CE24E2C6E42}">
  <sheetPr>
    <tabColor rgb="FFFF00FF"/>
  </sheetPr>
  <dimension ref="A1:G171"/>
  <sheetViews>
    <sheetView zoomScale="130" zoomScaleNormal="130" workbookViewId="0"/>
  </sheetViews>
  <sheetFormatPr defaultColWidth="4" defaultRowHeight="12.75" x14ac:dyDescent="0.2"/>
  <cols>
    <col min="1" max="1" width="4" style="396"/>
    <col min="2" max="2" width="5.7109375" style="396" customWidth="1"/>
    <col min="3" max="3" width="8.42578125" style="396" customWidth="1"/>
    <col min="4" max="4" width="49.140625" style="396" customWidth="1"/>
    <col min="5" max="5" width="21.42578125" style="396" customWidth="1"/>
    <col min="6" max="6" width="9.140625" style="184" customWidth="1"/>
    <col min="7" max="7" width="12.28515625" style="220" customWidth="1"/>
    <col min="8" max="255" width="9.140625" style="396" customWidth="1"/>
    <col min="256" max="257" width="4" style="396"/>
    <col min="258" max="258" width="5.7109375" style="396" customWidth="1"/>
    <col min="259" max="259" width="8.42578125" style="396" customWidth="1"/>
    <col min="260" max="260" width="49.140625" style="396" customWidth="1"/>
    <col min="261" max="261" width="21.42578125" style="396" customWidth="1"/>
    <col min="262" max="262" width="9.140625" style="396" customWidth="1"/>
    <col min="263" max="263" width="12.28515625" style="396" customWidth="1"/>
    <col min="264" max="511" width="9.140625" style="396" customWidth="1"/>
    <col min="512" max="513" width="4" style="396"/>
    <col min="514" max="514" width="5.7109375" style="396" customWidth="1"/>
    <col min="515" max="515" width="8.42578125" style="396" customWidth="1"/>
    <col min="516" max="516" width="49.140625" style="396" customWidth="1"/>
    <col min="517" max="517" width="21.42578125" style="396" customWidth="1"/>
    <col min="518" max="518" width="9.140625" style="396" customWidth="1"/>
    <col min="519" max="519" width="12.28515625" style="396" customWidth="1"/>
    <col min="520" max="767" width="9.140625" style="396" customWidth="1"/>
    <col min="768" max="769" width="4" style="396"/>
    <col min="770" max="770" width="5.7109375" style="396" customWidth="1"/>
    <col min="771" max="771" width="8.42578125" style="396" customWidth="1"/>
    <col min="772" max="772" width="49.140625" style="396" customWidth="1"/>
    <col min="773" max="773" width="21.42578125" style="396" customWidth="1"/>
    <col min="774" max="774" width="9.140625" style="396" customWidth="1"/>
    <col min="775" max="775" width="12.28515625" style="396" customWidth="1"/>
    <col min="776" max="1023" width="9.140625" style="396" customWidth="1"/>
    <col min="1024" max="1025" width="4" style="396"/>
    <col min="1026" max="1026" width="5.7109375" style="396" customWidth="1"/>
    <col min="1027" max="1027" width="8.42578125" style="396" customWidth="1"/>
    <col min="1028" max="1028" width="49.140625" style="396" customWidth="1"/>
    <col min="1029" max="1029" width="21.42578125" style="396" customWidth="1"/>
    <col min="1030" max="1030" width="9.140625" style="396" customWidth="1"/>
    <col min="1031" max="1031" width="12.28515625" style="396" customWidth="1"/>
    <col min="1032" max="1279" width="9.140625" style="396" customWidth="1"/>
    <col min="1280" max="1281" width="4" style="396"/>
    <col min="1282" max="1282" width="5.7109375" style="396" customWidth="1"/>
    <col min="1283" max="1283" width="8.42578125" style="396" customWidth="1"/>
    <col min="1284" max="1284" width="49.140625" style="396" customWidth="1"/>
    <col min="1285" max="1285" width="21.42578125" style="396" customWidth="1"/>
    <col min="1286" max="1286" width="9.140625" style="396" customWidth="1"/>
    <col min="1287" max="1287" width="12.28515625" style="396" customWidth="1"/>
    <col min="1288" max="1535" width="9.140625" style="396" customWidth="1"/>
    <col min="1536" max="1537" width="4" style="396"/>
    <col min="1538" max="1538" width="5.7109375" style="396" customWidth="1"/>
    <col min="1539" max="1539" width="8.42578125" style="396" customWidth="1"/>
    <col min="1540" max="1540" width="49.140625" style="396" customWidth="1"/>
    <col min="1541" max="1541" width="21.42578125" style="396" customWidth="1"/>
    <col min="1542" max="1542" width="9.140625" style="396" customWidth="1"/>
    <col min="1543" max="1543" width="12.28515625" style="396" customWidth="1"/>
    <col min="1544" max="1791" width="9.140625" style="396" customWidth="1"/>
    <col min="1792" max="1793" width="4" style="396"/>
    <col min="1794" max="1794" width="5.7109375" style="396" customWidth="1"/>
    <col min="1795" max="1795" width="8.42578125" style="396" customWidth="1"/>
    <col min="1796" max="1796" width="49.140625" style="396" customWidth="1"/>
    <col min="1797" max="1797" width="21.42578125" style="396" customWidth="1"/>
    <col min="1798" max="1798" width="9.140625" style="396" customWidth="1"/>
    <col min="1799" max="1799" width="12.28515625" style="396" customWidth="1"/>
    <col min="1800" max="2047" width="9.140625" style="396" customWidth="1"/>
    <col min="2048" max="2049" width="4" style="396"/>
    <col min="2050" max="2050" width="5.7109375" style="396" customWidth="1"/>
    <col min="2051" max="2051" width="8.42578125" style="396" customWidth="1"/>
    <col min="2052" max="2052" width="49.140625" style="396" customWidth="1"/>
    <col min="2053" max="2053" width="21.42578125" style="396" customWidth="1"/>
    <col min="2054" max="2054" width="9.140625" style="396" customWidth="1"/>
    <col min="2055" max="2055" width="12.28515625" style="396" customWidth="1"/>
    <col min="2056" max="2303" width="9.140625" style="396" customWidth="1"/>
    <col min="2304" max="2305" width="4" style="396"/>
    <col min="2306" max="2306" width="5.7109375" style="396" customWidth="1"/>
    <col min="2307" max="2307" width="8.42578125" style="396" customWidth="1"/>
    <col min="2308" max="2308" width="49.140625" style="396" customWidth="1"/>
    <col min="2309" max="2309" width="21.42578125" style="396" customWidth="1"/>
    <col min="2310" max="2310" width="9.140625" style="396" customWidth="1"/>
    <col min="2311" max="2311" width="12.28515625" style="396" customWidth="1"/>
    <col min="2312" max="2559" width="9.140625" style="396" customWidth="1"/>
    <col min="2560" max="2561" width="4" style="396"/>
    <col min="2562" max="2562" width="5.7109375" style="396" customWidth="1"/>
    <col min="2563" max="2563" width="8.42578125" style="396" customWidth="1"/>
    <col min="2564" max="2564" width="49.140625" style="396" customWidth="1"/>
    <col min="2565" max="2565" width="21.42578125" style="396" customWidth="1"/>
    <col min="2566" max="2566" width="9.140625" style="396" customWidth="1"/>
    <col min="2567" max="2567" width="12.28515625" style="396" customWidth="1"/>
    <col min="2568" max="2815" width="9.140625" style="396" customWidth="1"/>
    <col min="2816" max="2817" width="4" style="396"/>
    <col min="2818" max="2818" width="5.7109375" style="396" customWidth="1"/>
    <col min="2819" max="2819" width="8.42578125" style="396" customWidth="1"/>
    <col min="2820" max="2820" width="49.140625" style="396" customWidth="1"/>
    <col min="2821" max="2821" width="21.42578125" style="396" customWidth="1"/>
    <col min="2822" max="2822" width="9.140625" style="396" customWidth="1"/>
    <col min="2823" max="2823" width="12.28515625" style="396" customWidth="1"/>
    <col min="2824" max="3071" width="9.140625" style="396" customWidth="1"/>
    <col min="3072" max="3073" width="4" style="396"/>
    <col min="3074" max="3074" width="5.7109375" style="396" customWidth="1"/>
    <col min="3075" max="3075" width="8.42578125" style="396" customWidth="1"/>
    <col min="3076" max="3076" width="49.140625" style="396" customWidth="1"/>
    <col min="3077" max="3077" width="21.42578125" style="396" customWidth="1"/>
    <col min="3078" max="3078" width="9.140625" style="396" customWidth="1"/>
    <col min="3079" max="3079" width="12.28515625" style="396" customWidth="1"/>
    <col min="3080" max="3327" width="9.140625" style="396" customWidth="1"/>
    <col min="3328" max="3329" width="4" style="396"/>
    <col min="3330" max="3330" width="5.7109375" style="396" customWidth="1"/>
    <col min="3331" max="3331" width="8.42578125" style="396" customWidth="1"/>
    <col min="3332" max="3332" width="49.140625" style="396" customWidth="1"/>
    <col min="3333" max="3333" width="21.42578125" style="396" customWidth="1"/>
    <col min="3334" max="3334" width="9.140625" style="396" customWidth="1"/>
    <col min="3335" max="3335" width="12.28515625" style="396" customWidth="1"/>
    <col min="3336" max="3583" width="9.140625" style="396" customWidth="1"/>
    <col min="3584" max="3585" width="4" style="396"/>
    <col min="3586" max="3586" width="5.7109375" style="396" customWidth="1"/>
    <col min="3587" max="3587" width="8.42578125" style="396" customWidth="1"/>
    <col min="3588" max="3588" width="49.140625" style="396" customWidth="1"/>
    <col min="3589" max="3589" width="21.42578125" style="396" customWidth="1"/>
    <col min="3590" max="3590" width="9.140625" style="396" customWidth="1"/>
    <col min="3591" max="3591" width="12.28515625" style="396" customWidth="1"/>
    <col min="3592" max="3839" width="9.140625" style="396" customWidth="1"/>
    <col min="3840" max="3841" width="4" style="396"/>
    <col min="3842" max="3842" width="5.7109375" style="396" customWidth="1"/>
    <col min="3843" max="3843" width="8.42578125" style="396" customWidth="1"/>
    <col min="3844" max="3844" width="49.140625" style="396" customWidth="1"/>
    <col min="3845" max="3845" width="21.42578125" style="396" customWidth="1"/>
    <col min="3846" max="3846" width="9.140625" style="396" customWidth="1"/>
    <col min="3847" max="3847" width="12.28515625" style="396" customWidth="1"/>
    <col min="3848" max="4095" width="9.140625" style="396" customWidth="1"/>
    <col min="4096" max="4097" width="4" style="396"/>
    <col min="4098" max="4098" width="5.7109375" style="396" customWidth="1"/>
    <col min="4099" max="4099" width="8.42578125" style="396" customWidth="1"/>
    <col min="4100" max="4100" width="49.140625" style="396" customWidth="1"/>
    <col min="4101" max="4101" width="21.42578125" style="396" customWidth="1"/>
    <col min="4102" max="4102" width="9.140625" style="396" customWidth="1"/>
    <col min="4103" max="4103" width="12.28515625" style="396" customWidth="1"/>
    <col min="4104" max="4351" width="9.140625" style="396" customWidth="1"/>
    <col min="4352" max="4353" width="4" style="396"/>
    <col min="4354" max="4354" width="5.7109375" style="396" customWidth="1"/>
    <col min="4355" max="4355" width="8.42578125" style="396" customWidth="1"/>
    <col min="4356" max="4356" width="49.140625" style="396" customWidth="1"/>
    <col min="4357" max="4357" width="21.42578125" style="396" customWidth="1"/>
    <col min="4358" max="4358" width="9.140625" style="396" customWidth="1"/>
    <col min="4359" max="4359" width="12.28515625" style="396" customWidth="1"/>
    <col min="4360" max="4607" width="9.140625" style="396" customWidth="1"/>
    <col min="4608" max="4609" width="4" style="396"/>
    <col min="4610" max="4610" width="5.7109375" style="396" customWidth="1"/>
    <col min="4611" max="4611" width="8.42578125" style="396" customWidth="1"/>
    <col min="4612" max="4612" width="49.140625" style="396" customWidth="1"/>
    <col min="4613" max="4613" width="21.42578125" style="396" customWidth="1"/>
    <col min="4614" max="4614" width="9.140625" style="396" customWidth="1"/>
    <col min="4615" max="4615" width="12.28515625" style="396" customWidth="1"/>
    <col min="4616" max="4863" width="9.140625" style="396" customWidth="1"/>
    <col min="4864" max="4865" width="4" style="396"/>
    <col min="4866" max="4866" width="5.7109375" style="396" customWidth="1"/>
    <col min="4867" max="4867" width="8.42578125" style="396" customWidth="1"/>
    <col min="4868" max="4868" width="49.140625" style="396" customWidth="1"/>
    <col min="4869" max="4869" width="21.42578125" style="396" customWidth="1"/>
    <col min="4870" max="4870" width="9.140625" style="396" customWidth="1"/>
    <col min="4871" max="4871" width="12.28515625" style="396" customWidth="1"/>
    <col min="4872" max="5119" width="9.140625" style="396" customWidth="1"/>
    <col min="5120" max="5121" width="4" style="396"/>
    <col min="5122" max="5122" width="5.7109375" style="396" customWidth="1"/>
    <col min="5123" max="5123" width="8.42578125" style="396" customWidth="1"/>
    <col min="5124" max="5124" width="49.140625" style="396" customWidth="1"/>
    <col min="5125" max="5125" width="21.42578125" style="396" customWidth="1"/>
    <col min="5126" max="5126" width="9.140625" style="396" customWidth="1"/>
    <col min="5127" max="5127" width="12.28515625" style="396" customWidth="1"/>
    <col min="5128" max="5375" width="9.140625" style="396" customWidth="1"/>
    <col min="5376" max="5377" width="4" style="396"/>
    <col min="5378" max="5378" width="5.7109375" style="396" customWidth="1"/>
    <col min="5379" max="5379" width="8.42578125" style="396" customWidth="1"/>
    <col min="5380" max="5380" width="49.140625" style="396" customWidth="1"/>
    <col min="5381" max="5381" width="21.42578125" style="396" customWidth="1"/>
    <col min="5382" max="5382" width="9.140625" style="396" customWidth="1"/>
    <col min="5383" max="5383" width="12.28515625" style="396" customWidth="1"/>
    <col min="5384" max="5631" width="9.140625" style="396" customWidth="1"/>
    <col min="5632" max="5633" width="4" style="396"/>
    <col min="5634" max="5634" width="5.7109375" style="396" customWidth="1"/>
    <col min="5635" max="5635" width="8.42578125" style="396" customWidth="1"/>
    <col min="5636" max="5636" width="49.140625" style="396" customWidth="1"/>
    <col min="5637" max="5637" width="21.42578125" style="396" customWidth="1"/>
    <col min="5638" max="5638" width="9.140625" style="396" customWidth="1"/>
    <col min="5639" max="5639" width="12.28515625" style="396" customWidth="1"/>
    <col min="5640" max="5887" width="9.140625" style="396" customWidth="1"/>
    <col min="5888" max="5889" width="4" style="396"/>
    <col min="5890" max="5890" width="5.7109375" style="396" customWidth="1"/>
    <col min="5891" max="5891" width="8.42578125" style="396" customWidth="1"/>
    <col min="5892" max="5892" width="49.140625" style="396" customWidth="1"/>
    <col min="5893" max="5893" width="21.42578125" style="396" customWidth="1"/>
    <col min="5894" max="5894" width="9.140625" style="396" customWidth="1"/>
    <col min="5895" max="5895" width="12.28515625" style="396" customWidth="1"/>
    <col min="5896" max="6143" width="9.140625" style="396" customWidth="1"/>
    <col min="6144" max="6145" width="4" style="396"/>
    <col min="6146" max="6146" width="5.7109375" style="396" customWidth="1"/>
    <col min="6147" max="6147" width="8.42578125" style="396" customWidth="1"/>
    <col min="6148" max="6148" width="49.140625" style="396" customWidth="1"/>
    <col min="6149" max="6149" width="21.42578125" style="396" customWidth="1"/>
    <col min="6150" max="6150" width="9.140625" style="396" customWidth="1"/>
    <col min="6151" max="6151" width="12.28515625" style="396" customWidth="1"/>
    <col min="6152" max="6399" width="9.140625" style="396" customWidth="1"/>
    <col min="6400" max="6401" width="4" style="396"/>
    <col min="6402" max="6402" width="5.7109375" style="396" customWidth="1"/>
    <col min="6403" max="6403" width="8.42578125" style="396" customWidth="1"/>
    <col min="6404" max="6404" width="49.140625" style="396" customWidth="1"/>
    <col min="6405" max="6405" width="21.42578125" style="396" customWidth="1"/>
    <col min="6406" max="6406" width="9.140625" style="396" customWidth="1"/>
    <col min="6407" max="6407" width="12.28515625" style="396" customWidth="1"/>
    <col min="6408" max="6655" width="9.140625" style="396" customWidth="1"/>
    <col min="6656" max="6657" width="4" style="396"/>
    <col min="6658" max="6658" width="5.7109375" style="396" customWidth="1"/>
    <col min="6659" max="6659" width="8.42578125" style="396" customWidth="1"/>
    <col min="6660" max="6660" width="49.140625" style="396" customWidth="1"/>
    <col min="6661" max="6661" width="21.42578125" style="396" customWidth="1"/>
    <col min="6662" max="6662" width="9.140625" style="396" customWidth="1"/>
    <col min="6663" max="6663" width="12.28515625" style="396" customWidth="1"/>
    <col min="6664" max="6911" width="9.140625" style="396" customWidth="1"/>
    <col min="6912" max="6913" width="4" style="396"/>
    <col min="6914" max="6914" width="5.7109375" style="396" customWidth="1"/>
    <col min="6915" max="6915" width="8.42578125" style="396" customWidth="1"/>
    <col min="6916" max="6916" width="49.140625" style="396" customWidth="1"/>
    <col min="6917" max="6917" width="21.42578125" style="396" customWidth="1"/>
    <col min="6918" max="6918" width="9.140625" style="396" customWidth="1"/>
    <col min="6919" max="6919" width="12.28515625" style="396" customWidth="1"/>
    <col min="6920" max="7167" width="9.140625" style="396" customWidth="1"/>
    <col min="7168" max="7169" width="4" style="396"/>
    <col min="7170" max="7170" width="5.7109375" style="396" customWidth="1"/>
    <col min="7171" max="7171" width="8.42578125" style="396" customWidth="1"/>
    <col min="7172" max="7172" width="49.140625" style="396" customWidth="1"/>
    <col min="7173" max="7173" width="21.42578125" style="396" customWidth="1"/>
    <col min="7174" max="7174" width="9.140625" style="396" customWidth="1"/>
    <col min="7175" max="7175" width="12.28515625" style="396" customWidth="1"/>
    <col min="7176" max="7423" width="9.140625" style="396" customWidth="1"/>
    <col min="7424" max="7425" width="4" style="396"/>
    <col min="7426" max="7426" width="5.7109375" style="396" customWidth="1"/>
    <col min="7427" max="7427" width="8.42578125" style="396" customWidth="1"/>
    <col min="7428" max="7428" width="49.140625" style="396" customWidth="1"/>
    <col min="7429" max="7429" width="21.42578125" style="396" customWidth="1"/>
    <col min="7430" max="7430" width="9.140625" style="396" customWidth="1"/>
    <col min="7431" max="7431" width="12.28515625" style="396" customWidth="1"/>
    <col min="7432" max="7679" width="9.140625" style="396" customWidth="1"/>
    <col min="7680" max="7681" width="4" style="396"/>
    <col min="7682" max="7682" width="5.7109375" style="396" customWidth="1"/>
    <col min="7683" max="7683" width="8.42578125" style="396" customWidth="1"/>
    <col min="7684" max="7684" width="49.140625" style="396" customWidth="1"/>
    <col min="7685" max="7685" width="21.42578125" style="396" customWidth="1"/>
    <col min="7686" max="7686" width="9.140625" style="396" customWidth="1"/>
    <col min="7687" max="7687" width="12.28515625" style="396" customWidth="1"/>
    <col min="7688" max="7935" width="9.140625" style="396" customWidth="1"/>
    <col min="7936" max="7937" width="4" style="396"/>
    <col min="7938" max="7938" width="5.7109375" style="396" customWidth="1"/>
    <col min="7939" max="7939" width="8.42578125" style="396" customWidth="1"/>
    <col min="7940" max="7940" width="49.140625" style="396" customWidth="1"/>
    <col min="7941" max="7941" width="21.42578125" style="396" customWidth="1"/>
    <col min="7942" max="7942" width="9.140625" style="396" customWidth="1"/>
    <col min="7943" max="7943" width="12.28515625" style="396" customWidth="1"/>
    <col min="7944" max="8191" width="9.140625" style="396" customWidth="1"/>
    <col min="8192" max="8193" width="4" style="396"/>
    <col min="8194" max="8194" width="5.7109375" style="396" customWidth="1"/>
    <col min="8195" max="8195" width="8.42578125" style="396" customWidth="1"/>
    <col min="8196" max="8196" width="49.140625" style="396" customWidth="1"/>
    <col min="8197" max="8197" width="21.42578125" style="396" customWidth="1"/>
    <col min="8198" max="8198" width="9.140625" style="396" customWidth="1"/>
    <col min="8199" max="8199" width="12.28515625" style="396" customWidth="1"/>
    <col min="8200" max="8447" width="9.140625" style="396" customWidth="1"/>
    <col min="8448" max="8449" width="4" style="396"/>
    <col min="8450" max="8450" width="5.7109375" style="396" customWidth="1"/>
    <col min="8451" max="8451" width="8.42578125" style="396" customWidth="1"/>
    <col min="8452" max="8452" width="49.140625" style="396" customWidth="1"/>
    <col min="8453" max="8453" width="21.42578125" style="396" customWidth="1"/>
    <col min="8454" max="8454" width="9.140625" style="396" customWidth="1"/>
    <col min="8455" max="8455" width="12.28515625" style="396" customWidth="1"/>
    <col min="8456" max="8703" width="9.140625" style="396" customWidth="1"/>
    <col min="8704" max="8705" width="4" style="396"/>
    <col min="8706" max="8706" width="5.7109375" style="396" customWidth="1"/>
    <col min="8707" max="8707" width="8.42578125" style="396" customWidth="1"/>
    <col min="8708" max="8708" width="49.140625" style="396" customWidth="1"/>
    <col min="8709" max="8709" width="21.42578125" style="396" customWidth="1"/>
    <col min="8710" max="8710" width="9.140625" style="396" customWidth="1"/>
    <col min="8711" max="8711" width="12.28515625" style="396" customWidth="1"/>
    <col min="8712" max="8959" width="9.140625" style="396" customWidth="1"/>
    <col min="8960" max="8961" width="4" style="396"/>
    <col min="8962" max="8962" width="5.7109375" style="396" customWidth="1"/>
    <col min="8963" max="8963" width="8.42578125" style="396" customWidth="1"/>
    <col min="8964" max="8964" width="49.140625" style="396" customWidth="1"/>
    <col min="8965" max="8965" width="21.42578125" style="396" customWidth="1"/>
    <col min="8966" max="8966" width="9.140625" style="396" customWidth="1"/>
    <col min="8967" max="8967" width="12.28515625" style="396" customWidth="1"/>
    <col min="8968" max="9215" width="9.140625" style="396" customWidth="1"/>
    <col min="9216" max="9217" width="4" style="396"/>
    <col min="9218" max="9218" width="5.7109375" style="396" customWidth="1"/>
    <col min="9219" max="9219" width="8.42578125" style="396" customWidth="1"/>
    <col min="9220" max="9220" width="49.140625" style="396" customWidth="1"/>
    <col min="9221" max="9221" width="21.42578125" style="396" customWidth="1"/>
    <col min="9222" max="9222" width="9.140625" style="396" customWidth="1"/>
    <col min="9223" max="9223" width="12.28515625" style="396" customWidth="1"/>
    <col min="9224" max="9471" width="9.140625" style="396" customWidth="1"/>
    <col min="9472" max="9473" width="4" style="396"/>
    <col min="9474" max="9474" width="5.7109375" style="396" customWidth="1"/>
    <col min="9475" max="9475" width="8.42578125" style="396" customWidth="1"/>
    <col min="9476" max="9476" width="49.140625" style="396" customWidth="1"/>
    <col min="9477" max="9477" width="21.42578125" style="396" customWidth="1"/>
    <col min="9478" max="9478" width="9.140625" style="396" customWidth="1"/>
    <col min="9479" max="9479" width="12.28515625" style="396" customWidth="1"/>
    <col min="9480" max="9727" width="9.140625" style="396" customWidth="1"/>
    <col min="9728" max="9729" width="4" style="396"/>
    <col min="9730" max="9730" width="5.7109375" style="396" customWidth="1"/>
    <col min="9731" max="9731" width="8.42578125" style="396" customWidth="1"/>
    <col min="9732" max="9732" width="49.140625" style="396" customWidth="1"/>
    <col min="9733" max="9733" width="21.42578125" style="396" customWidth="1"/>
    <col min="9734" max="9734" width="9.140625" style="396" customWidth="1"/>
    <col min="9735" max="9735" width="12.28515625" style="396" customWidth="1"/>
    <col min="9736" max="9983" width="9.140625" style="396" customWidth="1"/>
    <col min="9984" max="9985" width="4" style="396"/>
    <col min="9986" max="9986" width="5.7109375" style="396" customWidth="1"/>
    <col min="9987" max="9987" width="8.42578125" style="396" customWidth="1"/>
    <col min="9988" max="9988" width="49.140625" style="396" customWidth="1"/>
    <col min="9989" max="9989" width="21.42578125" style="396" customWidth="1"/>
    <col min="9990" max="9990" width="9.140625" style="396" customWidth="1"/>
    <col min="9991" max="9991" width="12.28515625" style="396" customWidth="1"/>
    <col min="9992" max="10239" width="9.140625" style="396" customWidth="1"/>
    <col min="10240" max="10241" width="4" style="396"/>
    <col min="10242" max="10242" width="5.7109375" style="396" customWidth="1"/>
    <col min="10243" max="10243" width="8.42578125" style="396" customWidth="1"/>
    <col min="10244" max="10244" width="49.140625" style="396" customWidth="1"/>
    <col min="10245" max="10245" width="21.42578125" style="396" customWidth="1"/>
    <col min="10246" max="10246" width="9.140625" style="396" customWidth="1"/>
    <col min="10247" max="10247" width="12.28515625" style="396" customWidth="1"/>
    <col min="10248" max="10495" width="9.140625" style="396" customWidth="1"/>
    <col min="10496" max="10497" width="4" style="396"/>
    <col min="10498" max="10498" width="5.7109375" style="396" customWidth="1"/>
    <col min="10499" max="10499" width="8.42578125" style="396" customWidth="1"/>
    <col min="10500" max="10500" width="49.140625" style="396" customWidth="1"/>
    <col min="10501" max="10501" width="21.42578125" style="396" customWidth="1"/>
    <col min="10502" max="10502" width="9.140625" style="396" customWidth="1"/>
    <col min="10503" max="10503" width="12.28515625" style="396" customWidth="1"/>
    <col min="10504" max="10751" width="9.140625" style="396" customWidth="1"/>
    <col min="10752" max="10753" width="4" style="396"/>
    <col min="10754" max="10754" width="5.7109375" style="396" customWidth="1"/>
    <col min="10755" max="10755" width="8.42578125" style="396" customWidth="1"/>
    <col min="10756" max="10756" width="49.140625" style="396" customWidth="1"/>
    <col min="10757" max="10757" width="21.42578125" style="396" customWidth="1"/>
    <col min="10758" max="10758" width="9.140625" style="396" customWidth="1"/>
    <col min="10759" max="10759" width="12.28515625" style="396" customWidth="1"/>
    <col min="10760" max="11007" width="9.140625" style="396" customWidth="1"/>
    <col min="11008" max="11009" width="4" style="396"/>
    <col min="11010" max="11010" width="5.7109375" style="396" customWidth="1"/>
    <col min="11011" max="11011" width="8.42578125" style="396" customWidth="1"/>
    <col min="11012" max="11012" width="49.140625" style="396" customWidth="1"/>
    <col min="11013" max="11013" width="21.42578125" style="396" customWidth="1"/>
    <col min="11014" max="11014" width="9.140625" style="396" customWidth="1"/>
    <col min="11015" max="11015" width="12.28515625" style="396" customWidth="1"/>
    <col min="11016" max="11263" width="9.140625" style="396" customWidth="1"/>
    <col min="11264" max="11265" width="4" style="396"/>
    <col min="11266" max="11266" width="5.7109375" style="396" customWidth="1"/>
    <col min="11267" max="11267" width="8.42578125" style="396" customWidth="1"/>
    <col min="11268" max="11268" width="49.140625" style="396" customWidth="1"/>
    <col min="11269" max="11269" width="21.42578125" style="396" customWidth="1"/>
    <col min="11270" max="11270" width="9.140625" style="396" customWidth="1"/>
    <col min="11271" max="11271" width="12.28515625" style="396" customWidth="1"/>
    <col min="11272" max="11519" width="9.140625" style="396" customWidth="1"/>
    <col min="11520" max="11521" width="4" style="396"/>
    <col min="11522" max="11522" width="5.7109375" style="396" customWidth="1"/>
    <col min="11523" max="11523" width="8.42578125" style="396" customWidth="1"/>
    <col min="11524" max="11524" width="49.140625" style="396" customWidth="1"/>
    <col min="11525" max="11525" width="21.42578125" style="396" customWidth="1"/>
    <col min="11526" max="11526" width="9.140625" style="396" customWidth="1"/>
    <col min="11527" max="11527" width="12.28515625" style="396" customWidth="1"/>
    <col min="11528" max="11775" width="9.140625" style="396" customWidth="1"/>
    <col min="11776" max="11777" width="4" style="396"/>
    <col min="11778" max="11778" width="5.7109375" style="396" customWidth="1"/>
    <col min="11779" max="11779" width="8.42578125" style="396" customWidth="1"/>
    <col min="11780" max="11780" width="49.140625" style="396" customWidth="1"/>
    <col min="11781" max="11781" width="21.42578125" style="396" customWidth="1"/>
    <col min="11782" max="11782" width="9.140625" style="396" customWidth="1"/>
    <col min="11783" max="11783" width="12.28515625" style="396" customWidth="1"/>
    <col min="11784" max="12031" width="9.140625" style="396" customWidth="1"/>
    <col min="12032" max="12033" width="4" style="396"/>
    <col min="12034" max="12034" width="5.7109375" style="396" customWidth="1"/>
    <col min="12035" max="12035" width="8.42578125" style="396" customWidth="1"/>
    <col min="12036" max="12036" width="49.140625" style="396" customWidth="1"/>
    <col min="12037" max="12037" width="21.42578125" style="396" customWidth="1"/>
    <col min="12038" max="12038" width="9.140625" style="396" customWidth="1"/>
    <col min="12039" max="12039" width="12.28515625" style="396" customWidth="1"/>
    <col min="12040" max="12287" width="9.140625" style="396" customWidth="1"/>
    <col min="12288" max="12289" width="4" style="396"/>
    <col min="12290" max="12290" width="5.7109375" style="396" customWidth="1"/>
    <col min="12291" max="12291" width="8.42578125" style="396" customWidth="1"/>
    <col min="12292" max="12292" width="49.140625" style="396" customWidth="1"/>
    <col min="12293" max="12293" width="21.42578125" style="396" customWidth="1"/>
    <col min="12294" max="12294" width="9.140625" style="396" customWidth="1"/>
    <col min="12295" max="12295" width="12.28515625" style="396" customWidth="1"/>
    <col min="12296" max="12543" width="9.140625" style="396" customWidth="1"/>
    <col min="12544" max="12545" width="4" style="396"/>
    <col min="12546" max="12546" width="5.7109375" style="396" customWidth="1"/>
    <col min="12547" max="12547" width="8.42578125" style="396" customWidth="1"/>
    <col min="12548" max="12548" width="49.140625" style="396" customWidth="1"/>
    <col min="12549" max="12549" width="21.42578125" style="396" customWidth="1"/>
    <col min="12550" max="12550" width="9.140625" style="396" customWidth="1"/>
    <col min="12551" max="12551" width="12.28515625" style="396" customWidth="1"/>
    <col min="12552" max="12799" width="9.140625" style="396" customWidth="1"/>
    <col min="12800" max="12801" width="4" style="396"/>
    <col min="12802" max="12802" width="5.7109375" style="396" customWidth="1"/>
    <col min="12803" max="12803" width="8.42578125" style="396" customWidth="1"/>
    <col min="12804" max="12804" width="49.140625" style="396" customWidth="1"/>
    <col min="12805" max="12805" width="21.42578125" style="396" customWidth="1"/>
    <col min="12806" max="12806" width="9.140625" style="396" customWidth="1"/>
    <col min="12807" max="12807" width="12.28515625" style="396" customWidth="1"/>
    <col min="12808" max="13055" width="9.140625" style="396" customWidth="1"/>
    <col min="13056" max="13057" width="4" style="396"/>
    <col min="13058" max="13058" width="5.7109375" style="396" customWidth="1"/>
    <col min="13059" max="13059" width="8.42578125" style="396" customWidth="1"/>
    <col min="13060" max="13060" width="49.140625" style="396" customWidth="1"/>
    <col min="13061" max="13061" width="21.42578125" style="396" customWidth="1"/>
    <col min="13062" max="13062" width="9.140625" style="396" customWidth="1"/>
    <col min="13063" max="13063" width="12.28515625" style="396" customWidth="1"/>
    <col min="13064" max="13311" width="9.140625" style="396" customWidth="1"/>
    <col min="13312" max="13313" width="4" style="396"/>
    <col min="13314" max="13314" width="5.7109375" style="396" customWidth="1"/>
    <col min="13315" max="13315" width="8.42578125" style="396" customWidth="1"/>
    <col min="13316" max="13316" width="49.140625" style="396" customWidth="1"/>
    <col min="13317" max="13317" width="21.42578125" style="396" customWidth="1"/>
    <col min="13318" max="13318" width="9.140625" style="396" customWidth="1"/>
    <col min="13319" max="13319" width="12.28515625" style="396" customWidth="1"/>
    <col min="13320" max="13567" width="9.140625" style="396" customWidth="1"/>
    <col min="13568" max="13569" width="4" style="396"/>
    <col min="13570" max="13570" width="5.7109375" style="396" customWidth="1"/>
    <col min="13571" max="13571" width="8.42578125" style="396" customWidth="1"/>
    <col min="13572" max="13572" width="49.140625" style="396" customWidth="1"/>
    <col min="13573" max="13573" width="21.42578125" style="396" customWidth="1"/>
    <col min="13574" max="13574" width="9.140625" style="396" customWidth="1"/>
    <col min="13575" max="13575" width="12.28515625" style="396" customWidth="1"/>
    <col min="13576" max="13823" width="9.140625" style="396" customWidth="1"/>
    <col min="13824" max="13825" width="4" style="396"/>
    <col min="13826" max="13826" width="5.7109375" style="396" customWidth="1"/>
    <col min="13827" max="13827" width="8.42578125" style="396" customWidth="1"/>
    <col min="13828" max="13828" width="49.140625" style="396" customWidth="1"/>
    <col min="13829" max="13829" width="21.42578125" style="396" customWidth="1"/>
    <col min="13830" max="13830" width="9.140625" style="396" customWidth="1"/>
    <col min="13831" max="13831" width="12.28515625" style="396" customWidth="1"/>
    <col min="13832" max="14079" width="9.140625" style="396" customWidth="1"/>
    <col min="14080" max="14081" width="4" style="396"/>
    <col min="14082" max="14082" width="5.7109375" style="396" customWidth="1"/>
    <col min="14083" max="14083" width="8.42578125" style="396" customWidth="1"/>
    <col min="14084" max="14084" width="49.140625" style="396" customWidth="1"/>
    <col min="14085" max="14085" width="21.42578125" style="396" customWidth="1"/>
    <col min="14086" max="14086" width="9.140625" style="396" customWidth="1"/>
    <col min="14087" max="14087" width="12.28515625" style="396" customWidth="1"/>
    <col min="14088" max="14335" width="9.140625" style="396" customWidth="1"/>
    <col min="14336" max="14337" width="4" style="396"/>
    <col min="14338" max="14338" width="5.7109375" style="396" customWidth="1"/>
    <col min="14339" max="14339" width="8.42578125" style="396" customWidth="1"/>
    <col min="14340" max="14340" width="49.140625" style="396" customWidth="1"/>
    <col min="14341" max="14341" width="21.42578125" style="396" customWidth="1"/>
    <col min="14342" max="14342" width="9.140625" style="396" customWidth="1"/>
    <col min="14343" max="14343" width="12.28515625" style="396" customWidth="1"/>
    <col min="14344" max="14591" width="9.140625" style="396" customWidth="1"/>
    <col min="14592" max="14593" width="4" style="396"/>
    <col min="14594" max="14594" width="5.7109375" style="396" customWidth="1"/>
    <col min="14595" max="14595" width="8.42578125" style="396" customWidth="1"/>
    <col min="14596" max="14596" width="49.140625" style="396" customWidth="1"/>
    <col min="14597" max="14597" width="21.42578125" style="396" customWidth="1"/>
    <col min="14598" max="14598" width="9.140625" style="396" customWidth="1"/>
    <col min="14599" max="14599" width="12.28515625" style="396" customWidth="1"/>
    <col min="14600" max="14847" width="9.140625" style="396" customWidth="1"/>
    <col min="14848" max="14849" width="4" style="396"/>
    <col min="14850" max="14850" width="5.7109375" style="396" customWidth="1"/>
    <col min="14851" max="14851" width="8.42578125" style="396" customWidth="1"/>
    <col min="14852" max="14852" width="49.140625" style="396" customWidth="1"/>
    <col min="14853" max="14853" width="21.42578125" style="396" customWidth="1"/>
    <col min="14854" max="14854" width="9.140625" style="396" customWidth="1"/>
    <col min="14855" max="14855" width="12.28515625" style="396" customWidth="1"/>
    <col min="14856" max="15103" width="9.140625" style="396" customWidth="1"/>
    <col min="15104" max="15105" width="4" style="396"/>
    <col min="15106" max="15106" width="5.7109375" style="396" customWidth="1"/>
    <col min="15107" max="15107" width="8.42578125" style="396" customWidth="1"/>
    <col min="15108" max="15108" width="49.140625" style="396" customWidth="1"/>
    <col min="15109" max="15109" width="21.42578125" style="396" customWidth="1"/>
    <col min="15110" max="15110" width="9.140625" style="396" customWidth="1"/>
    <col min="15111" max="15111" width="12.28515625" style="396" customWidth="1"/>
    <col min="15112" max="15359" width="9.140625" style="396" customWidth="1"/>
    <col min="15360" max="15361" width="4" style="396"/>
    <col min="15362" max="15362" width="5.7109375" style="396" customWidth="1"/>
    <col min="15363" max="15363" width="8.42578125" style="396" customWidth="1"/>
    <col min="15364" max="15364" width="49.140625" style="396" customWidth="1"/>
    <col min="15365" max="15365" width="21.42578125" style="396" customWidth="1"/>
    <col min="15366" max="15366" width="9.140625" style="396" customWidth="1"/>
    <col min="15367" max="15367" width="12.28515625" style="396" customWidth="1"/>
    <col min="15368" max="15615" width="9.140625" style="396" customWidth="1"/>
    <col min="15616" max="15617" width="4" style="396"/>
    <col min="15618" max="15618" width="5.7109375" style="396" customWidth="1"/>
    <col min="15619" max="15619" width="8.42578125" style="396" customWidth="1"/>
    <col min="15620" max="15620" width="49.140625" style="396" customWidth="1"/>
    <col min="15621" max="15621" width="21.42578125" style="396" customWidth="1"/>
    <col min="15622" max="15622" width="9.140625" style="396" customWidth="1"/>
    <col min="15623" max="15623" width="12.28515625" style="396" customWidth="1"/>
    <col min="15624" max="15871" width="9.140625" style="396" customWidth="1"/>
    <col min="15872" max="15873" width="4" style="396"/>
    <col min="15874" max="15874" width="5.7109375" style="396" customWidth="1"/>
    <col min="15875" max="15875" width="8.42578125" style="396" customWidth="1"/>
    <col min="15876" max="15876" width="49.140625" style="396" customWidth="1"/>
    <col min="15877" max="15877" width="21.42578125" style="396" customWidth="1"/>
    <col min="15878" max="15878" width="9.140625" style="396" customWidth="1"/>
    <col min="15879" max="15879" width="12.28515625" style="396" customWidth="1"/>
    <col min="15880" max="16127" width="9.140625" style="396" customWidth="1"/>
    <col min="16128" max="16129" width="4" style="396"/>
    <col min="16130" max="16130" width="5.7109375" style="396" customWidth="1"/>
    <col min="16131" max="16131" width="8.42578125" style="396" customWidth="1"/>
    <col min="16132" max="16132" width="49.140625" style="396" customWidth="1"/>
    <col min="16133" max="16133" width="21.42578125" style="396" customWidth="1"/>
    <col min="16134" max="16134" width="9.140625" style="396" customWidth="1"/>
    <col min="16135" max="16135" width="12.28515625" style="396" customWidth="1"/>
    <col min="16136" max="16383" width="9.140625" style="396" customWidth="1"/>
    <col min="16384" max="16384" width="4" style="396"/>
  </cols>
  <sheetData>
    <row r="1" spans="1:7" x14ac:dyDescent="0.2">
      <c r="A1" s="184"/>
      <c r="D1" s="192"/>
      <c r="E1" s="185" t="s">
        <v>301</v>
      </c>
    </row>
    <row r="2" spans="1:7" x14ac:dyDescent="0.2">
      <c r="D2" s="192"/>
      <c r="E2" s="3" t="s">
        <v>266</v>
      </c>
    </row>
    <row r="3" spans="1:7" x14ac:dyDescent="0.2">
      <c r="D3" s="192"/>
      <c r="E3" s="3" t="s">
        <v>64</v>
      </c>
    </row>
    <row r="4" spans="1:7" x14ac:dyDescent="0.2">
      <c r="D4" s="192"/>
      <c r="E4" s="3" t="s">
        <v>267</v>
      </c>
    </row>
    <row r="5" spans="1:7" ht="9.75" customHeight="1" x14ac:dyDescent="0.2">
      <c r="D5" s="185"/>
      <c r="E5" s="184"/>
    </row>
    <row r="6" spans="1:7" ht="15.75" customHeight="1" x14ac:dyDescent="0.2">
      <c r="A6" s="186" t="s">
        <v>276</v>
      </c>
      <c r="B6" s="186"/>
      <c r="C6" s="186"/>
      <c r="D6" s="186"/>
      <c r="E6" s="186"/>
    </row>
    <row r="7" spans="1:7" ht="15.75" customHeight="1" x14ac:dyDescent="0.2">
      <c r="A7" s="186" t="s">
        <v>302</v>
      </c>
      <c r="B7" s="186"/>
      <c r="C7" s="186"/>
      <c r="D7" s="186"/>
      <c r="E7" s="186"/>
    </row>
    <row r="8" spans="1:7" ht="9.75" customHeight="1" x14ac:dyDescent="0.2">
      <c r="E8" s="187"/>
    </row>
    <row r="9" spans="1:7" ht="10.5" customHeight="1" x14ac:dyDescent="0.2">
      <c r="E9" s="221" t="s">
        <v>1</v>
      </c>
    </row>
    <row r="10" spans="1:7" ht="20.25" customHeight="1" x14ac:dyDescent="0.2">
      <c r="A10" s="222" t="s">
        <v>27</v>
      </c>
      <c r="B10" s="189" t="s">
        <v>18</v>
      </c>
      <c r="C10" s="189" t="s">
        <v>21</v>
      </c>
      <c r="D10" s="223" t="s">
        <v>33</v>
      </c>
      <c r="E10" s="189" t="s">
        <v>278</v>
      </c>
    </row>
    <row r="11" spans="1:7" s="191" customFormat="1" ht="10.5" customHeight="1" x14ac:dyDescent="0.2">
      <c r="A11" s="190">
        <v>1</v>
      </c>
      <c r="B11" s="190">
        <v>2</v>
      </c>
      <c r="C11" s="190">
        <v>3</v>
      </c>
      <c r="D11" s="224">
        <v>4</v>
      </c>
      <c r="E11" s="190">
        <v>5</v>
      </c>
      <c r="F11" s="192"/>
      <c r="G11" s="225"/>
    </row>
    <row r="12" spans="1:7" ht="17.25" customHeight="1" x14ac:dyDescent="0.2">
      <c r="A12" s="193" t="s">
        <v>279</v>
      </c>
      <c r="B12" s="194"/>
      <c r="C12" s="194"/>
      <c r="D12" s="194"/>
      <c r="E12" s="195"/>
    </row>
    <row r="13" spans="1:7" ht="15.75" customHeight="1" x14ac:dyDescent="0.2">
      <c r="A13" s="226">
        <v>1</v>
      </c>
      <c r="B13" s="226">
        <v>700</v>
      </c>
      <c r="C13" s="226">
        <v>70095</v>
      </c>
      <c r="D13" s="227" t="s">
        <v>303</v>
      </c>
      <c r="E13" s="204">
        <f>1500000-320000</f>
        <v>1180000</v>
      </c>
      <c r="F13" s="228"/>
    </row>
    <row r="14" spans="1:7" ht="26.25" customHeight="1" x14ac:dyDescent="0.2">
      <c r="A14" s="196">
        <v>2</v>
      </c>
      <c r="B14" s="196">
        <v>750</v>
      </c>
      <c r="C14" s="196">
        <v>75095</v>
      </c>
      <c r="D14" s="229" t="s">
        <v>304</v>
      </c>
      <c r="E14" s="198">
        <v>85000</v>
      </c>
      <c r="G14" s="230"/>
    </row>
    <row r="15" spans="1:7" ht="15" customHeight="1" x14ac:dyDescent="0.2">
      <c r="A15" s="196">
        <v>3</v>
      </c>
      <c r="B15" s="196">
        <v>755</v>
      </c>
      <c r="C15" s="196">
        <v>75515</v>
      </c>
      <c r="D15" s="229" t="s">
        <v>305</v>
      </c>
      <c r="E15" s="204">
        <v>128040</v>
      </c>
      <c r="G15" s="230"/>
    </row>
    <row r="16" spans="1:7" ht="15.75" customHeight="1" x14ac:dyDescent="0.2">
      <c r="A16" s="203">
        <v>4</v>
      </c>
      <c r="B16" s="203">
        <v>801</v>
      </c>
      <c r="C16" s="203">
        <v>80101</v>
      </c>
      <c r="D16" s="231" t="s">
        <v>151</v>
      </c>
      <c r="E16" s="204">
        <f>24797.85</f>
        <v>24797.85</v>
      </c>
      <c r="G16" s="230"/>
    </row>
    <row r="17" spans="1:7" ht="15" customHeight="1" x14ac:dyDescent="0.2">
      <c r="A17" s="232"/>
      <c r="B17" s="233"/>
      <c r="C17" s="234"/>
      <c r="D17" s="235" t="s">
        <v>306</v>
      </c>
      <c r="E17" s="236"/>
      <c r="G17" s="230"/>
    </row>
    <row r="18" spans="1:7" ht="23.25" customHeight="1" x14ac:dyDescent="0.2">
      <c r="A18" s="237"/>
      <c r="B18" s="238"/>
      <c r="C18" s="239"/>
      <c r="D18" s="240" t="s">
        <v>307</v>
      </c>
      <c r="E18" s="241"/>
      <c r="G18" s="230"/>
    </row>
    <row r="19" spans="1:7" ht="15" customHeight="1" x14ac:dyDescent="0.2">
      <c r="A19" s="206"/>
      <c r="B19" s="207"/>
      <c r="C19" s="242"/>
      <c r="D19" s="243" t="s">
        <v>308</v>
      </c>
      <c r="E19" s="244"/>
      <c r="G19" s="230"/>
    </row>
    <row r="20" spans="1:7" ht="15.75" customHeight="1" x14ac:dyDescent="0.2">
      <c r="A20" s="203">
        <v>5</v>
      </c>
      <c r="B20" s="203">
        <v>801</v>
      </c>
      <c r="C20" s="203">
        <v>80104</v>
      </c>
      <c r="D20" s="231" t="s">
        <v>170</v>
      </c>
      <c r="E20" s="204">
        <v>2391.3200000000002</v>
      </c>
      <c r="G20" s="230"/>
    </row>
    <row r="21" spans="1:7" ht="15" customHeight="1" x14ac:dyDescent="0.2">
      <c r="A21" s="232"/>
      <c r="B21" s="233"/>
      <c r="C21" s="234"/>
      <c r="D21" s="245" t="s">
        <v>309</v>
      </c>
      <c r="E21" s="236"/>
      <c r="G21" s="230"/>
    </row>
    <row r="22" spans="1:7" ht="15" customHeight="1" x14ac:dyDescent="0.2">
      <c r="A22" s="237"/>
      <c r="B22" s="238"/>
      <c r="C22" s="239"/>
      <c r="D22" s="245" t="s">
        <v>310</v>
      </c>
      <c r="E22" s="246"/>
      <c r="G22" s="230"/>
    </row>
    <row r="23" spans="1:7" ht="15" customHeight="1" x14ac:dyDescent="0.2">
      <c r="A23" s="237"/>
      <c r="B23" s="238"/>
      <c r="C23" s="239"/>
      <c r="D23" s="247" t="s">
        <v>311</v>
      </c>
      <c r="E23" s="246"/>
      <c r="G23" s="230"/>
    </row>
    <row r="24" spans="1:7" ht="15" customHeight="1" x14ac:dyDescent="0.2">
      <c r="A24" s="206"/>
      <c r="B24" s="207"/>
      <c r="C24" s="242"/>
      <c r="D24" s="248" t="s">
        <v>312</v>
      </c>
      <c r="E24" s="244"/>
      <c r="G24" s="230"/>
    </row>
    <row r="25" spans="1:7" ht="15.75" customHeight="1" x14ac:dyDescent="0.2">
      <c r="A25" s="203">
        <v>6</v>
      </c>
      <c r="B25" s="203">
        <v>801</v>
      </c>
      <c r="C25" s="203">
        <v>80120</v>
      </c>
      <c r="D25" s="231" t="s">
        <v>182</v>
      </c>
      <c r="E25" s="204">
        <v>12774.65</v>
      </c>
      <c r="G25" s="230"/>
    </row>
    <row r="26" spans="1:7" ht="15" customHeight="1" x14ac:dyDescent="0.2">
      <c r="A26" s="231"/>
      <c r="B26" s="249"/>
      <c r="C26" s="208"/>
      <c r="D26" s="250" t="s">
        <v>313</v>
      </c>
      <c r="E26" s="204"/>
      <c r="G26" s="230"/>
    </row>
    <row r="27" spans="1:7" ht="51" customHeight="1" x14ac:dyDescent="0.2">
      <c r="A27" s="251">
        <v>7</v>
      </c>
      <c r="B27" s="251">
        <v>801</v>
      </c>
      <c r="C27" s="251">
        <v>80153</v>
      </c>
      <c r="D27" s="252" t="s">
        <v>314</v>
      </c>
      <c r="E27" s="253">
        <f>33841+15955</f>
        <v>49796</v>
      </c>
      <c r="G27" s="230"/>
    </row>
    <row r="28" spans="1:7" ht="15" customHeight="1" x14ac:dyDescent="0.2">
      <c r="A28" s="254"/>
      <c r="B28" s="254"/>
      <c r="C28" s="254"/>
      <c r="D28" s="255" t="s">
        <v>315</v>
      </c>
      <c r="E28" s="256"/>
      <c r="G28" s="230"/>
    </row>
    <row r="29" spans="1:7" ht="15" customHeight="1" x14ac:dyDescent="0.2">
      <c r="A29" s="257"/>
      <c r="B29" s="257"/>
      <c r="C29" s="257"/>
      <c r="D29" s="258" t="s">
        <v>308</v>
      </c>
      <c r="E29" s="259"/>
      <c r="G29" s="230"/>
    </row>
    <row r="30" spans="1:7" ht="15" customHeight="1" x14ac:dyDescent="0.2">
      <c r="A30" s="260"/>
      <c r="B30" s="260"/>
      <c r="C30" s="260"/>
      <c r="D30" s="261" t="s">
        <v>316</v>
      </c>
      <c r="E30" s="262"/>
      <c r="G30" s="230"/>
    </row>
    <row r="31" spans="1:7" ht="42" customHeight="1" x14ac:dyDescent="0.2">
      <c r="A31" s="263">
        <v>8</v>
      </c>
      <c r="B31" s="263">
        <v>801</v>
      </c>
      <c r="C31" s="263">
        <v>80195</v>
      </c>
      <c r="D31" s="264" t="s">
        <v>317</v>
      </c>
      <c r="E31" s="265">
        <f>533646-31962+295000</f>
        <v>796684</v>
      </c>
      <c r="G31" s="230"/>
    </row>
    <row r="32" spans="1:7" ht="15" customHeight="1" x14ac:dyDescent="0.2">
      <c r="A32" s="203">
        <v>9</v>
      </c>
      <c r="B32" s="203">
        <v>851</v>
      </c>
      <c r="C32" s="203">
        <v>85153</v>
      </c>
      <c r="D32" s="206" t="s">
        <v>318</v>
      </c>
      <c r="E32" s="244">
        <v>55000</v>
      </c>
      <c r="G32" s="230"/>
    </row>
    <row r="33" spans="1:6" s="220" customFormat="1" ht="39" customHeight="1" x14ac:dyDescent="0.2">
      <c r="A33" s="196">
        <v>10</v>
      </c>
      <c r="B33" s="196">
        <v>851</v>
      </c>
      <c r="C33" s="196">
        <v>85154</v>
      </c>
      <c r="D33" s="229" t="s">
        <v>319</v>
      </c>
      <c r="E33" s="198">
        <v>550000</v>
      </c>
      <c r="F33" s="184"/>
    </row>
    <row r="34" spans="1:6" s="220" customFormat="1" ht="27" customHeight="1" x14ac:dyDescent="0.2">
      <c r="A34" s="201">
        <v>11</v>
      </c>
      <c r="B34" s="201">
        <v>851</v>
      </c>
      <c r="C34" s="266">
        <v>85195</v>
      </c>
      <c r="D34" s="229" t="s">
        <v>320</v>
      </c>
      <c r="E34" s="198">
        <v>67500</v>
      </c>
      <c r="F34" s="184"/>
    </row>
    <row r="35" spans="1:6" s="220" customFormat="1" ht="25.5" customHeight="1" x14ac:dyDescent="0.2">
      <c r="A35" s="267">
        <v>12</v>
      </c>
      <c r="B35" s="267">
        <v>852</v>
      </c>
      <c r="C35" s="268">
        <v>85228</v>
      </c>
      <c r="D35" s="269" t="s">
        <v>321</v>
      </c>
      <c r="E35" s="204">
        <f>7049731-244300</f>
        <v>6805431</v>
      </c>
      <c r="F35" s="184"/>
    </row>
    <row r="36" spans="1:6" s="220" customFormat="1" ht="25.5" customHeight="1" x14ac:dyDescent="0.2">
      <c r="A36" s="263"/>
      <c r="B36" s="263"/>
      <c r="C36" s="270"/>
      <c r="D36" s="271" t="s">
        <v>322</v>
      </c>
      <c r="E36" s="244">
        <f>1327900+746426+746426+361440</f>
        <v>3182192</v>
      </c>
      <c r="F36" s="184"/>
    </row>
    <row r="37" spans="1:6" s="220" customFormat="1" ht="25.5" customHeight="1" x14ac:dyDescent="0.2">
      <c r="A37" s="196">
        <v>13</v>
      </c>
      <c r="B37" s="196">
        <v>852</v>
      </c>
      <c r="C37" s="196">
        <v>85295</v>
      </c>
      <c r="D37" s="229" t="s">
        <v>323</v>
      </c>
      <c r="E37" s="204">
        <f>1230600+47700</f>
        <v>1278300</v>
      </c>
      <c r="F37" s="184"/>
    </row>
    <row r="38" spans="1:6" s="220" customFormat="1" ht="26.25" customHeight="1" x14ac:dyDescent="0.2">
      <c r="A38" s="196">
        <v>14</v>
      </c>
      <c r="B38" s="196">
        <v>852</v>
      </c>
      <c r="C38" s="196">
        <v>85295</v>
      </c>
      <c r="D38" s="229" t="s">
        <v>324</v>
      </c>
      <c r="E38" s="204">
        <v>413452.32</v>
      </c>
      <c r="F38" s="184"/>
    </row>
    <row r="39" spans="1:6" s="220" customFormat="1" ht="51.75" customHeight="1" x14ac:dyDescent="0.2">
      <c r="A39" s="196">
        <v>15</v>
      </c>
      <c r="B39" s="196">
        <v>852</v>
      </c>
      <c r="C39" s="196">
        <v>85295</v>
      </c>
      <c r="D39" s="229" t="s">
        <v>325</v>
      </c>
      <c r="E39" s="204">
        <f>33712+6288</f>
        <v>40000</v>
      </c>
      <c r="F39" s="184"/>
    </row>
    <row r="40" spans="1:6" s="220" customFormat="1" ht="26.25" customHeight="1" x14ac:dyDescent="0.2">
      <c r="A40" s="196">
        <v>16</v>
      </c>
      <c r="B40" s="196">
        <v>853</v>
      </c>
      <c r="C40" s="196">
        <v>85395</v>
      </c>
      <c r="D40" s="229" t="s">
        <v>326</v>
      </c>
      <c r="E40" s="198">
        <f>40000-10005</f>
        <v>29995</v>
      </c>
      <c r="F40" s="184"/>
    </row>
    <row r="41" spans="1:6" s="220" customFormat="1" ht="41.45" customHeight="1" x14ac:dyDescent="0.2">
      <c r="A41" s="196">
        <v>17</v>
      </c>
      <c r="B41" s="196">
        <v>853</v>
      </c>
      <c r="C41" s="196">
        <v>85395</v>
      </c>
      <c r="D41" s="229" t="s">
        <v>327</v>
      </c>
      <c r="E41" s="198">
        <v>265510.90999999997</v>
      </c>
      <c r="F41" s="184"/>
    </row>
    <row r="42" spans="1:6" s="220" customFormat="1" ht="15.75" customHeight="1" x14ac:dyDescent="0.2">
      <c r="A42" s="203">
        <v>18</v>
      </c>
      <c r="B42" s="203">
        <v>855</v>
      </c>
      <c r="C42" s="203">
        <v>85510</v>
      </c>
      <c r="D42" s="269" t="s">
        <v>230</v>
      </c>
      <c r="E42" s="204">
        <f>1568400+312600</f>
        <v>1881000</v>
      </c>
      <c r="F42" s="184"/>
    </row>
    <row r="43" spans="1:6" s="220" customFormat="1" ht="28.5" customHeight="1" x14ac:dyDescent="0.2">
      <c r="A43" s="196">
        <v>19</v>
      </c>
      <c r="B43" s="196">
        <v>900</v>
      </c>
      <c r="C43" s="196">
        <v>90095</v>
      </c>
      <c r="D43" s="229" t="s">
        <v>328</v>
      </c>
      <c r="E43" s="198">
        <v>67500</v>
      </c>
      <c r="F43" s="228"/>
    </row>
    <row r="44" spans="1:6" s="220" customFormat="1" ht="26.25" customHeight="1" x14ac:dyDescent="0.2">
      <c r="A44" s="196">
        <v>20</v>
      </c>
      <c r="B44" s="196">
        <v>900</v>
      </c>
      <c r="C44" s="196">
        <v>90095</v>
      </c>
      <c r="D44" s="229" t="s">
        <v>329</v>
      </c>
      <c r="E44" s="198">
        <f>200000+100000-32000</f>
        <v>268000</v>
      </c>
      <c r="F44" s="228"/>
    </row>
    <row r="45" spans="1:6" s="220" customFormat="1" ht="26.25" customHeight="1" x14ac:dyDescent="0.2">
      <c r="A45" s="196">
        <v>21</v>
      </c>
      <c r="B45" s="196">
        <v>900</v>
      </c>
      <c r="C45" s="196">
        <v>90095</v>
      </c>
      <c r="D45" s="229" t="s">
        <v>330</v>
      </c>
      <c r="E45" s="198">
        <f>200000+100000+32000</f>
        <v>332000</v>
      </c>
      <c r="F45" s="228"/>
    </row>
    <row r="46" spans="1:6" s="220" customFormat="1" ht="16.5" customHeight="1" x14ac:dyDescent="0.2">
      <c r="A46" s="203">
        <v>22</v>
      </c>
      <c r="B46" s="203">
        <v>921</v>
      </c>
      <c r="C46" s="203">
        <v>92120</v>
      </c>
      <c r="D46" s="231" t="s">
        <v>331</v>
      </c>
      <c r="E46" s="204">
        <v>500000</v>
      </c>
      <c r="F46" s="184"/>
    </row>
    <row r="47" spans="1:6" s="220" customFormat="1" ht="39.75" customHeight="1" x14ac:dyDescent="0.2">
      <c r="A47" s="196">
        <v>23</v>
      </c>
      <c r="B47" s="196">
        <v>921</v>
      </c>
      <c r="C47" s="196">
        <v>92195</v>
      </c>
      <c r="D47" s="229" t="s">
        <v>332</v>
      </c>
      <c r="E47" s="204">
        <f>239100+27900-27900-34000</f>
        <v>205100</v>
      </c>
      <c r="F47" s="184"/>
    </row>
    <row r="48" spans="1:6" s="220" customFormat="1" ht="39.75" customHeight="1" x14ac:dyDescent="0.2">
      <c r="A48" s="196">
        <v>24</v>
      </c>
      <c r="B48" s="196">
        <v>921</v>
      </c>
      <c r="C48" s="196">
        <v>92195</v>
      </c>
      <c r="D48" s="229" t="s">
        <v>327</v>
      </c>
      <c r="E48" s="204">
        <v>320536.26</v>
      </c>
      <c r="F48" s="184"/>
    </row>
    <row r="49" spans="1:6" s="220" customFormat="1" ht="14.45" customHeight="1" x14ac:dyDescent="0.2">
      <c r="A49" s="203">
        <v>25</v>
      </c>
      <c r="B49" s="203">
        <v>926</v>
      </c>
      <c r="C49" s="203">
        <v>92605</v>
      </c>
      <c r="D49" s="269" t="s">
        <v>333</v>
      </c>
      <c r="E49" s="204">
        <v>1833375</v>
      </c>
      <c r="F49" s="184"/>
    </row>
    <row r="50" spans="1:6" s="220" customFormat="1" ht="38.450000000000003" customHeight="1" x14ac:dyDescent="0.2">
      <c r="A50" s="196">
        <v>26</v>
      </c>
      <c r="B50" s="196">
        <v>926</v>
      </c>
      <c r="C50" s="196">
        <v>92605</v>
      </c>
      <c r="D50" s="269" t="s">
        <v>334</v>
      </c>
      <c r="E50" s="204">
        <v>106845.42</v>
      </c>
      <c r="F50" s="184"/>
    </row>
    <row r="51" spans="1:6" s="220" customFormat="1" ht="15" customHeight="1" x14ac:dyDescent="0.2">
      <c r="A51" s="403"/>
      <c r="B51" s="404"/>
      <c r="C51" s="404"/>
      <c r="D51" s="404" t="s">
        <v>296</v>
      </c>
      <c r="E51" s="401">
        <f>SUM(E13:E50)</f>
        <v>20481221.730000004</v>
      </c>
      <c r="F51" s="184"/>
    </row>
    <row r="52" spans="1:6" s="220" customFormat="1" ht="17.25" customHeight="1" x14ac:dyDescent="0.2">
      <c r="A52" s="193" t="s">
        <v>297</v>
      </c>
      <c r="B52" s="194"/>
      <c r="C52" s="194"/>
      <c r="D52" s="194"/>
      <c r="E52" s="195"/>
      <c r="F52" s="184"/>
    </row>
    <row r="53" spans="1:6" s="220" customFormat="1" ht="17.25" customHeight="1" x14ac:dyDescent="0.2">
      <c r="A53" s="222" t="s">
        <v>27</v>
      </c>
      <c r="B53" s="189" t="s">
        <v>18</v>
      </c>
      <c r="C53" s="189" t="s">
        <v>21</v>
      </c>
      <c r="D53" s="223" t="s">
        <v>335</v>
      </c>
      <c r="E53" s="189" t="s">
        <v>278</v>
      </c>
      <c r="F53" s="184"/>
    </row>
    <row r="54" spans="1:6" s="220" customFormat="1" ht="14.25" customHeight="1" x14ac:dyDescent="0.2">
      <c r="A54" s="203">
        <v>1</v>
      </c>
      <c r="B54" s="203">
        <v>801</v>
      </c>
      <c r="C54" s="203">
        <v>80101</v>
      </c>
      <c r="D54" s="231" t="s">
        <v>151</v>
      </c>
      <c r="E54" s="204">
        <f>7612585+11903.79+15110.88+120000+518000</f>
        <v>8277599.6699999999</v>
      </c>
      <c r="F54" s="184"/>
    </row>
    <row r="55" spans="1:6" s="220" customFormat="1" ht="13.5" customHeight="1" x14ac:dyDescent="0.2">
      <c r="A55" s="232"/>
      <c r="B55" s="233"/>
      <c r="C55" s="234"/>
      <c r="D55" s="235" t="s">
        <v>306</v>
      </c>
      <c r="E55" s="236"/>
      <c r="F55" s="184"/>
    </row>
    <row r="56" spans="1:6" s="220" customFormat="1" ht="13.5" customHeight="1" x14ac:dyDescent="0.2">
      <c r="A56" s="237"/>
      <c r="B56" s="238"/>
      <c r="C56" s="239"/>
      <c r="D56" s="272" t="s">
        <v>336</v>
      </c>
      <c r="E56" s="246"/>
      <c r="F56" s="273"/>
    </row>
    <row r="57" spans="1:6" s="220" customFormat="1" ht="13.5" customHeight="1" x14ac:dyDescent="0.2">
      <c r="A57" s="237"/>
      <c r="B57" s="238"/>
      <c r="C57" s="239"/>
      <c r="D57" s="274" t="s">
        <v>337</v>
      </c>
      <c r="E57" s="241"/>
      <c r="F57" s="184"/>
    </row>
    <row r="58" spans="1:6" s="220" customFormat="1" ht="26.25" customHeight="1" x14ac:dyDescent="0.2">
      <c r="A58" s="237"/>
      <c r="B58" s="238"/>
      <c r="C58" s="239"/>
      <c r="D58" s="275" t="s">
        <v>338</v>
      </c>
      <c r="E58" s="246"/>
      <c r="F58" s="184"/>
    </row>
    <row r="59" spans="1:6" s="220" customFormat="1" ht="27" customHeight="1" x14ac:dyDescent="0.2">
      <c r="A59" s="237"/>
      <c r="B59" s="238"/>
      <c r="C59" s="239"/>
      <c r="D59" s="275" t="s">
        <v>339</v>
      </c>
      <c r="E59" s="246"/>
      <c r="F59" s="184"/>
    </row>
    <row r="60" spans="1:6" s="220" customFormat="1" ht="24.75" customHeight="1" x14ac:dyDescent="0.2">
      <c r="A60" s="237"/>
      <c r="B60" s="238"/>
      <c r="C60" s="239"/>
      <c r="D60" s="272" t="s">
        <v>340</v>
      </c>
      <c r="E60" s="246"/>
      <c r="F60" s="184"/>
    </row>
    <row r="61" spans="1:6" s="220" customFormat="1" ht="25.5" customHeight="1" x14ac:dyDescent="0.2">
      <c r="A61" s="237"/>
      <c r="B61" s="238"/>
      <c r="C61" s="239"/>
      <c r="D61" s="276" t="s">
        <v>341</v>
      </c>
      <c r="E61" s="241"/>
      <c r="F61" s="184"/>
    </row>
    <row r="62" spans="1:6" s="220" customFormat="1" ht="13.5" customHeight="1" x14ac:dyDescent="0.2">
      <c r="A62" s="237"/>
      <c r="B62" s="238"/>
      <c r="C62" s="239"/>
      <c r="D62" s="277" t="s">
        <v>308</v>
      </c>
      <c r="E62" s="246"/>
      <c r="F62" s="184"/>
    </row>
    <row r="63" spans="1:6" s="220" customFormat="1" ht="24" customHeight="1" x14ac:dyDescent="0.2">
      <c r="A63" s="206"/>
      <c r="B63" s="207"/>
      <c r="C63" s="242"/>
      <c r="D63" s="278" t="s">
        <v>307</v>
      </c>
      <c r="E63" s="244"/>
      <c r="F63" s="184"/>
    </row>
    <row r="64" spans="1:6" s="220" customFormat="1" ht="13.5" customHeight="1" x14ac:dyDescent="0.2">
      <c r="A64" s="203">
        <v>2</v>
      </c>
      <c r="B64" s="203">
        <v>801</v>
      </c>
      <c r="C64" s="203">
        <v>80103</v>
      </c>
      <c r="D64" s="231" t="s">
        <v>166</v>
      </c>
      <c r="E64" s="204">
        <f>124687+15000</f>
        <v>139687</v>
      </c>
      <c r="F64" s="184"/>
    </row>
    <row r="65" spans="1:7" s="220" customFormat="1" ht="24" customHeight="1" x14ac:dyDescent="0.2">
      <c r="A65" s="237"/>
      <c r="B65" s="238"/>
      <c r="C65" s="239"/>
      <c r="D65" s="279" t="s">
        <v>338</v>
      </c>
      <c r="E65" s="236"/>
      <c r="F65" s="184"/>
    </row>
    <row r="66" spans="1:7" s="220" customFormat="1" ht="13.5" customHeight="1" x14ac:dyDescent="0.2">
      <c r="A66" s="206"/>
      <c r="B66" s="207"/>
      <c r="C66" s="242"/>
      <c r="D66" s="209" t="s">
        <v>308</v>
      </c>
      <c r="E66" s="244"/>
      <c r="F66" s="184"/>
    </row>
    <row r="67" spans="1:7" s="220" customFormat="1" ht="14.25" customHeight="1" x14ac:dyDescent="0.2">
      <c r="A67" s="203">
        <v>3</v>
      </c>
      <c r="B67" s="203">
        <v>801</v>
      </c>
      <c r="C67" s="203">
        <v>80104</v>
      </c>
      <c r="D67" s="231" t="s">
        <v>170</v>
      </c>
      <c r="E67" s="204">
        <f>8825749+13966.37+917.02+230000+200000</f>
        <v>9270632.3899999987</v>
      </c>
      <c r="F67" s="184"/>
    </row>
    <row r="68" spans="1:7" s="220" customFormat="1" ht="14.25" customHeight="1" x14ac:dyDescent="0.2">
      <c r="A68" s="232"/>
      <c r="B68" s="233"/>
      <c r="C68" s="234"/>
      <c r="D68" s="235" t="s">
        <v>342</v>
      </c>
      <c r="E68" s="236"/>
      <c r="F68" s="184"/>
    </row>
    <row r="69" spans="1:7" s="220" customFormat="1" ht="14.25" customHeight="1" x14ac:dyDescent="0.2">
      <c r="A69" s="237"/>
      <c r="B69" s="238"/>
      <c r="C69" s="239"/>
      <c r="D69" s="245" t="s">
        <v>309</v>
      </c>
      <c r="E69" s="246"/>
      <c r="F69" s="184"/>
    </row>
    <row r="70" spans="1:7" s="220" customFormat="1" ht="13.5" customHeight="1" x14ac:dyDescent="0.2">
      <c r="A70" s="237"/>
      <c r="B70" s="238"/>
      <c r="C70" s="239"/>
      <c r="D70" s="245" t="s">
        <v>310</v>
      </c>
      <c r="E70" s="246"/>
      <c r="F70" s="184"/>
    </row>
    <row r="71" spans="1:7" s="184" customFormat="1" ht="23.25" customHeight="1" x14ac:dyDescent="0.2">
      <c r="A71" s="237"/>
      <c r="B71" s="238"/>
      <c r="C71" s="239"/>
      <c r="D71" s="275" t="s">
        <v>343</v>
      </c>
      <c r="E71" s="246"/>
      <c r="G71" s="220"/>
    </row>
    <row r="72" spans="1:7" s="184" customFormat="1" ht="13.5" customHeight="1" x14ac:dyDescent="0.2">
      <c r="A72" s="237"/>
      <c r="B72" s="238"/>
      <c r="C72" s="239"/>
      <c r="D72" s="280" t="s">
        <v>344</v>
      </c>
      <c r="E72" s="241"/>
      <c r="G72" s="220"/>
    </row>
    <row r="73" spans="1:7" s="184" customFormat="1" ht="13.5" customHeight="1" x14ac:dyDescent="0.2">
      <c r="A73" s="237"/>
      <c r="B73" s="238"/>
      <c r="C73" s="239"/>
      <c r="D73" s="275" t="s">
        <v>345</v>
      </c>
      <c r="E73" s="246"/>
      <c r="G73" s="220"/>
    </row>
    <row r="74" spans="1:7" s="184" customFormat="1" ht="13.5" customHeight="1" x14ac:dyDescent="0.2">
      <c r="A74" s="206"/>
      <c r="B74" s="207"/>
      <c r="C74" s="242"/>
      <c r="D74" s="281" t="s">
        <v>346</v>
      </c>
      <c r="E74" s="282"/>
      <c r="G74" s="220"/>
    </row>
    <row r="75" spans="1:7" s="184" customFormat="1" ht="13.5" customHeight="1" x14ac:dyDescent="0.2">
      <c r="A75" s="237"/>
      <c r="B75" s="238"/>
      <c r="C75" s="239"/>
      <c r="D75" s="235" t="s">
        <v>347</v>
      </c>
      <c r="E75" s="236"/>
      <c r="G75" s="220"/>
    </row>
    <row r="76" spans="1:7" s="184" customFormat="1" ht="13.5" customHeight="1" x14ac:dyDescent="0.2">
      <c r="A76" s="237"/>
      <c r="B76" s="238"/>
      <c r="C76" s="239"/>
      <c r="D76" s="280" t="s">
        <v>348</v>
      </c>
      <c r="E76" s="241"/>
      <c r="G76" s="220"/>
    </row>
    <row r="77" spans="1:7" s="184" customFormat="1" ht="13.5" customHeight="1" x14ac:dyDescent="0.2">
      <c r="A77" s="237"/>
      <c r="B77" s="238"/>
      <c r="C77" s="239"/>
      <c r="D77" s="275" t="s">
        <v>349</v>
      </c>
      <c r="E77" s="246"/>
      <c r="G77" s="220"/>
    </row>
    <row r="78" spans="1:7" s="184" customFormat="1" ht="13.5" customHeight="1" x14ac:dyDescent="0.2">
      <c r="A78" s="237"/>
      <c r="B78" s="238"/>
      <c r="C78" s="239"/>
      <c r="D78" s="283" t="s">
        <v>311</v>
      </c>
      <c r="E78" s="284"/>
      <c r="G78" s="220"/>
    </row>
    <row r="79" spans="1:7" s="184" customFormat="1" ht="13.5" customHeight="1" x14ac:dyDescent="0.2">
      <c r="A79" s="237"/>
      <c r="B79" s="238"/>
      <c r="C79" s="239"/>
      <c r="D79" s="248" t="s">
        <v>312</v>
      </c>
      <c r="E79" s="241"/>
      <c r="G79" s="220"/>
    </row>
    <row r="80" spans="1:7" s="184" customFormat="1" ht="13.5" customHeight="1" x14ac:dyDescent="0.2">
      <c r="A80" s="237"/>
      <c r="B80" s="238"/>
      <c r="C80" s="239"/>
      <c r="D80" s="248" t="s">
        <v>350</v>
      </c>
      <c r="E80" s="241"/>
      <c r="G80" s="220"/>
    </row>
    <row r="81" spans="1:7" s="184" customFormat="1" ht="13.5" customHeight="1" x14ac:dyDescent="0.2">
      <c r="A81" s="237"/>
      <c r="B81" s="238"/>
      <c r="C81" s="239"/>
      <c r="D81" s="277" t="s">
        <v>351</v>
      </c>
      <c r="E81" s="246"/>
      <c r="G81" s="220"/>
    </row>
    <row r="82" spans="1:7" s="184" customFormat="1" ht="13.5" customHeight="1" x14ac:dyDescent="0.2">
      <c r="A82" s="206"/>
      <c r="B82" s="207"/>
      <c r="C82" s="242"/>
      <c r="D82" s="243" t="s">
        <v>352</v>
      </c>
      <c r="E82" s="244"/>
      <c r="G82" s="220"/>
    </row>
    <row r="83" spans="1:7" s="184" customFormat="1" ht="24" customHeight="1" x14ac:dyDescent="0.2">
      <c r="A83" s="196">
        <v>4</v>
      </c>
      <c r="B83" s="196">
        <v>801</v>
      </c>
      <c r="C83" s="196">
        <v>80106</v>
      </c>
      <c r="D83" s="229" t="s">
        <v>353</v>
      </c>
      <c r="E83" s="198">
        <v>62237</v>
      </c>
      <c r="G83" s="220"/>
    </row>
    <row r="84" spans="1:7" s="184" customFormat="1" ht="13.5" customHeight="1" x14ac:dyDescent="0.2">
      <c r="A84" s="231"/>
      <c r="B84" s="249"/>
      <c r="C84" s="208"/>
      <c r="D84" s="285" t="s">
        <v>354</v>
      </c>
      <c r="E84" s="204"/>
      <c r="G84" s="220"/>
    </row>
    <row r="85" spans="1:7" s="184" customFormat="1" ht="13.5" customHeight="1" x14ac:dyDescent="0.2">
      <c r="A85" s="203">
        <v>5</v>
      </c>
      <c r="B85" s="203">
        <v>801</v>
      </c>
      <c r="C85" s="203">
        <v>80115</v>
      </c>
      <c r="D85" s="249" t="s">
        <v>179</v>
      </c>
      <c r="E85" s="204">
        <f>2505180+12243.98+164000</f>
        <v>2681423.98</v>
      </c>
      <c r="G85" s="220"/>
    </row>
    <row r="86" spans="1:7" s="184" customFormat="1" ht="23.25" customHeight="1" x14ac:dyDescent="0.2">
      <c r="A86" s="231"/>
      <c r="B86" s="249"/>
      <c r="C86" s="208"/>
      <c r="D86" s="286" t="s">
        <v>355</v>
      </c>
      <c r="E86" s="204"/>
      <c r="G86" s="220"/>
    </row>
    <row r="87" spans="1:7" s="184" customFormat="1" ht="13.5" customHeight="1" x14ac:dyDescent="0.2">
      <c r="A87" s="203">
        <v>6</v>
      </c>
      <c r="B87" s="203">
        <v>801</v>
      </c>
      <c r="C87" s="203">
        <v>80116</v>
      </c>
      <c r="D87" s="249" t="s">
        <v>180</v>
      </c>
      <c r="E87" s="204">
        <f>5272240-50000-140000+24309.91-200000</f>
        <v>4906549.91</v>
      </c>
      <c r="G87" s="220"/>
    </row>
    <row r="88" spans="1:7" s="184" customFormat="1" ht="13.5" customHeight="1" x14ac:dyDescent="0.2">
      <c r="A88" s="232"/>
      <c r="B88" s="233"/>
      <c r="C88" s="234"/>
      <c r="D88" s="287" t="s">
        <v>356</v>
      </c>
      <c r="E88" s="236"/>
      <c r="G88" s="220"/>
    </row>
    <row r="89" spans="1:7" s="184" customFormat="1" ht="25.5" customHeight="1" x14ac:dyDescent="0.2">
      <c r="A89" s="237"/>
      <c r="B89" s="238"/>
      <c r="C89" s="239"/>
      <c r="D89" s="272" t="s">
        <v>357</v>
      </c>
      <c r="E89" s="246"/>
      <c r="G89" s="220"/>
    </row>
    <row r="90" spans="1:7" s="184" customFormat="1" ht="22.5" customHeight="1" x14ac:dyDescent="0.2">
      <c r="A90" s="237"/>
      <c r="B90" s="238"/>
      <c r="C90" s="239"/>
      <c r="D90" s="275" t="s">
        <v>358</v>
      </c>
      <c r="E90" s="246"/>
      <c r="G90" s="220"/>
    </row>
    <row r="91" spans="1:7" s="184" customFormat="1" ht="13.5" customHeight="1" x14ac:dyDescent="0.2">
      <c r="A91" s="237"/>
      <c r="B91" s="238"/>
      <c r="C91" s="239"/>
      <c r="D91" s="248" t="s">
        <v>359</v>
      </c>
      <c r="E91" s="241"/>
      <c r="G91" s="220"/>
    </row>
    <row r="92" spans="1:7" s="184" customFormat="1" ht="13.5" customHeight="1" x14ac:dyDescent="0.2">
      <c r="A92" s="237"/>
      <c r="B92" s="238"/>
      <c r="C92" s="239"/>
      <c r="D92" s="283" t="s">
        <v>360</v>
      </c>
      <c r="E92" s="284"/>
      <c r="G92" s="220"/>
    </row>
    <row r="93" spans="1:7" s="184" customFormat="1" ht="25.5" customHeight="1" x14ac:dyDescent="0.2">
      <c r="A93" s="237"/>
      <c r="B93" s="238"/>
      <c r="C93" s="239"/>
      <c r="D93" s="274" t="s">
        <v>361</v>
      </c>
      <c r="E93" s="241"/>
      <c r="G93" s="220"/>
    </row>
    <row r="94" spans="1:7" s="184" customFormat="1" ht="13.5" customHeight="1" x14ac:dyDescent="0.2">
      <c r="A94" s="237"/>
      <c r="B94" s="238"/>
      <c r="C94" s="239"/>
      <c r="D94" s="272" t="s">
        <v>362</v>
      </c>
      <c r="E94" s="246"/>
      <c r="G94" s="220"/>
    </row>
    <row r="95" spans="1:7" s="184" customFormat="1" ht="13.5" customHeight="1" x14ac:dyDescent="0.2">
      <c r="A95" s="237"/>
      <c r="B95" s="238"/>
      <c r="C95" s="239"/>
      <c r="D95" s="272" t="s">
        <v>363</v>
      </c>
      <c r="E95" s="246"/>
      <c r="G95" s="220"/>
    </row>
    <row r="96" spans="1:7" s="184" customFormat="1" ht="12.75" customHeight="1" x14ac:dyDescent="0.2">
      <c r="A96" s="237"/>
      <c r="B96" s="238"/>
      <c r="C96" s="239"/>
      <c r="D96" s="275" t="s">
        <v>364</v>
      </c>
      <c r="E96" s="246"/>
      <c r="G96" s="220"/>
    </row>
    <row r="97" spans="1:7" s="184" customFormat="1" ht="13.5" customHeight="1" x14ac:dyDescent="0.2">
      <c r="A97" s="237"/>
      <c r="B97" s="238"/>
      <c r="C97" s="239"/>
      <c r="D97" s="277" t="s">
        <v>365</v>
      </c>
      <c r="E97" s="246"/>
      <c r="G97" s="220"/>
    </row>
    <row r="98" spans="1:7" s="184" customFormat="1" ht="13.5" customHeight="1" x14ac:dyDescent="0.2">
      <c r="A98" s="237"/>
      <c r="B98" s="238"/>
      <c r="C98" s="239"/>
      <c r="D98" s="288" t="s">
        <v>366</v>
      </c>
      <c r="E98" s="241"/>
      <c r="G98" s="220"/>
    </row>
    <row r="99" spans="1:7" s="184" customFormat="1" ht="13.5" customHeight="1" x14ac:dyDescent="0.2">
      <c r="A99" s="237"/>
      <c r="B99" s="238"/>
      <c r="C99" s="239"/>
      <c r="D99" s="289" t="s">
        <v>367</v>
      </c>
      <c r="E99" s="246"/>
      <c r="G99" s="220"/>
    </row>
    <row r="100" spans="1:7" s="184" customFormat="1" ht="13.5" customHeight="1" x14ac:dyDescent="0.2">
      <c r="A100" s="237"/>
      <c r="B100" s="238"/>
      <c r="C100" s="239"/>
      <c r="D100" s="277" t="s">
        <v>368</v>
      </c>
      <c r="E100" s="246"/>
      <c r="G100" s="220"/>
    </row>
    <row r="101" spans="1:7" s="184" customFormat="1" ht="25.5" customHeight="1" x14ac:dyDescent="0.2">
      <c r="A101" s="206"/>
      <c r="B101" s="207"/>
      <c r="C101" s="242"/>
      <c r="D101" s="278" t="s">
        <v>369</v>
      </c>
      <c r="E101" s="244"/>
      <c r="G101" s="220"/>
    </row>
    <row r="102" spans="1:7" s="184" customFormat="1" ht="13.5" customHeight="1" x14ac:dyDescent="0.2">
      <c r="A102" s="203">
        <v>7</v>
      </c>
      <c r="B102" s="203">
        <v>801</v>
      </c>
      <c r="C102" s="203">
        <v>80117</v>
      </c>
      <c r="D102" s="231" t="s">
        <v>181</v>
      </c>
      <c r="E102" s="204">
        <f>2656984+7306.5+3929.27+85000-200000</f>
        <v>2553219.77</v>
      </c>
      <c r="G102" s="220"/>
    </row>
    <row r="103" spans="1:7" s="184" customFormat="1" ht="15" customHeight="1" x14ac:dyDescent="0.2">
      <c r="A103" s="232"/>
      <c r="B103" s="233"/>
      <c r="C103" s="234"/>
      <c r="D103" s="290" t="s">
        <v>370</v>
      </c>
      <c r="E103" s="236"/>
      <c r="G103" s="220"/>
    </row>
    <row r="104" spans="1:7" s="184" customFormat="1" ht="15" customHeight="1" x14ac:dyDescent="0.2">
      <c r="A104" s="237"/>
      <c r="B104" s="238"/>
      <c r="C104" s="239"/>
      <c r="D104" s="274" t="s">
        <v>371</v>
      </c>
      <c r="E104" s="241"/>
      <c r="G104" s="220"/>
    </row>
    <row r="105" spans="1:7" s="184" customFormat="1" ht="25.5" customHeight="1" x14ac:dyDescent="0.2">
      <c r="A105" s="237"/>
      <c r="B105" s="238"/>
      <c r="C105" s="239"/>
      <c r="D105" s="274" t="s">
        <v>372</v>
      </c>
      <c r="E105" s="241"/>
      <c r="G105" s="220"/>
    </row>
    <row r="106" spans="1:7" s="184" customFormat="1" ht="24.75" customHeight="1" x14ac:dyDescent="0.2">
      <c r="A106" s="237"/>
      <c r="B106" s="238"/>
      <c r="C106" s="239"/>
      <c r="D106" s="291" t="s">
        <v>373</v>
      </c>
      <c r="E106" s="246"/>
      <c r="G106" s="220"/>
    </row>
    <row r="107" spans="1:7" s="184" customFormat="1" ht="25.5" customHeight="1" x14ac:dyDescent="0.2">
      <c r="A107" s="237"/>
      <c r="B107" s="238"/>
      <c r="C107" s="239"/>
      <c r="D107" s="278" t="s">
        <v>374</v>
      </c>
      <c r="E107" s="292"/>
      <c r="G107" s="220"/>
    </row>
    <row r="108" spans="1:7" s="184" customFormat="1" ht="15.75" customHeight="1" x14ac:dyDescent="0.2">
      <c r="A108" s="203">
        <v>8</v>
      </c>
      <c r="B108" s="203">
        <v>801</v>
      </c>
      <c r="C108" s="203">
        <v>80120</v>
      </c>
      <c r="D108" s="231" t="s">
        <v>182</v>
      </c>
      <c r="E108" s="204">
        <f>6769589+14576.58+11167.36-450000</f>
        <v>6345332.9400000004</v>
      </c>
      <c r="G108" s="220"/>
    </row>
    <row r="109" spans="1:7" s="184" customFormat="1" ht="13.5" customHeight="1" x14ac:dyDescent="0.2">
      <c r="A109" s="237"/>
      <c r="B109" s="238"/>
      <c r="C109" s="239"/>
      <c r="D109" s="272" t="s">
        <v>375</v>
      </c>
      <c r="E109" s="246"/>
      <c r="G109" s="220"/>
    </row>
    <row r="110" spans="1:7" s="184" customFormat="1" ht="13.5" customHeight="1" x14ac:dyDescent="0.2">
      <c r="A110" s="237"/>
      <c r="B110" s="238"/>
      <c r="C110" s="239"/>
      <c r="D110" s="272" t="s">
        <v>376</v>
      </c>
      <c r="E110" s="246"/>
      <c r="G110" s="220"/>
    </row>
    <row r="111" spans="1:7" s="184" customFormat="1" ht="13.5" customHeight="1" x14ac:dyDescent="0.2">
      <c r="A111" s="237"/>
      <c r="B111" s="238"/>
      <c r="C111" s="239"/>
      <c r="D111" s="277" t="s">
        <v>377</v>
      </c>
      <c r="E111" s="246"/>
      <c r="G111" s="220"/>
    </row>
    <row r="112" spans="1:7" s="184" customFormat="1" ht="24.75" customHeight="1" x14ac:dyDescent="0.2">
      <c r="A112" s="237"/>
      <c r="B112" s="238"/>
      <c r="C112" s="239"/>
      <c r="D112" s="272" t="s">
        <v>378</v>
      </c>
      <c r="E112" s="246"/>
      <c r="G112" s="220"/>
    </row>
    <row r="113" spans="1:7" s="184" customFormat="1" ht="13.5" customHeight="1" x14ac:dyDescent="0.2">
      <c r="A113" s="237"/>
      <c r="B113" s="238"/>
      <c r="C113" s="239"/>
      <c r="D113" s="277" t="s">
        <v>379</v>
      </c>
      <c r="E113" s="246"/>
      <c r="G113" s="220"/>
    </row>
    <row r="114" spans="1:7" s="184" customFormat="1" ht="15" customHeight="1" x14ac:dyDescent="0.2">
      <c r="A114" s="237"/>
      <c r="B114" s="238"/>
      <c r="C114" s="239"/>
      <c r="D114" s="272" t="s">
        <v>380</v>
      </c>
      <c r="E114" s="246"/>
      <c r="G114" s="220"/>
    </row>
    <row r="115" spans="1:7" s="184" customFormat="1" ht="25.5" customHeight="1" x14ac:dyDescent="0.2">
      <c r="A115" s="237"/>
      <c r="B115" s="238"/>
      <c r="C115" s="239"/>
      <c r="D115" s="245" t="s">
        <v>381</v>
      </c>
      <c r="E115" s="246"/>
      <c r="G115" s="220"/>
    </row>
    <row r="116" spans="1:7" s="184" customFormat="1" ht="25.5" customHeight="1" x14ac:dyDescent="0.2">
      <c r="A116" s="237"/>
      <c r="B116" s="238"/>
      <c r="C116" s="239"/>
      <c r="D116" s="276" t="s">
        <v>382</v>
      </c>
      <c r="E116" s="241"/>
      <c r="G116" s="220"/>
    </row>
    <row r="117" spans="1:7" s="184" customFormat="1" ht="25.5" customHeight="1" x14ac:dyDescent="0.2">
      <c r="A117" s="206"/>
      <c r="B117" s="207"/>
      <c r="C117" s="242"/>
      <c r="D117" s="281" t="s">
        <v>383</v>
      </c>
      <c r="E117" s="282"/>
      <c r="G117" s="220"/>
    </row>
    <row r="118" spans="1:7" s="184" customFormat="1" ht="13.5" customHeight="1" x14ac:dyDescent="0.2">
      <c r="A118" s="237"/>
      <c r="B118" s="238"/>
      <c r="C118" s="239"/>
      <c r="D118" s="248" t="s">
        <v>384</v>
      </c>
      <c r="E118" s="241"/>
      <c r="G118" s="220"/>
    </row>
    <row r="119" spans="1:7" s="184" customFormat="1" ht="13.5" customHeight="1" x14ac:dyDescent="0.2">
      <c r="A119" s="206"/>
      <c r="B119" s="207"/>
      <c r="C119" s="242"/>
      <c r="D119" s="243" t="s">
        <v>313</v>
      </c>
      <c r="E119" s="244"/>
      <c r="G119" s="220"/>
    </row>
    <row r="120" spans="1:7" s="184" customFormat="1" ht="51" customHeight="1" x14ac:dyDescent="0.2">
      <c r="A120" s="196">
        <v>9</v>
      </c>
      <c r="B120" s="196">
        <v>801</v>
      </c>
      <c r="C120" s="196">
        <v>80149</v>
      </c>
      <c r="D120" s="229" t="s">
        <v>385</v>
      </c>
      <c r="E120" s="198">
        <f>2707080-430000</f>
        <v>2277080</v>
      </c>
      <c r="G120" s="220"/>
    </row>
    <row r="121" spans="1:7" s="184" customFormat="1" ht="25.5" customHeight="1" x14ac:dyDescent="0.2">
      <c r="A121" s="232"/>
      <c r="B121" s="233"/>
      <c r="C121" s="234"/>
      <c r="D121" s="279" t="s">
        <v>386</v>
      </c>
      <c r="E121" s="236"/>
      <c r="G121" s="220"/>
    </row>
    <row r="122" spans="1:7" s="184" customFormat="1" ht="13.5" customHeight="1" x14ac:dyDescent="0.2">
      <c r="A122" s="237"/>
      <c r="B122" s="238"/>
      <c r="C122" s="239"/>
      <c r="D122" s="276" t="s">
        <v>311</v>
      </c>
      <c r="E122" s="241"/>
      <c r="G122" s="220"/>
    </row>
    <row r="123" spans="1:7" s="184" customFormat="1" ht="13.5" customHeight="1" x14ac:dyDescent="0.2">
      <c r="A123" s="237"/>
      <c r="B123" s="238"/>
      <c r="C123" s="239"/>
      <c r="D123" s="275" t="s">
        <v>387</v>
      </c>
      <c r="E123" s="246"/>
      <c r="G123" s="220"/>
    </row>
    <row r="124" spans="1:7" s="184" customFormat="1" ht="13.5" customHeight="1" x14ac:dyDescent="0.2">
      <c r="A124" s="237"/>
      <c r="B124" s="238"/>
      <c r="C124" s="239"/>
      <c r="D124" s="280" t="s">
        <v>342</v>
      </c>
      <c r="E124" s="241"/>
      <c r="G124" s="220"/>
    </row>
    <row r="125" spans="1:7" s="184" customFormat="1" ht="13.5" customHeight="1" x14ac:dyDescent="0.2">
      <c r="A125" s="237"/>
      <c r="B125" s="238"/>
      <c r="C125" s="239"/>
      <c r="D125" s="245" t="s">
        <v>310</v>
      </c>
      <c r="E125" s="246"/>
      <c r="G125" s="220"/>
    </row>
    <row r="126" spans="1:7" s="184" customFormat="1" ht="13.5" customHeight="1" x14ac:dyDescent="0.2">
      <c r="A126" s="237"/>
      <c r="B126" s="238"/>
      <c r="C126" s="239"/>
      <c r="D126" s="275" t="s">
        <v>388</v>
      </c>
      <c r="E126" s="246"/>
      <c r="G126" s="220"/>
    </row>
    <row r="127" spans="1:7" s="184" customFormat="1" ht="13.5" customHeight="1" x14ac:dyDescent="0.2">
      <c r="A127" s="237"/>
      <c r="B127" s="238"/>
      <c r="C127" s="239"/>
      <c r="D127" s="275" t="s">
        <v>389</v>
      </c>
      <c r="E127" s="246"/>
      <c r="G127" s="220"/>
    </row>
    <row r="128" spans="1:7" s="184" customFormat="1" ht="13.5" customHeight="1" x14ac:dyDescent="0.2">
      <c r="A128" s="237"/>
      <c r="B128" s="238"/>
      <c r="C128" s="239"/>
      <c r="D128" s="275" t="s">
        <v>308</v>
      </c>
      <c r="E128" s="246"/>
      <c r="G128" s="220"/>
    </row>
    <row r="129" spans="1:7" s="184" customFormat="1" ht="13.5" customHeight="1" x14ac:dyDescent="0.2">
      <c r="A129" s="237"/>
      <c r="B129" s="238"/>
      <c r="C129" s="239"/>
      <c r="D129" s="275" t="s">
        <v>346</v>
      </c>
      <c r="E129" s="246"/>
      <c r="G129" s="220"/>
    </row>
    <row r="130" spans="1:7" s="184" customFormat="1" ht="13.5" customHeight="1" x14ac:dyDescent="0.2">
      <c r="A130" s="237"/>
      <c r="B130" s="238"/>
      <c r="C130" s="239"/>
      <c r="D130" s="245" t="s">
        <v>309</v>
      </c>
      <c r="E130" s="246"/>
      <c r="G130" s="220"/>
    </row>
    <row r="131" spans="1:7" s="184" customFormat="1" ht="13.5" customHeight="1" x14ac:dyDescent="0.2">
      <c r="A131" s="237"/>
      <c r="B131" s="238"/>
      <c r="C131" s="239"/>
      <c r="D131" s="275" t="s">
        <v>352</v>
      </c>
      <c r="E131" s="246"/>
      <c r="G131" s="220"/>
    </row>
    <row r="132" spans="1:7" s="184" customFormat="1" ht="15" customHeight="1" x14ac:dyDescent="0.2">
      <c r="A132" s="206"/>
      <c r="B132" s="207"/>
      <c r="C132" s="242"/>
      <c r="D132" s="293" t="s">
        <v>350</v>
      </c>
      <c r="E132" s="244"/>
      <c r="G132" s="220"/>
    </row>
    <row r="133" spans="1:7" s="184" customFormat="1" ht="39" customHeight="1" x14ac:dyDescent="0.2">
      <c r="A133" s="196">
        <v>10</v>
      </c>
      <c r="B133" s="196">
        <v>801</v>
      </c>
      <c r="C133" s="196">
        <v>80150</v>
      </c>
      <c r="D133" s="229" t="s">
        <v>390</v>
      </c>
      <c r="E133" s="198">
        <f>165299+20000+40000</f>
        <v>225299</v>
      </c>
      <c r="G133" s="220"/>
    </row>
    <row r="134" spans="1:7" s="184" customFormat="1" ht="13.5" customHeight="1" x14ac:dyDescent="0.2">
      <c r="A134" s="232"/>
      <c r="B134" s="233"/>
      <c r="C134" s="234"/>
      <c r="D134" s="279" t="s">
        <v>306</v>
      </c>
      <c r="E134" s="236"/>
      <c r="G134" s="220"/>
    </row>
    <row r="135" spans="1:7" s="220" customFormat="1" ht="25.5" customHeight="1" x14ac:dyDescent="0.2">
      <c r="A135" s="237"/>
      <c r="B135" s="238"/>
      <c r="C135" s="239"/>
      <c r="D135" s="272" t="s">
        <v>391</v>
      </c>
      <c r="E135" s="246"/>
      <c r="F135" s="184"/>
    </row>
    <row r="136" spans="1:7" s="220" customFormat="1" ht="15.75" customHeight="1" x14ac:dyDescent="0.2">
      <c r="A136" s="206"/>
      <c r="B136" s="207"/>
      <c r="C136" s="242"/>
      <c r="D136" s="278" t="s">
        <v>336</v>
      </c>
      <c r="E136" s="244"/>
      <c r="F136" s="273"/>
    </row>
    <row r="137" spans="1:7" s="220" customFormat="1" ht="13.5" customHeight="1" x14ac:dyDescent="0.2">
      <c r="A137" s="203">
        <v>11</v>
      </c>
      <c r="B137" s="203">
        <v>801</v>
      </c>
      <c r="C137" s="203">
        <v>80151</v>
      </c>
      <c r="D137" s="249" t="s">
        <v>199</v>
      </c>
      <c r="E137" s="204">
        <f>108410-52000</f>
        <v>56410</v>
      </c>
      <c r="F137" s="184"/>
    </row>
    <row r="138" spans="1:7" s="220" customFormat="1" ht="13.5" customHeight="1" x14ac:dyDescent="0.2">
      <c r="A138" s="231"/>
      <c r="B138" s="249"/>
      <c r="C138" s="208"/>
      <c r="D138" s="294" t="s">
        <v>392</v>
      </c>
      <c r="E138" s="204"/>
      <c r="F138" s="184"/>
    </row>
    <row r="139" spans="1:7" s="220" customFormat="1" ht="13.5" customHeight="1" x14ac:dyDescent="0.2">
      <c r="A139" s="206"/>
      <c r="B139" s="207"/>
      <c r="C139" s="242"/>
      <c r="D139" s="295" t="s">
        <v>365</v>
      </c>
      <c r="E139" s="244"/>
      <c r="F139" s="184"/>
    </row>
    <row r="140" spans="1:7" s="220" customFormat="1" ht="114" customHeight="1" x14ac:dyDescent="0.2">
      <c r="A140" s="196">
        <v>12</v>
      </c>
      <c r="B140" s="196">
        <v>801</v>
      </c>
      <c r="C140" s="196">
        <v>80152</v>
      </c>
      <c r="D140" s="229" t="s">
        <v>393</v>
      </c>
      <c r="E140" s="198">
        <f>413835+30000+100000</f>
        <v>543835</v>
      </c>
      <c r="F140" s="184"/>
    </row>
    <row r="141" spans="1:7" s="220" customFormat="1" ht="12.75" customHeight="1" x14ac:dyDescent="0.2">
      <c r="A141" s="232"/>
      <c r="B141" s="233"/>
      <c r="C141" s="234"/>
      <c r="D141" s="296" t="s">
        <v>370</v>
      </c>
      <c r="E141" s="236"/>
      <c r="F141" s="184"/>
    </row>
    <row r="142" spans="1:7" s="220" customFormat="1" ht="15" customHeight="1" x14ac:dyDescent="0.2">
      <c r="A142" s="237"/>
      <c r="B142" s="238"/>
      <c r="C142" s="239"/>
      <c r="D142" s="245" t="s">
        <v>313</v>
      </c>
      <c r="E142" s="246"/>
      <c r="F142" s="184"/>
    </row>
    <row r="143" spans="1:7" s="220" customFormat="1" ht="22.9" customHeight="1" x14ac:dyDescent="0.2">
      <c r="A143" s="237"/>
      <c r="B143" s="238"/>
      <c r="C143" s="239"/>
      <c r="D143" s="297" t="s">
        <v>355</v>
      </c>
      <c r="E143" s="246"/>
      <c r="F143" s="184"/>
    </row>
    <row r="144" spans="1:7" s="220" customFormat="1" ht="23.25" customHeight="1" x14ac:dyDescent="0.2">
      <c r="A144" s="206"/>
      <c r="B144" s="207"/>
      <c r="C144" s="242"/>
      <c r="D144" s="293" t="s">
        <v>383</v>
      </c>
      <c r="E144" s="244"/>
      <c r="F144" s="184"/>
    </row>
    <row r="145" spans="1:7" s="220" customFormat="1" ht="15.75" customHeight="1" x14ac:dyDescent="0.2">
      <c r="A145" s="298">
        <v>13</v>
      </c>
      <c r="B145" s="298">
        <v>853</v>
      </c>
      <c r="C145" s="298">
        <v>85311</v>
      </c>
      <c r="D145" s="207" t="s">
        <v>394</v>
      </c>
      <c r="E145" s="244">
        <f>190800+10005</f>
        <v>200805</v>
      </c>
      <c r="F145" s="184"/>
    </row>
    <row r="146" spans="1:7" s="220" customFormat="1" ht="15" customHeight="1" x14ac:dyDescent="0.2">
      <c r="A146" s="231"/>
      <c r="B146" s="249"/>
      <c r="C146" s="242"/>
      <c r="D146" s="209" t="s">
        <v>395</v>
      </c>
      <c r="E146" s="244"/>
      <c r="F146" s="184"/>
    </row>
    <row r="147" spans="1:7" s="220" customFormat="1" ht="15.75" customHeight="1" x14ac:dyDescent="0.2">
      <c r="A147" s="203">
        <v>14</v>
      </c>
      <c r="B147" s="203">
        <v>854</v>
      </c>
      <c r="C147" s="203">
        <v>85402</v>
      </c>
      <c r="D147" s="249" t="s">
        <v>396</v>
      </c>
      <c r="E147" s="204">
        <f>706538+70000+160000+3574.51</f>
        <v>940112.51</v>
      </c>
      <c r="F147" s="184"/>
    </row>
    <row r="148" spans="1:7" s="220" customFormat="1" ht="13.5" customHeight="1" x14ac:dyDescent="0.2">
      <c r="A148" s="231"/>
      <c r="B148" s="249"/>
      <c r="C148" s="208"/>
      <c r="D148" s="299" t="s">
        <v>397</v>
      </c>
      <c r="E148" s="204"/>
      <c r="F148" s="184"/>
    </row>
    <row r="149" spans="1:7" s="220" customFormat="1" ht="15.75" customHeight="1" x14ac:dyDescent="0.2">
      <c r="A149" s="203">
        <v>15</v>
      </c>
      <c r="B149" s="203">
        <v>854</v>
      </c>
      <c r="C149" s="203">
        <v>85404</v>
      </c>
      <c r="D149" s="249" t="s">
        <v>398</v>
      </c>
      <c r="E149" s="204">
        <v>500188</v>
      </c>
      <c r="F149" s="184"/>
    </row>
    <row r="150" spans="1:7" s="220" customFormat="1" ht="13.5" customHeight="1" x14ac:dyDescent="0.2">
      <c r="A150" s="232"/>
      <c r="B150" s="233"/>
      <c r="C150" s="234"/>
      <c r="D150" s="300" t="s">
        <v>350</v>
      </c>
      <c r="E150" s="236"/>
      <c r="F150" s="184"/>
    </row>
    <row r="151" spans="1:7" s="184" customFormat="1" ht="13.5" customHeight="1" x14ac:dyDescent="0.2">
      <c r="A151" s="237"/>
      <c r="B151" s="238"/>
      <c r="C151" s="239"/>
      <c r="D151" s="245" t="s">
        <v>310</v>
      </c>
      <c r="E151" s="246"/>
      <c r="G151" s="220"/>
    </row>
    <row r="152" spans="1:7" s="184" customFormat="1" ht="24.75" customHeight="1" x14ac:dyDescent="0.2">
      <c r="A152" s="237"/>
      <c r="B152" s="238"/>
      <c r="C152" s="239"/>
      <c r="D152" s="276" t="s">
        <v>386</v>
      </c>
      <c r="E152" s="241"/>
      <c r="G152" s="220"/>
    </row>
    <row r="153" spans="1:7" s="184" customFormat="1" ht="13.5" customHeight="1" x14ac:dyDescent="0.2">
      <c r="A153" s="237"/>
      <c r="B153" s="238"/>
      <c r="C153" s="239"/>
      <c r="D153" s="275" t="s">
        <v>387</v>
      </c>
      <c r="E153" s="246"/>
      <c r="G153" s="220"/>
    </row>
    <row r="154" spans="1:7" s="184" customFormat="1" ht="13.5" customHeight="1" x14ac:dyDescent="0.2">
      <c r="A154" s="206"/>
      <c r="B154" s="207"/>
      <c r="C154" s="242"/>
      <c r="D154" s="243" t="s">
        <v>347</v>
      </c>
      <c r="E154" s="244"/>
      <c r="G154" s="220"/>
    </row>
    <row r="155" spans="1:7" s="184" customFormat="1" ht="13.5" customHeight="1" x14ac:dyDescent="0.2">
      <c r="A155" s="237"/>
      <c r="B155" s="238"/>
      <c r="C155" s="239"/>
      <c r="D155" s="301" t="s">
        <v>388</v>
      </c>
      <c r="E155" s="292"/>
      <c r="G155" s="220"/>
    </row>
    <row r="156" spans="1:7" s="184" customFormat="1" ht="13.5" customHeight="1" x14ac:dyDescent="0.2">
      <c r="A156" s="237"/>
      <c r="B156" s="238"/>
      <c r="C156" s="239"/>
      <c r="D156" s="276" t="s">
        <v>346</v>
      </c>
      <c r="E156" s="241"/>
      <c r="G156" s="220"/>
    </row>
    <row r="157" spans="1:7" s="184" customFormat="1" ht="13.5" customHeight="1" x14ac:dyDescent="0.2">
      <c r="A157" s="237"/>
      <c r="B157" s="238"/>
      <c r="C157" s="239"/>
      <c r="D157" s="280" t="s">
        <v>342</v>
      </c>
      <c r="E157" s="241"/>
      <c r="G157" s="220"/>
    </row>
    <row r="158" spans="1:7" s="184" customFormat="1" ht="14.25" customHeight="1" x14ac:dyDescent="0.2">
      <c r="A158" s="206"/>
      <c r="B158" s="207"/>
      <c r="C158" s="242"/>
      <c r="D158" s="293" t="s">
        <v>389</v>
      </c>
      <c r="E158" s="244"/>
      <c r="G158" s="220"/>
    </row>
    <row r="159" spans="1:7" s="184" customFormat="1" ht="25.5" customHeight="1" x14ac:dyDescent="0.2">
      <c r="A159" s="196">
        <v>16</v>
      </c>
      <c r="B159" s="196">
        <v>854</v>
      </c>
      <c r="C159" s="196">
        <v>85406</v>
      </c>
      <c r="D159" s="302" t="s">
        <v>399</v>
      </c>
      <c r="E159" s="204">
        <f>217601-70000-90000+135.86</f>
        <v>57736.86</v>
      </c>
      <c r="G159" s="220"/>
    </row>
    <row r="160" spans="1:7" s="184" customFormat="1" ht="12.75" customHeight="1" x14ac:dyDescent="0.2">
      <c r="A160" s="231"/>
      <c r="B160" s="249"/>
      <c r="C160" s="208"/>
      <c r="D160" s="299" t="s">
        <v>400</v>
      </c>
      <c r="E160" s="204"/>
      <c r="G160" s="220"/>
    </row>
    <row r="161" spans="1:7" s="184" customFormat="1" ht="37.5" customHeight="1" x14ac:dyDescent="0.2">
      <c r="A161" s="206"/>
      <c r="B161" s="207"/>
      <c r="C161" s="242"/>
      <c r="D161" s="303" t="s">
        <v>401</v>
      </c>
      <c r="E161" s="244"/>
      <c r="G161" s="220"/>
    </row>
    <row r="162" spans="1:7" s="184" customFormat="1" ht="13.5" customHeight="1" x14ac:dyDescent="0.2">
      <c r="A162" s="203">
        <v>17</v>
      </c>
      <c r="B162" s="203">
        <v>854</v>
      </c>
      <c r="C162" s="203">
        <v>85410</v>
      </c>
      <c r="D162" s="249" t="s">
        <v>221</v>
      </c>
      <c r="E162" s="204">
        <f>952007-70000</f>
        <v>882007</v>
      </c>
      <c r="G162" s="220"/>
    </row>
    <row r="163" spans="1:7" s="184" customFormat="1" ht="12.75" customHeight="1" x14ac:dyDescent="0.2">
      <c r="A163" s="231"/>
      <c r="B163" s="249"/>
      <c r="C163" s="208"/>
      <c r="D163" s="209" t="s">
        <v>402</v>
      </c>
      <c r="E163" s="204"/>
      <c r="G163" s="220"/>
    </row>
    <row r="164" spans="1:7" s="184" customFormat="1" ht="14.25" customHeight="1" x14ac:dyDescent="0.2">
      <c r="A164" s="403"/>
      <c r="B164" s="404"/>
      <c r="C164" s="404"/>
      <c r="D164" s="404" t="s">
        <v>296</v>
      </c>
      <c r="E164" s="401">
        <f>SUM(E54:E163)</f>
        <v>39920156.029999994</v>
      </c>
      <c r="G164" s="220"/>
    </row>
    <row r="165" spans="1:7" s="184" customFormat="1" ht="15.75" customHeight="1" x14ac:dyDescent="0.2">
      <c r="A165" s="304"/>
      <c r="B165" s="305"/>
      <c r="C165" s="305"/>
      <c r="D165" s="305" t="s">
        <v>42</v>
      </c>
      <c r="E165" s="219">
        <f>SUM(E51,E164)</f>
        <v>60401377.759999998</v>
      </c>
      <c r="G165" s="220"/>
    </row>
    <row r="167" spans="1:7" s="184" customFormat="1" ht="12.6" customHeight="1" x14ac:dyDescent="0.2">
      <c r="A167" s="402"/>
      <c r="B167" s="396"/>
      <c r="C167" s="396"/>
      <c r="D167" s="396"/>
      <c r="E167" s="405"/>
      <c r="G167" s="220"/>
    </row>
    <row r="169" spans="1:7" s="184" customFormat="1" x14ac:dyDescent="0.2">
      <c r="A169" s="396"/>
      <c r="B169" s="396"/>
      <c r="C169" s="396"/>
      <c r="D169" s="396"/>
      <c r="E169" s="405"/>
      <c r="G169" s="220"/>
    </row>
    <row r="171" spans="1:7" s="184" customFormat="1" x14ac:dyDescent="0.2">
      <c r="A171" s="396"/>
      <c r="B171" s="396"/>
      <c r="C171" s="396"/>
      <c r="D171" s="396"/>
      <c r="E171" s="406"/>
      <c r="G171" s="220"/>
    </row>
  </sheetData>
  <pageMargins left="0.51181102362204722" right="0.51181102362204722" top="0.74803149606299213" bottom="0.59055118110236227" header="0.31496062992125984" footer="0.31496062992125984"/>
  <pageSetup paperSize="9" orientation="portrait" r:id="rId1"/>
  <headerFooter>
    <oddFooter>&amp;C&amp;"Arial,Pogrubiony"&amp;8&amp;P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666F8-609F-4CD4-9E20-5422EF96FBCB}">
  <dimension ref="A1:G36"/>
  <sheetViews>
    <sheetView zoomScale="110" zoomScaleNormal="110" workbookViewId="0">
      <selection activeCell="B2" sqref="B2"/>
    </sheetView>
  </sheetViews>
  <sheetFormatPr defaultRowHeight="15" x14ac:dyDescent="0.25"/>
  <cols>
    <col min="1" max="1" width="4.42578125" style="357" customWidth="1"/>
    <col min="2" max="2" width="7.5703125" style="357" customWidth="1"/>
    <col min="3" max="3" width="49" style="357" customWidth="1"/>
    <col min="4" max="4" width="14.85546875" style="357" customWidth="1"/>
    <col min="5" max="5" width="14" style="357" customWidth="1"/>
    <col min="6" max="6" width="14.140625" style="357" customWidth="1"/>
    <col min="7" max="7" width="17" style="357" customWidth="1"/>
    <col min="8" max="244" width="9.140625" style="357"/>
    <col min="245" max="245" width="4.42578125" style="357" customWidth="1"/>
    <col min="246" max="246" width="7.5703125" style="357" customWidth="1"/>
    <col min="247" max="247" width="47.42578125" style="357" customWidth="1"/>
    <col min="248" max="248" width="14.85546875" style="357" customWidth="1"/>
    <col min="249" max="249" width="14" style="357" customWidth="1"/>
    <col min="250" max="250" width="14.140625" style="357" customWidth="1"/>
    <col min="251" max="251" width="14.7109375" style="357" customWidth="1"/>
    <col min="252" max="500" width="9.140625" style="357"/>
    <col min="501" max="501" width="4.42578125" style="357" customWidth="1"/>
    <col min="502" max="502" width="7.5703125" style="357" customWidth="1"/>
    <col min="503" max="503" width="47.42578125" style="357" customWidth="1"/>
    <col min="504" max="504" width="14.85546875" style="357" customWidth="1"/>
    <col min="505" max="505" width="14" style="357" customWidth="1"/>
    <col min="506" max="506" width="14.140625" style="357" customWidth="1"/>
    <col min="507" max="507" width="14.7109375" style="357" customWidth="1"/>
    <col min="508" max="756" width="9.140625" style="357"/>
    <col min="757" max="757" width="4.42578125" style="357" customWidth="1"/>
    <col min="758" max="758" width="7.5703125" style="357" customWidth="1"/>
    <col min="759" max="759" width="47.42578125" style="357" customWidth="1"/>
    <col min="760" max="760" width="14.85546875" style="357" customWidth="1"/>
    <col min="761" max="761" width="14" style="357" customWidth="1"/>
    <col min="762" max="762" width="14.140625" style="357" customWidth="1"/>
    <col min="763" max="763" width="14.7109375" style="357" customWidth="1"/>
    <col min="764" max="1012" width="9.140625" style="357"/>
    <col min="1013" max="1013" width="4.42578125" style="357" customWidth="1"/>
    <col min="1014" max="1014" width="7.5703125" style="357" customWidth="1"/>
    <col min="1015" max="1015" width="47.42578125" style="357" customWidth="1"/>
    <col min="1016" max="1016" width="14.85546875" style="357" customWidth="1"/>
    <col min="1017" max="1017" width="14" style="357" customWidth="1"/>
    <col min="1018" max="1018" width="14.140625" style="357" customWidth="1"/>
    <col min="1019" max="1019" width="14.7109375" style="357" customWidth="1"/>
    <col min="1020" max="1268" width="9.140625" style="357"/>
    <col min="1269" max="1269" width="4.42578125" style="357" customWidth="1"/>
    <col min="1270" max="1270" width="7.5703125" style="357" customWidth="1"/>
    <col min="1271" max="1271" width="47.42578125" style="357" customWidth="1"/>
    <col min="1272" max="1272" width="14.85546875" style="357" customWidth="1"/>
    <col min="1273" max="1273" width="14" style="357" customWidth="1"/>
    <col min="1274" max="1274" width="14.140625" style="357" customWidth="1"/>
    <col min="1275" max="1275" width="14.7109375" style="357" customWidth="1"/>
    <col min="1276" max="1524" width="9.140625" style="357"/>
    <col min="1525" max="1525" width="4.42578125" style="357" customWidth="1"/>
    <col min="1526" max="1526" width="7.5703125" style="357" customWidth="1"/>
    <col min="1527" max="1527" width="47.42578125" style="357" customWidth="1"/>
    <col min="1528" max="1528" width="14.85546875" style="357" customWidth="1"/>
    <col min="1529" max="1529" width="14" style="357" customWidth="1"/>
    <col min="1530" max="1530" width="14.140625" style="357" customWidth="1"/>
    <col min="1531" max="1531" width="14.7109375" style="357" customWidth="1"/>
    <col min="1532" max="1780" width="9.140625" style="357"/>
    <col min="1781" max="1781" width="4.42578125" style="357" customWidth="1"/>
    <col min="1782" max="1782" width="7.5703125" style="357" customWidth="1"/>
    <col min="1783" max="1783" width="47.42578125" style="357" customWidth="1"/>
    <col min="1784" max="1784" width="14.85546875" style="357" customWidth="1"/>
    <col min="1785" max="1785" width="14" style="357" customWidth="1"/>
    <col min="1786" max="1786" width="14.140625" style="357" customWidth="1"/>
    <col min="1787" max="1787" width="14.7109375" style="357" customWidth="1"/>
    <col min="1788" max="2036" width="9.140625" style="357"/>
    <col min="2037" max="2037" width="4.42578125" style="357" customWidth="1"/>
    <col min="2038" max="2038" width="7.5703125" style="357" customWidth="1"/>
    <col min="2039" max="2039" width="47.42578125" style="357" customWidth="1"/>
    <col min="2040" max="2040" width="14.85546875" style="357" customWidth="1"/>
    <col min="2041" max="2041" width="14" style="357" customWidth="1"/>
    <col min="2042" max="2042" width="14.140625" style="357" customWidth="1"/>
    <col min="2043" max="2043" width="14.7109375" style="357" customWidth="1"/>
    <col min="2044" max="2292" width="9.140625" style="357"/>
    <col min="2293" max="2293" width="4.42578125" style="357" customWidth="1"/>
    <col min="2294" max="2294" width="7.5703125" style="357" customWidth="1"/>
    <col min="2295" max="2295" width="47.42578125" style="357" customWidth="1"/>
    <col min="2296" max="2296" width="14.85546875" style="357" customWidth="1"/>
    <col min="2297" max="2297" width="14" style="357" customWidth="1"/>
    <col min="2298" max="2298" width="14.140625" style="357" customWidth="1"/>
    <col min="2299" max="2299" width="14.7109375" style="357" customWidth="1"/>
    <col min="2300" max="2548" width="9.140625" style="357"/>
    <col min="2549" max="2549" width="4.42578125" style="357" customWidth="1"/>
    <col min="2550" max="2550" width="7.5703125" style="357" customWidth="1"/>
    <col min="2551" max="2551" width="47.42578125" style="357" customWidth="1"/>
    <col min="2552" max="2552" width="14.85546875" style="357" customWidth="1"/>
    <col min="2553" max="2553" width="14" style="357" customWidth="1"/>
    <col min="2554" max="2554" width="14.140625" style="357" customWidth="1"/>
    <col min="2555" max="2555" width="14.7109375" style="357" customWidth="1"/>
    <col min="2556" max="2804" width="9.140625" style="357"/>
    <col min="2805" max="2805" width="4.42578125" style="357" customWidth="1"/>
    <col min="2806" max="2806" width="7.5703125" style="357" customWidth="1"/>
    <col min="2807" max="2807" width="47.42578125" style="357" customWidth="1"/>
    <col min="2808" max="2808" width="14.85546875" style="357" customWidth="1"/>
    <col min="2809" max="2809" width="14" style="357" customWidth="1"/>
    <col min="2810" max="2810" width="14.140625" style="357" customWidth="1"/>
    <col min="2811" max="2811" width="14.7109375" style="357" customWidth="1"/>
    <col min="2812" max="3060" width="9.140625" style="357"/>
    <col min="3061" max="3061" width="4.42578125" style="357" customWidth="1"/>
    <col min="3062" max="3062" width="7.5703125" style="357" customWidth="1"/>
    <col min="3063" max="3063" width="47.42578125" style="357" customWidth="1"/>
    <col min="3064" max="3064" width="14.85546875" style="357" customWidth="1"/>
    <col min="3065" max="3065" width="14" style="357" customWidth="1"/>
    <col min="3066" max="3066" width="14.140625" style="357" customWidth="1"/>
    <col min="3067" max="3067" width="14.7109375" style="357" customWidth="1"/>
    <col min="3068" max="3316" width="9.140625" style="357"/>
    <col min="3317" max="3317" width="4.42578125" style="357" customWidth="1"/>
    <col min="3318" max="3318" width="7.5703125" style="357" customWidth="1"/>
    <col min="3319" max="3319" width="47.42578125" style="357" customWidth="1"/>
    <col min="3320" max="3320" width="14.85546875" style="357" customWidth="1"/>
    <col min="3321" max="3321" width="14" style="357" customWidth="1"/>
    <col min="3322" max="3322" width="14.140625" style="357" customWidth="1"/>
    <col min="3323" max="3323" width="14.7109375" style="357" customWidth="1"/>
    <col min="3324" max="3572" width="9.140625" style="357"/>
    <col min="3573" max="3573" width="4.42578125" style="357" customWidth="1"/>
    <col min="3574" max="3574" width="7.5703125" style="357" customWidth="1"/>
    <col min="3575" max="3575" width="47.42578125" style="357" customWidth="1"/>
    <col min="3576" max="3576" width="14.85546875" style="357" customWidth="1"/>
    <col min="3577" max="3577" width="14" style="357" customWidth="1"/>
    <col min="3578" max="3578" width="14.140625" style="357" customWidth="1"/>
    <col min="3579" max="3579" width="14.7109375" style="357" customWidth="1"/>
    <col min="3580" max="3828" width="9.140625" style="357"/>
    <col min="3829" max="3829" width="4.42578125" style="357" customWidth="1"/>
    <col min="3830" max="3830" width="7.5703125" style="357" customWidth="1"/>
    <col min="3831" max="3831" width="47.42578125" style="357" customWidth="1"/>
    <col min="3832" max="3832" width="14.85546875" style="357" customWidth="1"/>
    <col min="3833" max="3833" width="14" style="357" customWidth="1"/>
    <col min="3834" max="3834" width="14.140625" style="357" customWidth="1"/>
    <col min="3835" max="3835" width="14.7109375" style="357" customWidth="1"/>
    <col min="3836" max="4084" width="9.140625" style="357"/>
    <col min="4085" max="4085" width="4.42578125" style="357" customWidth="1"/>
    <col min="4086" max="4086" width="7.5703125" style="357" customWidth="1"/>
    <col min="4087" max="4087" width="47.42578125" style="357" customWidth="1"/>
    <col min="4088" max="4088" width="14.85546875" style="357" customWidth="1"/>
    <col min="4089" max="4089" width="14" style="357" customWidth="1"/>
    <col min="4090" max="4090" width="14.140625" style="357" customWidth="1"/>
    <col min="4091" max="4091" width="14.7109375" style="357" customWidth="1"/>
    <col min="4092" max="4340" width="9.140625" style="357"/>
    <col min="4341" max="4341" width="4.42578125" style="357" customWidth="1"/>
    <col min="4342" max="4342" width="7.5703125" style="357" customWidth="1"/>
    <col min="4343" max="4343" width="47.42578125" style="357" customWidth="1"/>
    <col min="4344" max="4344" width="14.85546875" style="357" customWidth="1"/>
    <col min="4345" max="4345" width="14" style="357" customWidth="1"/>
    <col min="4346" max="4346" width="14.140625" style="357" customWidth="1"/>
    <col min="4347" max="4347" width="14.7109375" style="357" customWidth="1"/>
    <col min="4348" max="4596" width="9.140625" style="357"/>
    <col min="4597" max="4597" width="4.42578125" style="357" customWidth="1"/>
    <col min="4598" max="4598" width="7.5703125" style="357" customWidth="1"/>
    <col min="4599" max="4599" width="47.42578125" style="357" customWidth="1"/>
    <col min="4600" max="4600" width="14.85546875" style="357" customWidth="1"/>
    <col min="4601" max="4601" width="14" style="357" customWidth="1"/>
    <col min="4602" max="4602" width="14.140625" style="357" customWidth="1"/>
    <col min="4603" max="4603" width="14.7109375" style="357" customWidth="1"/>
    <col min="4604" max="4852" width="9.140625" style="357"/>
    <col min="4853" max="4853" width="4.42578125" style="357" customWidth="1"/>
    <col min="4854" max="4854" width="7.5703125" style="357" customWidth="1"/>
    <col min="4855" max="4855" width="47.42578125" style="357" customWidth="1"/>
    <col min="4856" max="4856" width="14.85546875" style="357" customWidth="1"/>
    <col min="4857" max="4857" width="14" style="357" customWidth="1"/>
    <col min="4858" max="4858" width="14.140625" style="357" customWidth="1"/>
    <col min="4859" max="4859" width="14.7109375" style="357" customWidth="1"/>
    <col min="4860" max="5108" width="9.140625" style="357"/>
    <col min="5109" max="5109" width="4.42578125" style="357" customWidth="1"/>
    <col min="5110" max="5110" width="7.5703125" style="357" customWidth="1"/>
    <col min="5111" max="5111" width="47.42578125" style="357" customWidth="1"/>
    <col min="5112" max="5112" width="14.85546875" style="357" customWidth="1"/>
    <col min="5113" max="5113" width="14" style="357" customWidth="1"/>
    <col min="5114" max="5114" width="14.140625" style="357" customWidth="1"/>
    <col min="5115" max="5115" width="14.7109375" style="357" customWidth="1"/>
    <col min="5116" max="5364" width="9.140625" style="357"/>
    <col min="5365" max="5365" width="4.42578125" style="357" customWidth="1"/>
    <col min="5366" max="5366" width="7.5703125" style="357" customWidth="1"/>
    <col min="5367" max="5367" width="47.42578125" style="357" customWidth="1"/>
    <col min="5368" max="5368" width="14.85546875" style="357" customWidth="1"/>
    <col min="5369" max="5369" width="14" style="357" customWidth="1"/>
    <col min="5370" max="5370" width="14.140625" style="357" customWidth="1"/>
    <col min="5371" max="5371" width="14.7109375" style="357" customWidth="1"/>
    <col min="5372" max="5620" width="9.140625" style="357"/>
    <col min="5621" max="5621" width="4.42578125" style="357" customWidth="1"/>
    <col min="5622" max="5622" width="7.5703125" style="357" customWidth="1"/>
    <col min="5623" max="5623" width="47.42578125" style="357" customWidth="1"/>
    <col min="5624" max="5624" width="14.85546875" style="357" customWidth="1"/>
    <col min="5625" max="5625" width="14" style="357" customWidth="1"/>
    <col min="5626" max="5626" width="14.140625" style="357" customWidth="1"/>
    <col min="5627" max="5627" width="14.7109375" style="357" customWidth="1"/>
    <col min="5628" max="5876" width="9.140625" style="357"/>
    <col min="5877" max="5877" width="4.42578125" style="357" customWidth="1"/>
    <col min="5878" max="5878" width="7.5703125" style="357" customWidth="1"/>
    <col min="5879" max="5879" width="47.42578125" style="357" customWidth="1"/>
    <col min="5880" max="5880" width="14.85546875" style="357" customWidth="1"/>
    <col min="5881" max="5881" width="14" style="357" customWidth="1"/>
    <col min="5882" max="5882" width="14.140625" style="357" customWidth="1"/>
    <col min="5883" max="5883" width="14.7109375" style="357" customWidth="1"/>
    <col min="5884" max="6132" width="9.140625" style="357"/>
    <col min="6133" max="6133" width="4.42578125" style="357" customWidth="1"/>
    <col min="6134" max="6134" width="7.5703125" style="357" customWidth="1"/>
    <col min="6135" max="6135" width="47.42578125" style="357" customWidth="1"/>
    <col min="6136" max="6136" width="14.85546875" style="357" customWidth="1"/>
    <col min="6137" max="6137" width="14" style="357" customWidth="1"/>
    <col min="6138" max="6138" width="14.140625" style="357" customWidth="1"/>
    <col min="6139" max="6139" width="14.7109375" style="357" customWidth="1"/>
    <col min="6140" max="6388" width="9.140625" style="357"/>
    <col min="6389" max="6389" width="4.42578125" style="357" customWidth="1"/>
    <col min="6390" max="6390" width="7.5703125" style="357" customWidth="1"/>
    <col min="6391" max="6391" width="47.42578125" style="357" customWidth="1"/>
    <col min="6392" max="6392" width="14.85546875" style="357" customWidth="1"/>
    <col min="6393" max="6393" width="14" style="357" customWidth="1"/>
    <col min="6394" max="6394" width="14.140625" style="357" customWidth="1"/>
    <col min="6395" max="6395" width="14.7109375" style="357" customWidth="1"/>
    <col min="6396" max="6644" width="9.140625" style="357"/>
    <col min="6645" max="6645" width="4.42578125" style="357" customWidth="1"/>
    <col min="6646" max="6646" width="7.5703125" style="357" customWidth="1"/>
    <col min="6647" max="6647" width="47.42578125" style="357" customWidth="1"/>
    <col min="6648" max="6648" width="14.85546875" style="357" customWidth="1"/>
    <col min="6649" max="6649" width="14" style="357" customWidth="1"/>
    <col min="6650" max="6650" width="14.140625" style="357" customWidth="1"/>
    <col min="6651" max="6651" width="14.7109375" style="357" customWidth="1"/>
    <col min="6652" max="6900" width="9.140625" style="357"/>
    <col min="6901" max="6901" width="4.42578125" style="357" customWidth="1"/>
    <col min="6902" max="6902" width="7.5703125" style="357" customWidth="1"/>
    <col min="6903" max="6903" width="47.42578125" style="357" customWidth="1"/>
    <col min="6904" max="6904" width="14.85546875" style="357" customWidth="1"/>
    <col min="6905" max="6905" width="14" style="357" customWidth="1"/>
    <col min="6906" max="6906" width="14.140625" style="357" customWidth="1"/>
    <col min="6907" max="6907" width="14.7109375" style="357" customWidth="1"/>
    <col min="6908" max="7156" width="9.140625" style="357"/>
    <col min="7157" max="7157" width="4.42578125" style="357" customWidth="1"/>
    <col min="7158" max="7158" width="7.5703125" style="357" customWidth="1"/>
    <col min="7159" max="7159" width="47.42578125" style="357" customWidth="1"/>
    <col min="7160" max="7160" width="14.85546875" style="357" customWidth="1"/>
    <col min="7161" max="7161" width="14" style="357" customWidth="1"/>
    <col min="7162" max="7162" width="14.140625" style="357" customWidth="1"/>
    <col min="7163" max="7163" width="14.7109375" style="357" customWidth="1"/>
    <col min="7164" max="7412" width="9.140625" style="357"/>
    <col min="7413" max="7413" width="4.42578125" style="357" customWidth="1"/>
    <col min="7414" max="7414" width="7.5703125" style="357" customWidth="1"/>
    <col min="7415" max="7415" width="47.42578125" style="357" customWidth="1"/>
    <col min="7416" max="7416" width="14.85546875" style="357" customWidth="1"/>
    <col min="7417" max="7417" width="14" style="357" customWidth="1"/>
    <col min="7418" max="7418" width="14.140625" style="357" customWidth="1"/>
    <col min="7419" max="7419" width="14.7109375" style="357" customWidth="1"/>
    <col min="7420" max="7668" width="9.140625" style="357"/>
    <col min="7669" max="7669" width="4.42578125" style="357" customWidth="1"/>
    <col min="7670" max="7670" width="7.5703125" style="357" customWidth="1"/>
    <col min="7671" max="7671" width="47.42578125" style="357" customWidth="1"/>
    <col min="7672" max="7672" width="14.85546875" style="357" customWidth="1"/>
    <col min="7673" max="7673" width="14" style="357" customWidth="1"/>
    <col min="7674" max="7674" width="14.140625" style="357" customWidth="1"/>
    <col min="7675" max="7675" width="14.7109375" style="357" customWidth="1"/>
    <col min="7676" max="7924" width="9.140625" style="357"/>
    <col min="7925" max="7925" width="4.42578125" style="357" customWidth="1"/>
    <col min="7926" max="7926" width="7.5703125" style="357" customWidth="1"/>
    <col min="7927" max="7927" width="47.42578125" style="357" customWidth="1"/>
    <col min="7928" max="7928" width="14.85546875" style="357" customWidth="1"/>
    <col min="7929" max="7929" width="14" style="357" customWidth="1"/>
    <col min="7930" max="7930" width="14.140625" style="357" customWidth="1"/>
    <col min="7931" max="7931" width="14.7109375" style="357" customWidth="1"/>
    <col min="7932" max="8180" width="9.140625" style="357"/>
    <col min="8181" max="8181" width="4.42578125" style="357" customWidth="1"/>
    <col min="8182" max="8182" width="7.5703125" style="357" customWidth="1"/>
    <col min="8183" max="8183" width="47.42578125" style="357" customWidth="1"/>
    <col min="8184" max="8184" width="14.85546875" style="357" customWidth="1"/>
    <col min="8185" max="8185" width="14" style="357" customWidth="1"/>
    <col min="8186" max="8186" width="14.140625" style="357" customWidth="1"/>
    <col min="8187" max="8187" width="14.7109375" style="357" customWidth="1"/>
    <col min="8188" max="8436" width="9.140625" style="357"/>
    <col min="8437" max="8437" width="4.42578125" style="357" customWidth="1"/>
    <col min="8438" max="8438" width="7.5703125" style="357" customWidth="1"/>
    <col min="8439" max="8439" width="47.42578125" style="357" customWidth="1"/>
    <col min="8440" max="8440" width="14.85546875" style="357" customWidth="1"/>
    <col min="8441" max="8441" width="14" style="357" customWidth="1"/>
    <col min="8442" max="8442" width="14.140625" style="357" customWidth="1"/>
    <col min="8443" max="8443" width="14.7109375" style="357" customWidth="1"/>
    <col min="8444" max="8692" width="9.140625" style="357"/>
    <col min="8693" max="8693" width="4.42578125" style="357" customWidth="1"/>
    <col min="8694" max="8694" width="7.5703125" style="357" customWidth="1"/>
    <col min="8695" max="8695" width="47.42578125" style="357" customWidth="1"/>
    <col min="8696" max="8696" width="14.85546875" style="357" customWidth="1"/>
    <col min="8697" max="8697" width="14" style="357" customWidth="1"/>
    <col min="8698" max="8698" width="14.140625" style="357" customWidth="1"/>
    <col min="8699" max="8699" width="14.7109375" style="357" customWidth="1"/>
    <col min="8700" max="8948" width="9.140625" style="357"/>
    <col min="8949" max="8949" width="4.42578125" style="357" customWidth="1"/>
    <col min="8950" max="8950" width="7.5703125" style="357" customWidth="1"/>
    <col min="8951" max="8951" width="47.42578125" style="357" customWidth="1"/>
    <col min="8952" max="8952" width="14.85546875" style="357" customWidth="1"/>
    <col min="8953" max="8953" width="14" style="357" customWidth="1"/>
    <col min="8954" max="8954" width="14.140625" style="357" customWidth="1"/>
    <col min="8955" max="8955" width="14.7109375" style="357" customWidth="1"/>
    <col min="8956" max="9204" width="9.140625" style="357"/>
    <col min="9205" max="9205" width="4.42578125" style="357" customWidth="1"/>
    <col min="9206" max="9206" width="7.5703125" style="357" customWidth="1"/>
    <col min="9207" max="9207" width="47.42578125" style="357" customWidth="1"/>
    <col min="9208" max="9208" width="14.85546875" style="357" customWidth="1"/>
    <col min="9209" max="9209" width="14" style="357" customWidth="1"/>
    <col min="9210" max="9210" width="14.140625" style="357" customWidth="1"/>
    <col min="9211" max="9211" width="14.7109375" style="357" customWidth="1"/>
    <col min="9212" max="9460" width="9.140625" style="357"/>
    <col min="9461" max="9461" width="4.42578125" style="357" customWidth="1"/>
    <col min="9462" max="9462" width="7.5703125" style="357" customWidth="1"/>
    <col min="9463" max="9463" width="47.42578125" style="357" customWidth="1"/>
    <col min="9464" max="9464" width="14.85546875" style="357" customWidth="1"/>
    <col min="9465" max="9465" width="14" style="357" customWidth="1"/>
    <col min="9466" max="9466" width="14.140625" style="357" customWidth="1"/>
    <col min="9467" max="9467" width="14.7109375" style="357" customWidth="1"/>
    <col min="9468" max="9716" width="9.140625" style="357"/>
    <col min="9717" max="9717" width="4.42578125" style="357" customWidth="1"/>
    <col min="9718" max="9718" width="7.5703125" style="357" customWidth="1"/>
    <col min="9719" max="9719" width="47.42578125" style="357" customWidth="1"/>
    <col min="9720" max="9720" width="14.85546875" style="357" customWidth="1"/>
    <col min="9721" max="9721" width="14" style="357" customWidth="1"/>
    <col min="9722" max="9722" width="14.140625" style="357" customWidth="1"/>
    <col min="9723" max="9723" width="14.7109375" style="357" customWidth="1"/>
    <col min="9724" max="9972" width="9.140625" style="357"/>
    <col min="9973" max="9973" width="4.42578125" style="357" customWidth="1"/>
    <col min="9974" max="9974" width="7.5703125" style="357" customWidth="1"/>
    <col min="9975" max="9975" width="47.42578125" style="357" customWidth="1"/>
    <col min="9976" max="9976" width="14.85546875" style="357" customWidth="1"/>
    <col min="9977" max="9977" width="14" style="357" customWidth="1"/>
    <col min="9978" max="9978" width="14.140625" style="357" customWidth="1"/>
    <col min="9979" max="9979" width="14.7109375" style="357" customWidth="1"/>
    <col min="9980" max="10228" width="9.140625" style="357"/>
    <col min="10229" max="10229" width="4.42578125" style="357" customWidth="1"/>
    <col min="10230" max="10230" width="7.5703125" style="357" customWidth="1"/>
    <col min="10231" max="10231" width="47.42578125" style="357" customWidth="1"/>
    <col min="10232" max="10232" width="14.85546875" style="357" customWidth="1"/>
    <col min="10233" max="10233" width="14" style="357" customWidth="1"/>
    <col min="10234" max="10234" width="14.140625" style="357" customWidth="1"/>
    <col min="10235" max="10235" width="14.7109375" style="357" customWidth="1"/>
    <col min="10236" max="10484" width="9.140625" style="357"/>
    <col min="10485" max="10485" width="4.42578125" style="357" customWidth="1"/>
    <col min="10486" max="10486" width="7.5703125" style="357" customWidth="1"/>
    <col min="10487" max="10487" width="47.42578125" style="357" customWidth="1"/>
    <col min="10488" max="10488" width="14.85546875" style="357" customWidth="1"/>
    <col min="10489" max="10489" width="14" style="357" customWidth="1"/>
    <col min="10490" max="10490" width="14.140625" style="357" customWidth="1"/>
    <col min="10491" max="10491" width="14.7109375" style="357" customWidth="1"/>
    <col min="10492" max="10740" width="9.140625" style="357"/>
    <col min="10741" max="10741" width="4.42578125" style="357" customWidth="1"/>
    <col min="10742" max="10742" width="7.5703125" style="357" customWidth="1"/>
    <col min="10743" max="10743" width="47.42578125" style="357" customWidth="1"/>
    <col min="10744" max="10744" width="14.85546875" style="357" customWidth="1"/>
    <col min="10745" max="10745" width="14" style="357" customWidth="1"/>
    <col min="10746" max="10746" width="14.140625" style="357" customWidth="1"/>
    <col min="10747" max="10747" width="14.7109375" style="357" customWidth="1"/>
    <col min="10748" max="10996" width="9.140625" style="357"/>
    <col min="10997" max="10997" width="4.42578125" style="357" customWidth="1"/>
    <col min="10998" max="10998" width="7.5703125" style="357" customWidth="1"/>
    <col min="10999" max="10999" width="47.42578125" style="357" customWidth="1"/>
    <col min="11000" max="11000" width="14.85546875" style="357" customWidth="1"/>
    <col min="11001" max="11001" width="14" style="357" customWidth="1"/>
    <col min="11002" max="11002" width="14.140625" style="357" customWidth="1"/>
    <col min="11003" max="11003" width="14.7109375" style="357" customWidth="1"/>
    <col min="11004" max="11252" width="9.140625" style="357"/>
    <col min="11253" max="11253" width="4.42578125" style="357" customWidth="1"/>
    <col min="11254" max="11254" width="7.5703125" style="357" customWidth="1"/>
    <col min="11255" max="11255" width="47.42578125" style="357" customWidth="1"/>
    <col min="11256" max="11256" width="14.85546875" style="357" customWidth="1"/>
    <col min="11257" max="11257" width="14" style="357" customWidth="1"/>
    <col min="11258" max="11258" width="14.140625" style="357" customWidth="1"/>
    <col min="11259" max="11259" width="14.7109375" style="357" customWidth="1"/>
    <col min="11260" max="11508" width="9.140625" style="357"/>
    <col min="11509" max="11509" width="4.42578125" style="357" customWidth="1"/>
    <col min="11510" max="11510" width="7.5703125" style="357" customWidth="1"/>
    <col min="11511" max="11511" width="47.42578125" style="357" customWidth="1"/>
    <col min="11512" max="11512" width="14.85546875" style="357" customWidth="1"/>
    <col min="11513" max="11513" width="14" style="357" customWidth="1"/>
    <col min="11514" max="11514" width="14.140625" style="357" customWidth="1"/>
    <col min="11515" max="11515" width="14.7109375" style="357" customWidth="1"/>
    <col min="11516" max="11764" width="9.140625" style="357"/>
    <col min="11765" max="11765" width="4.42578125" style="357" customWidth="1"/>
    <col min="11766" max="11766" width="7.5703125" style="357" customWidth="1"/>
    <col min="11767" max="11767" width="47.42578125" style="357" customWidth="1"/>
    <col min="11768" max="11768" width="14.85546875" style="357" customWidth="1"/>
    <col min="11769" max="11769" width="14" style="357" customWidth="1"/>
    <col min="11770" max="11770" width="14.140625" style="357" customWidth="1"/>
    <col min="11771" max="11771" width="14.7109375" style="357" customWidth="1"/>
    <col min="11772" max="12020" width="9.140625" style="357"/>
    <col min="12021" max="12021" width="4.42578125" style="357" customWidth="1"/>
    <col min="12022" max="12022" width="7.5703125" style="357" customWidth="1"/>
    <col min="12023" max="12023" width="47.42578125" style="357" customWidth="1"/>
    <col min="12024" max="12024" width="14.85546875" style="357" customWidth="1"/>
    <col min="12025" max="12025" width="14" style="357" customWidth="1"/>
    <col min="12026" max="12026" width="14.140625" style="357" customWidth="1"/>
    <col min="12027" max="12027" width="14.7109375" style="357" customWidth="1"/>
    <col min="12028" max="12276" width="9.140625" style="357"/>
    <col min="12277" max="12277" width="4.42578125" style="357" customWidth="1"/>
    <col min="12278" max="12278" width="7.5703125" style="357" customWidth="1"/>
    <col min="12279" max="12279" width="47.42578125" style="357" customWidth="1"/>
    <col min="12280" max="12280" width="14.85546875" style="357" customWidth="1"/>
    <col min="12281" max="12281" width="14" style="357" customWidth="1"/>
    <col min="12282" max="12282" width="14.140625" style="357" customWidth="1"/>
    <col min="12283" max="12283" width="14.7109375" style="357" customWidth="1"/>
    <col min="12284" max="12532" width="9.140625" style="357"/>
    <col min="12533" max="12533" width="4.42578125" style="357" customWidth="1"/>
    <col min="12534" max="12534" width="7.5703125" style="357" customWidth="1"/>
    <col min="12535" max="12535" width="47.42578125" style="357" customWidth="1"/>
    <col min="12536" max="12536" width="14.85546875" style="357" customWidth="1"/>
    <col min="12537" max="12537" width="14" style="357" customWidth="1"/>
    <col min="12538" max="12538" width="14.140625" style="357" customWidth="1"/>
    <col min="12539" max="12539" width="14.7109375" style="357" customWidth="1"/>
    <col min="12540" max="12788" width="9.140625" style="357"/>
    <col min="12789" max="12789" width="4.42578125" style="357" customWidth="1"/>
    <col min="12790" max="12790" width="7.5703125" style="357" customWidth="1"/>
    <col min="12791" max="12791" width="47.42578125" style="357" customWidth="1"/>
    <col min="12792" max="12792" width="14.85546875" style="357" customWidth="1"/>
    <col min="12793" max="12793" width="14" style="357" customWidth="1"/>
    <col min="12794" max="12794" width="14.140625" style="357" customWidth="1"/>
    <col min="12795" max="12795" width="14.7109375" style="357" customWidth="1"/>
    <col min="12796" max="13044" width="9.140625" style="357"/>
    <col min="13045" max="13045" width="4.42578125" style="357" customWidth="1"/>
    <col min="13046" max="13046" width="7.5703125" style="357" customWidth="1"/>
    <col min="13047" max="13047" width="47.42578125" style="357" customWidth="1"/>
    <col min="13048" max="13048" width="14.85546875" style="357" customWidth="1"/>
    <col min="13049" max="13049" width="14" style="357" customWidth="1"/>
    <col min="13050" max="13050" width="14.140625" style="357" customWidth="1"/>
    <col min="13051" max="13051" width="14.7109375" style="357" customWidth="1"/>
    <col min="13052" max="13300" width="9.140625" style="357"/>
    <col min="13301" max="13301" width="4.42578125" style="357" customWidth="1"/>
    <col min="13302" max="13302" width="7.5703125" style="357" customWidth="1"/>
    <col min="13303" max="13303" width="47.42578125" style="357" customWidth="1"/>
    <col min="13304" max="13304" width="14.85546875" style="357" customWidth="1"/>
    <col min="13305" max="13305" width="14" style="357" customWidth="1"/>
    <col min="13306" max="13306" width="14.140625" style="357" customWidth="1"/>
    <col min="13307" max="13307" width="14.7109375" style="357" customWidth="1"/>
    <col min="13308" max="13556" width="9.140625" style="357"/>
    <col min="13557" max="13557" width="4.42578125" style="357" customWidth="1"/>
    <col min="13558" max="13558" width="7.5703125" style="357" customWidth="1"/>
    <col min="13559" max="13559" width="47.42578125" style="357" customWidth="1"/>
    <col min="13560" max="13560" width="14.85546875" style="357" customWidth="1"/>
    <col min="13561" max="13561" width="14" style="357" customWidth="1"/>
    <col min="13562" max="13562" width="14.140625" style="357" customWidth="1"/>
    <col min="13563" max="13563" width="14.7109375" style="357" customWidth="1"/>
    <col min="13564" max="13812" width="9.140625" style="357"/>
    <col min="13813" max="13813" width="4.42578125" style="357" customWidth="1"/>
    <col min="13814" max="13814" width="7.5703125" style="357" customWidth="1"/>
    <col min="13815" max="13815" width="47.42578125" style="357" customWidth="1"/>
    <col min="13816" max="13816" width="14.85546875" style="357" customWidth="1"/>
    <col min="13817" max="13817" width="14" style="357" customWidth="1"/>
    <col min="13818" max="13818" width="14.140625" style="357" customWidth="1"/>
    <col min="13819" max="13819" width="14.7109375" style="357" customWidth="1"/>
    <col min="13820" max="14068" width="9.140625" style="357"/>
    <col min="14069" max="14069" width="4.42578125" style="357" customWidth="1"/>
    <col min="14070" max="14070" width="7.5703125" style="357" customWidth="1"/>
    <col min="14071" max="14071" width="47.42578125" style="357" customWidth="1"/>
    <col min="14072" max="14072" width="14.85546875" style="357" customWidth="1"/>
    <col min="14073" max="14073" width="14" style="357" customWidth="1"/>
    <col min="14074" max="14074" width="14.140625" style="357" customWidth="1"/>
    <col min="14075" max="14075" width="14.7109375" style="357" customWidth="1"/>
    <col min="14076" max="14324" width="9.140625" style="357"/>
    <col min="14325" max="14325" width="4.42578125" style="357" customWidth="1"/>
    <col min="14326" max="14326" width="7.5703125" style="357" customWidth="1"/>
    <col min="14327" max="14327" width="47.42578125" style="357" customWidth="1"/>
    <col min="14328" max="14328" width="14.85546875" style="357" customWidth="1"/>
    <col min="14329" max="14329" width="14" style="357" customWidth="1"/>
    <col min="14330" max="14330" width="14.140625" style="357" customWidth="1"/>
    <col min="14331" max="14331" width="14.7109375" style="357" customWidth="1"/>
    <col min="14332" max="14580" width="9.140625" style="357"/>
    <col min="14581" max="14581" width="4.42578125" style="357" customWidth="1"/>
    <col min="14582" max="14582" width="7.5703125" style="357" customWidth="1"/>
    <col min="14583" max="14583" width="47.42578125" style="357" customWidth="1"/>
    <col min="14584" max="14584" width="14.85546875" style="357" customWidth="1"/>
    <col min="14585" max="14585" width="14" style="357" customWidth="1"/>
    <col min="14586" max="14586" width="14.140625" style="357" customWidth="1"/>
    <col min="14587" max="14587" width="14.7109375" style="357" customWidth="1"/>
    <col min="14588" max="14836" width="9.140625" style="357"/>
    <col min="14837" max="14837" width="4.42578125" style="357" customWidth="1"/>
    <col min="14838" max="14838" width="7.5703125" style="357" customWidth="1"/>
    <col min="14839" max="14839" width="47.42578125" style="357" customWidth="1"/>
    <col min="14840" max="14840" width="14.85546875" style="357" customWidth="1"/>
    <col min="14841" max="14841" width="14" style="357" customWidth="1"/>
    <col min="14842" max="14842" width="14.140625" style="357" customWidth="1"/>
    <col min="14843" max="14843" width="14.7109375" style="357" customWidth="1"/>
    <col min="14844" max="15092" width="9.140625" style="357"/>
    <col min="15093" max="15093" width="4.42578125" style="357" customWidth="1"/>
    <col min="15094" max="15094" width="7.5703125" style="357" customWidth="1"/>
    <col min="15095" max="15095" width="47.42578125" style="357" customWidth="1"/>
    <col min="15096" max="15096" width="14.85546875" style="357" customWidth="1"/>
    <col min="15097" max="15097" width="14" style="357" customWidth="1"/>
    <col min="15098" max="15098" width="14.140625" style="357" customWidth="1"/>
    <col min="15099" max="15099" width="14.7109375" style="357" customWidth="1"/>
    <col min="15100" max="15348" width="9.140625" style="357"/>
    <col min="15349" max="15349" width="4.42578125" style="357" customWidth="1"/>
    <col min="15350" max="15350" width="7.5703125" style="357" customWidth="1"/>
    <col min="15351" max="15351" width="47.42578125" style="357" customWidth="1"/>
    <col min="15352" max="15352" width="14.85546875" style="357" customWidth="1"/>
    <col min="15353" max="15353" width="14" style="357" customWidth="1"/>
    <col min="15354" max="15354" width="14.140625" style="357" customWidth="1"/>
    <col min="15355" max="15355" width="14.7109375" style="357" customWidth="1"/>
    <col min="15356" max="15604" width="9.140625" style="357"/>
    <col min="15605" max="15605" width="4.42578125" style="357" customWidth="1"/>
    <col min="15606" max="15606" width="7.5703125" style="357" customWidth="1"/>
    <col min="15607" max="15607" width="47.42578125" style="357" customWidth="1"/>
    <col min="15608" max="15608" width="14.85546875" style="357" customWidth="1"/>
    <col min="15609" max="15609" width="14" style="357" customWidth="1"/>
    <col min="15610" max="15610" width="14.140625" style="357" customWidth="1"/>
    <col min="15611" max="15611" width="14.7109375" style="357" customWidth="1"/>
    <col min="15612" max="15860" width="9.140625" style="357"/>
    <col min="15861" max="15861" width="4.42578125" style="357" customWidth="1"/>
    <col min="15862" max="15862" width="7.5703125" style="357" customWidth="1"/>
    <col min="15863" max="15863" width="47.42578125" style="357" customWidth="1"/>
    <col min="15864" max="15864" width="14.85546875" style="357" customWidth="1"/>
    <col min="15865" max="15865" width="14" style="357" customWidth="1"/>
    <col min="15866" max="15866" width="14.140625" style="357" customWidth="1"/>
    <col min="15867" max="15867" width="14.7109375" style="357" customWidth="1"/>
    <col min="15868" max="16116" width="9.140625" style="357"/>
    <col min="16117" max="16117" width="4.42578125" style="357" customWidth="1"/>
    <col min="16118" max="16118" width="7.5703125" style="357" customWidth="1"/>
    <col min="16119" max="16119" width="47.42578125" style="357" customWidth="1"/>
    <col min="16120" max="16120" width="14.85546875" style="357" customWidth="1"/>
    <col min="16121" max="16121" width="14" style="357" customWidth="1"/>
    <col min="16122" max="16122" width="14.140625" style="357" customWidth="1"/>
    <col min="16123" max="16123" width="14.7109375" style="357" customWidth="1"/>
    <col min="16124" max="16384" width="9.140625" style="357"/>
  </cols>
  <sheetData>
    <row r="1" spans="1:7" ht="16.5" x14ac:dyDescent="0.3">
      <c r="F1" s="348" t="s">
        <v>403</v>
      </c>
      <c r="G1" s="306"/>
    </row>
    <row r="2" spans="1:7" ht="16.5" x14ac:dyDescent="0.3">
      <c r="F2" s="3" t="s">
        <v>266</v>
      </c>
      <c r="G2" s="306"/>
    </row>
    <row r="3" spans="1:7" ht="16.5" x14ac:dyDescent="0.3">
      <c r="F3" s="3" t="s">
        <v>64</v>
      </c>
      <c r="G3" s="306"/>
    </row>
    <row r="4" spans="1:7" ht="16.5" x14ac:dyDescent="0.3">
      <c r="F4" s="3" t="s">
        <v>267</v>
      </c>
      <c r="G4" s="306"/>
    </row>
    <row r="5" spans="1:7" s="308" customFormat="1" ht="12.75" x14ac:dyDescent="0.2">
      <c r="A5" s="53" t="s">
        <v>404</v>
      </c>
      <c r="B5" s="307"/>
      <c r="C5" s="307"/>
      <c r="D5" s="307"/>
      <c r="E5" s="307"/>
      <c r="F5" s="307"/>
      <c r="G5" s="307"/>
    </row>
    <row r="6" spans="1:7" s="308" customFormat="1" ht="12.75" x14ac:dyDescent="0.2">
      <c r="A6" s="53" t="s">
        <v>405</v>
      </c>
      <c r="B6" s="307"/>
      <c r="C6" s="307"/>
      <c r="D6" s="307"/>
      <c r="E6" s="307"/>
      <c r="F6" s="307"/>
      <c r="G6" s="307"/>
    </row>
    <row r="7" spans="1:7" x14ac:dyDescent="0.25">
      <c r="A7" s="309" t="s">
        <v>406</v>
      </c>
      <c r="B7" s="307"/>
      <c r="C7" s="307"/>
      <c r="D7" s="307"/>
      <c r="E7" s="307"/>
      <c r="F7" s="307"/>
      <c r="G7" s="307"/>
    </row>
    <row r="8" spans="1:7" x14ac:dyDescent="0.25">
      <c r="A8" s="356"/>
      <c r="B8" s="356"/>
      <c r="C8" s="356"/>
      <c r="D8" s="356"/>
      <c r="E8" s="356"/>
      <c r="F8" s="356"/>
      <c r="G8" s="310" t="s">
        <v>1</v>
      </c>
    </row>
    <row r="9" spans="1:7" ht="15" customHeight="1" x14ac:dyDescent="0.25">
      <c r="A9" s="311"/>
      <c r="B9" s="311"/>
      <c r="C9" s="311"/>
      <c r="D9" s="312" t="s">
        <v>407</v>
      </c>
      <c r="E9" s="313"/>
      <c r="F9" s="314"/>
      <c r="G9" s="312" t="s">
        <v>407</v>
      </c>
    </row>
    <row r="10" spans="1:7" x14ac:dyDescent="0.25">
      <c r="A10" s="315"/>
      <c r="B10" s="315" t="s">
        <v>3</v>
      </c>
      <c r="C10" s="315"/>
      <c r="D10" s="316" t="s">
        <v>408</v>
      </c>
      <c r="E10" s="316"/>
      <c r="F10" s="316"/>
      <c r="G10" s="316" t="s">
        <v>409</v>
      </c>
    </row>
    <row r="11" spans="1:7" x14ac:dyDescent="0.25">
      <c r="A11" s="315" t="s">
        <v>27</v>
      </c>
      <c r="B11" s="317"/>
      <c r="C11" s="315" t="s">
        <v>410</v>
      </c>
      <c r="D11" s="316" t="s">
        <v>411</v>
      </c>
      <c r="E11" s="316" t="s">
        <v>412</v>
      </c>
      <c r="F11" s="316" t="s">
        <v>413</v>
      </c>
      <c r="G11" s="316" t="s">
        <v>414</v>
      </c>
    </row>
    <row r="12" spans="1:7" ht="9.75" customHeight="1" x14ac:dyDescent="0.25">
      <c r="A12" s="317"/>
      <c r="B12" s="317" t="s">
        <v>4</v>
      </c>
      <c r="C12" s="317"/>
      <c r="D12" s="318" t="s">
        <v>415</v>
      </c>
      <c r="E12" s="318"/>
      <c r="F12" s="318"/>
      <c r="G12" s="318" t="s">
        <v>415</v>
      </c>
    </row>
    <row r="13" spans="1:7" x14ac:dyDescent="0.25">
      <c r="A13" s="319">
        <v>1</v>
      </c>
      <c r="B13" s="319">
        <v>2</v>
      </c>
      <c r="C13" s="319">
        <v>3</v>
      </c>
      <c r="D13" s="319">
        <v>4</v>
      </c>
      <c r="E13" s="319">
        <v>5</v>
      </c>
      <c r="F13" s="319">
        <v>6</v>
      </c>
      <c r="G13" s="319">
        <v>7</v>
      </c>
    </row>
    <row r="14" spans="1:7" s="356" customFormat="1" ht="12" customHeight="1" x14ac:dyDescent="0.25">
      <c r="A14" s="320"/>
      <c r="B14" s="321">
        <v>801</v>
      </c>
      <c r="C14" s="407"/>
      <c r="D14" s="408"/>
      <c r="E14" s="408"/>
      <c r="F14" s="408"/>
      <c r="G14" s="408"/>
    </row>
    <row r="15" spans="1:7" x14ac:dyDescent="0.25">
      <c r="A15" s="322" t="s">
        <v>28</v>
      </c>
      <c r="B15" s="323">
        <v>80101</v>
      </c>
      <c r="C15" s="324" t="s">
        <v>151</v>
      </c>
      <c r="D15" s="325">
        <v>170.99</v>
      </c>
      <c r="E15" s="325">
        <v>843627.21</v>
      </c>
      <c r="F15" s="325">
        <v>843798.2</v>
      </c>
      <c r="G15" s="325">
        <v>0</v>
      </c>
    </row>
    <row r="16" spans="1:7" x14ac:dyDescent="0.25">
      <c r="A16" s="322" t="s">
        <v>29</v>
      </c>
      <c r="B16" s="323">
        <v>80102</v>
      </c>
      <c r="C16" s="326" t="s">
        <v>165</v>
      </c>
      <c r="D16" s="327">
        <v>0</v>
      </c>
      <c r="E16" s="327">
        <v>7490</v>
      </c>
      <c r="F16" s="327">
        <v>7490</v>
      </c>
      <c r="G16" s="327">
        <v>0</v>
      </c>
    </row>
    <row r="17" spans="1:7" x14ac:dyDescent="0.25">
      <c r="A17" s="322" t="s">
        <v>30</v>
      </c>
      <c r="B17" s="323">
        <v>80104</v>
      </c>
      <c r="C17" s="326" t="s">
        <v>170</v>
      </c>
      <c r="D17" s="327">
        <v>5123.59</v>
      </c>
      <c r="E17" s="327">
        <v>3517163.59</v>
      </c>
      <c r="F17" s="327">
        <v>3522287.18</v>
      </c>
      <c r="G17" s="327">
        <v>0</v>
      </c>
    </row>
    <row r="18" spans="1:7" x14ac:dyDescent="0.25">
      <c r="A18" s="322" t="s">
        <v>31</v>
      </c>
      <c r="B18" s="323">
        <v>80115</v>
      </c>
      <c r="C18" s="326" t="s">
        <v>179</v>
      </c>
      <c r="D18" s="327">
        <v>3153.5</v>
      </c>
      <c r="E18" s="327">
        <v>1143508</v>
      </c>
      <c r="F18" s="327">
        <v>1146661.5</v>
      </c>
      <c r="G18" s="327">
        <v>0</v>
      </c>
    </row>
    <row r="19" spans="1:7" x14ac:dyDescent="0.25">
      <c r="A19" s="322" t="s">
        <v>416</v>
      </c>
      <c r="B19" s="323">
        <v>80120</v>
      </c>
      <c r="C19" s="326" t="s">
        <v>182</v>
      </c>
      <c r="D19" s="328">
        <v>68.55</v>
      </c>
      <c r="E19" s="327">
        <v>243036.99</v>
      </c>
      <c r="F19" s="327">
        <v>243105.54</v>
      </c>
      <c r="G19" s="327">
        <v>0</v>
      </c>
    </row>
    <row r="20" spans="1:7" x14ac:dyDescent="0.25">
      <c r="A20" s="322" t="s">
        <v>417</v>
      </c>
      <c r="B20" s="323">
        <v>80132</v>
      </c>
      <c r="C20" s="326" t="s">
        <v>418</v>
      </c>
      <c r="D20" s="327">
        <v>2.87</v>
      </c>
      <c r="E20" s="327">
        <v>40992</v>
      </c>
      <c r="F20" s="327">
        <v>40994.870000000003</v>
      </c>
      <c r="G20" s="329">
        <v>0</v>
      </c>
    </row>
    <row r="21" spans="1:7" ht="14.25" customHeight="1" x14ac:dyDescent="0.25">
      <c r="A21" s="322" t="s">
        <v>419</v>
      </c>
      <c r="B21" s="323">
        <v>80134</v>
      </c>
      <c r="C21" s="326" t="s">
        <v>185</v>
      </c>
      <c r="D21" s="327">
        <v>0</v>
      </c>
      <c r="E21" s="327">
        <v>1300</v>
      </c>
      <c r="F21" s="327">
        <v>1300</v>
      </c>
      <c r="G21" s="327">
        <v>0</v>
      </c>
    </row>
    <row r="22" spans="1:7" ht="14.25" customHeight="1" x14ac:dyDescent="0.25">
      <c r="A22" s="330" t="s">
        <v>420</v>
      </c>
      <c r="B22" s="331">
        <v>80140</v>
      </c>
      <c r="C22" s="332" t="s">
        <v>421</v>
      </c>
      <c r="D22" s="327">
        <v>0</v>
      </c>
      <c r="E22" s="327">
        <v>101038</v>
      </c>
      <c r="F22" s="327">
        <v>101038</v>
      </c>
      <c r="G22" s="327">
        <v>0</v>
      </c>
    </row>
    <row r="23" spans="1:7" x14ac:dyDescent="0.25">
      <c r="A23" s="330" t="s">
        <v>422</v>
      </c>
      <c r="B23" s="331">
        <v>80142</v>
      </c>
      <c r="C23" s="332" t="s">
        <v>188</v>
      </c>
      <c r="D23" s="327">
        <v>0</v>
      </c>
      <c r="E23" s="327">
        <v>281040</v>
      </c>
      <c r="F23" s="327">
        <v>281040</v>
      </c>
      <c r="G23" s="327">
        <v>0</v>
      </c>
    </row>
    <row r="24" spans="1:7" x14ac:dyDescent="0.25">
      <c r="A24" s="330" t="s">
        <v>423</v>
      </c>
      <c r="B24" s="331">
        <v>80144</v>
      </c>
      <c r="C24" s="332" t="s">
        <v>424</v>
      </c>
      <c r="D24" s="327">
        <v>0</v>
      </c>
      <c r="E24" s="327">
        <v>63532</v>
      </c>
      <c r="F24" s="327">
        <v>63532</v>
      </c>
      <c r="G24" s="327">
        <v>0</v>
      </c>
    </row>
    <row r="25" spans="1:7" x14ac:dyDescent="0.25">
      <c r="A25" s="333" t="s">
        <v>425</v>
      </c>
      <c r="B25" s="334">
        <v>80148</v>
      </c>
      <c r="C25" s="326" t="s">
        <v>191</v>
      </c>
      <c r="D25" s="335">
        <v>304.12</v>
      </c>
      <c r="E25" s="335">
        <v>2773291</v>
      </c>
      <c r="F25" s="335">
        <v>2773595.12</v>
      </c>
      <c r="G25" s="335">
        <v>0</v>
      </c>
    </row>
    <row r="26" spans="1:7" ht="12.75" customHeight="1" x14ac:dyDescent="0.25">
      <c r="A26" s="336"/>
      <c r="B26" s="337">
        <v>854</v>
      </c>
      <c r="C26" s="338"/>
      <c r="D26" s="339"/>
      <c r="E26" s="339"/>
      <c r="F26" s="339"/>
      <c r="G26" s="339"/>
    </row>
    <row r="27" spans="1:7" x14ac:dyDescent="0.25">
      <c r="A27" s="322" t="s">
        <v>28</v>
      </c>
      <c r="B27" s="323">
        <v>85410</v>
      </c>
      <c r="C27" s="326" t="s">
        <v>221</v>
      </c>
      <c r="D27" s="327">
        <v>20.57</v>
      </c>
      <c r="E27" s="327">
        <v>491700</v>
      </c>
      <c r="F27" s="327">
        <v>491720.57</v>
      </c>
      <c r="G27" s="327">
        <v>0</v>
      </c>
    </row>
    <row r="28" spans="1:7" x14ac:dyDescent="0.25">
      <c r="A28" s="322" t="s">
        <v>29</v>
      </c>
      <c r="B28" s="323">
        <v>85412</v>
      </c>
      <c r="C28" s="326" t="s">
        <v>426</v>
      </c>
      <c r="D28" s="327"/>
      <c r="E28" s="327"/>
      <c r="F28" s="327"/>
      <c r="G28" s="327"/>
    </row>
    <row r="29" spans="1:7" x14ac:dyDescent="0.25">
      <c r="A29" s="322"/>
      <c r="B29" s="323"/>
      <c r="C29" s="326" t="s">
        <v>427</v>
      </c>
      <c r="D29" s="327">
        <v>0</v>
      </c>
      <c r="E29" s="327">
        <v>9850</v>
      </c>
      <c r="F29" s="327">
        <v>9850</v>
      </c>
      <c r="G29" s="327">
        <v>0</v>
      </c>
    </row>
    <row r="30" spans="1:7" x14ac:dyDescent="0.25">
      <c r="A30" s="322" t="s">
        <v>30</v>
      </c>
      <c r="B30" s="323">
        <v>85417</v>
      </c>
      <c r="C30" s="340" t="s">
        <v>428</v>
      </c>
      <c r="D30" s="327">
        <v>0</v>
      </c>
      <c r="E30" s="327">
        <v>80400</v>
      </c>
      <c r="F30" s="327">
        <v>80400</v>
      </c>
      <c r="G30" s="327">
        <v>0</v>
      </c>
    </row>
    <row r="31" spans="1:7" x14ac:dyDescent="0.25">
      <c r="A31" s="341" t="s">
        <v>31</v>
      </c>
      <c r="B31" s="342">
        <v>85420</v>
      </c>
      <c r="C31" s="343" t="s">
        <v>222</v>
      </c>
      <c r="D31" s="344">
        <v>0</v>
      </c>
      <c r="E31" s="344">
        <v>19502</v>
      </c>
      <c r="F31" s="344">
        <v>19502</v>
      </c>
      <c r="G31" s="345">
        <v>0</v>
      </c>
    </row>
    <row r="32" spans="1:7" s="411" customFormat="1" ht="16.5" customHeight="1" x14ac:dyDescent="0.25">
      <c r="A32" s="346"/>
      <c r="B32" s="347"/>
      <c r="C32" s="409" t="s">
        <v>429</v>
      </c>
      <c r="D32" s="410">
        <f>SUM(D15:D31)</f>
        <v>8844.19</v>
      </c>
      <c r="E32" s="410">
        <f>SUM(E15:E31)</f>
        <v>9617470.7899999991</v>
      </c>
      <c r="F32" s="410">
        <f>SUM(F15:F31)</f>
        <v>9626314.9800000004</v>
      </c>
      <c r="G32" s="410">
        <f>SUM(G15:G31)</f>
        <v>0</v>
      </c>
    </row>
    <row r="34" spans="1:3" x14ac:dyDescent="0.25">
      <c r="A34" s="412"/>
      <c r="B34" s="412"/>
      <c r="C34" s="49"/>
    </row>
    <row r="35" spans="1:3" x14ac:dyDescent="0.25">
      <c r="A35" s="412"/>
      <c r="B35" s="412"/>
      <c r="C35" s="49"/>
    </row>
    <row r="36" spans="1:3" x14ac:dyDescent="0.25">
      <c r="A36" s="412"/>
      <c r="B36" s="412"/>
      <c r="C36" s="49"/>
    </row>
  </sheetData>
  <pageMargins left="0.78740157480314965" right="0.78740157480314965" top="0.74803149606299213" bottom="0.74803149606299213" header="0.31496062992125984" footer="0.31496062992125984"/>
  <pageSetup paperSize="9" firstPageNumber="50" orientation="landscape" useFirstPageNumber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CDE65-08FA-4323-A572-2B99984C7461}">
  <sheetPr>
    <tabColor rgb="FF0070C0"/>
  </sheetPr>
  <dimension ref="A1:BX69"/>
  <sheetViews>
    <sheetView zoomScale="130" zoomScaleNormal="130" workbookViewId="0"/>
  </sheetViews>
  <sheetFormatPr defaultRowHeight="15" x14ac:dyDescent="0.25"/>
  <cols>
    <col min="1" max="1" width="4.85546875" style="356" customWidth="1"/>
    <col min="2" max="2" width="33.42578125" style="356" customWidth="1"/>
    <col min="3" max="3" width="8.5703125" style="356" customWidth="1"/>
    <col min="4" max="4" width="9.42578125" style="356" customWidth="1"/>
    <col min="5" max="5" width="8.140625" style="356" customWidth="1"/>
    <col min="6" max="6" width="13" style="357" customWidth="1"/>
    <col min="7" max="7" width="12.85546875" style="357" customWidth="1"/>
    <col min="8" max="76" width="9.140625" style="357"/>
    <col min="77" max="253" width="9.140625" style="356"/>
    <col min="254" max="254" width="5.28515625" style="356" customWidth="1"/>
    <col min="255" max="255" width="8" style="356" customWidth="1"/>
    <col min="256" max="256" width="5.85546875" style="356" customWidth="1"/>
    <col min="257" max="257" width="9.42578125" style="356" customWidth="1"/>
    <col min="258" max="258" width="11.28515625" style="356" customWidth="1"/>
    <col min="259" max="259" width="11" style="356" customWidth="1"/>
    <col min="260" max="260" width="13.140625" style="356" customWidth="1"/>
    <col min="261" max="261" width="11.7109375" style="356" customWidth="1"/>
    <col min="262" max="262" width="11.140625" style="356" customWidth="1"/>
    <col min="263" max="263" width="11.7109375" style="356" customWidth="1"/>
    <col min="264" max="509" width="9.140625" style="356"/>
    <col min="510" max="510" width="5.28515625" style="356" customWidth="1"/>
    <col min="511" max="511" width="8" style="356" customWidth="1"/>
    <col min="512" max="512" width="5.85546875" style="356" customWidth="1"/>
    <col min="513" max="513" width="9.42578125" style="356" customWidth="1"/>
    <col min="514" max="514" width="11.28515625" style="356" customWidth="1"/>
    <col min="515" max="515" width="11" style="356" customWidth="1"/>
    <col min="516" max="516" width="13.140625" style="356" customWidth="1"/>
    <col min="517" max="517" width="11.7109375" style="356" customWidth="1"/>
    <col min="518" max="518" width="11.140625" style="356" customWidth="1"/>
    <col min="519" max="519" width="11.7109375" style="356" customWidth="1"/>
    <col min="520" max="765" width="9.140625" style="356"/>
    <col min="766" max="766" width="5.28515625" style="356" customWidth="1"/>
    <col min="767" max="767" width="8" style="356" customWidth="1"/>
    <col min="768" max="768" width="5.85546875" style="356" customWidth="1"/>
    <col min="769" max="769" width="9.42578125" style="356" customWidth="1"/>
    <col min="770" max="770" width="11.28515625" style="356" customWidth="1"/>
    <col min="771" max="771" width="11" style="356" customWidth="1"/>
    <col min="772" max="772" width="13.140625" style="356" customWidth="1"/>
    <col min="773" max="773" width="11.7109375" style="356" customWidth="1"/>
    <col min="774" max="774" width="11.140625" style="356" customWidth="1"/>
    <col min="775" max="775" width="11.7109375" style="356" customWidth="1"/>
    <col min="776" max="1021" width="9.140625" style="356"/>
    <col min="1022" max="1022" width="5.28515625" style="356" customWidth="1"/>
    <col min="1023" max="1023" width="8" style="356" customWidth="1"/>
    <col min="1024" max="1024" width="5.85546875" style="356" customWidth="1"/>
    <col min="1025" max="1025" width="9.42578125" style="356" customWidth="1"/>
    <col min="1026" max="1026" width="11.28515625" style="356" customWidth="1"/>
    <col min="1027" max="1027" width="11" style="356" customWidth="1"/>
    <col min="1028" max="1028" width="13.140625" style="356" customWidth="1"/>
    <col min="1029" max="1029" width="11.7109375" style="356" customWidth="1"/>
    <col min="1030" max="1030" width="11.140625" style="356" customWidth="1"/>
    <col min="1031" max="1031" width="11.7109375" style="356" customWidth="1"/>
    <col min="1032" max="1277" width="9.140625" style="356"/>
    <col min="1278" max="1278" width="5.28515625" style="356" customWidth="1"/>
    <col min="1279" max="1279" width="8" style="356" customWidth="1"/>
    <col min="1280" max="1280" width="5.85546875" style="356" customWidth="1"/>
    <col min="1281" max="1281" width="9.42578125" style="356" customWidth="1"/>
    <col min="1282" max="1282" width="11.28515625" style="356" customWidth="1"/>
    <col min="1283" max="1283" width="11" style="356" customWidth="1"/>
    <col min="1284" max="1284" width="13.140625" style="356" customWidth="1"/>
    <col min="1285" max="1285" width="11.7109375" style="356" customWidth="1"/>
    <col min="1286" max="1286" width="11.140625" style="356" customWidth="1"/>
    <col min="1287" max="1287" width="11.7109375" style="356" customWidth="1"/>
    <col min="1288" max="1533" width="9.140625" style="356"/>
    <col min="1534" max="1534" width="5.28515625" style="356" customWidth="1"/>
    <col min="1535" max="1535" width="8" style="356" customWidth="1"/>
    <col min="1536" max="1536" width="5.85546875" style="356" customWidth="1"/>
    <col min="1537" max="1537" width="9.42578125" style="356" customWidth="1"/>
    <col min="1538" max="1538" width="11.28515625" style="356" customWidth="1"/>
    <col min="1539" max="1539" width="11" style="356" customWidth="1"/>
    <col min="1540" max="1540" width="13.140625" style="356" customWidth="1"/>
    <col min="1541" max="1541" width="11.7109375" style="356" customWidth="1"/>
    <col min="1542" max="1542" width="11.140625" style="356" customWidth="1"/>
    <col min="1543" max="1543" width="11.7109375" style="356" customWidth="1"/>
    <col min="1544" max="1789" width="9.140625" style="356"/>
    <col min="1790" max="1790" width="5.28515625" style="356" customWidth="1"/>
    <col min="1791" max="1791" width="8" style="356" customWidth="1"/>
    <col min="1792" max="1792" width="5.85546875" style="356" customWidth="1"/>
    <col min="1793" max="1793" width="9.42578125" style="356" customWidth="1"/>
    <col min="1794" max="1794" width="11.28515625" style="356" customWidth="1"/>
    <col min="1795" max="1795" width="11" style="356" customWidth="1"/>
    <col min="1796" max="1796" width="13.140625" style="356" customWidth="1"/>
    <col min="1797" max="1797" width="11.7109375" style="356" customWidth="1"/>
    <col min="1798" max="1798" width="11.140625" style="356" customWidth="1"/>
    <col min="1799" max="1799" width="11.7109375" style="356" customWidth="1"/>
    <col min="1800" max="2045" width="9.140625" style="356"/>
    <col min="2046" max="2046" width="5.28515625" style="356" customWidth="1"/>
    <col min="2047" max="2047" width="8" style="356" customWidth="1"/>
    <col min="2048" max="2048" width="5.85546875" style="356" customWidth="1"/>
    <col min="2049" max="2049" width="9.42578125" style="356" customWidth="1"/>
    <col min="2050" max="2050" width="11.28515625" style="356" customWidth="1"/>
    <col min="2051" max="2051" width="11" style="356" customWidth="1"/>
    <col min="2052" max="2052" width="13.140625" style="356" customWidth="1"/>
    <col min="2053" max="2053" width="11.7109375" style="356" customWidth="1"/>
    <col min="2054" max="2054" width="11.140625" style="356" customWidth="1"/>
    <col min="2055" max="2055" width="11.7109375" style="356" customWidth="1"/>
    <col min="2056" max="2301" width="9.140625" style="356"/>
    <col min="2302" max="2302" width="5.28515625" style="356" customWidth="1"/>
    <col min="2303" max="2303" width="8" style="356" customWidth="1"/>
    <col min="2304" max="2304" width="5.85546875" style="356" customWidth="1"/>
    <col min="2305" max="2305" width="9.42578125" style="356" customWidth="1"/>
    <col min="2306" max="2306" width="11.28515625" style="356" customWidth="1"/>
    <col min="2307" max="2307" width="11" style="356" customWidth="1"/>
    <col min="2308" max="2308" width="13.140625" style="356" customWidth="1"/>
    <col min="2309" max="2309" width="11.7109375" style="356" customWidth="1"/>
    <col min="2310" max="2310" width="11.140625" style="356" customWidth="1"/>
    <col min="2311" max="2311" width="11.7109375" style="356" customWidth="1"/>
    <col min="2312" max="2557" width="9.140625" style="356"/>
    <col min="2558" max="2558" width="5.28515625" style="356" customWidth="1"/>
    <col min="2559" max="2559" width="8" style="356" customWidth="1"/>
    <col min="2560" max="2560" width="5.85546875" style="356" customWidth="1"/>
    <col min="2561" max="2561" width="9.42578125" style="356" customWidth="1"/>
    <col min="2562" max="2562" width="11.28515625" style="356" customWidth="1"/>
    <col min="2563" max="2563" width="11" style="356" customWidth="1"/>
    <col min="2564" max="2564" width="13.140625" style="356" customWidth="1"/>
    <col min="2565" max="2565" width="11.7109375" style="356" customWidth="1"/>
    <col min="2566" max="2566" width="11.140625" style="356" customWidth="1"/>
    <col min="2567" max="2567" width="11.7109375" style="356" customWidth="1"/>
    <col min="2568" max="2813" width="9.140625" style="356"/>
    <col min="2814" max="2814" width="5.28515625" style="356" customWidth="1"/>
    <col min="2815" max="2815" width="8" style="356" customWidth="1"/>
    <col min="2816" max="2816" width="5.85546875" style="356" customWidth="1"/>
    <col min="2817" max="2817" width="9.42578125" style="356" customWidth="1"/>
    <col min="2818" max="2818" width="11.28515625" style="356" customWidth="1"/>
    <col min="2819" max="2819" width="11" style="356" customWidth="1"/>
    <col min="2820" max="2820" width="13.140625" style="356" customWidth="1"/>
    <col min="2821" max="2821" width="11.7109375" style="356" customWidth="1"/>
    <col min="2822" max="2822" width="11.140625" style="356" customWidth="1"/>
    <col min="2823" max="2823" width="11.7109375" style="356" customWidth="1"/>
    <col min="2824" max="3069" width="9.140625" style="356"/>
    <col min="3070" max="3070" width="5.28515625" style="356" customWidth="1"/>
    <col min="3071" max="3071" width="8" style="356" customWidth="1"/>
    <col min="3072" max="3072" width="5.85546875" style="356" customWidth="1"/>
    <col min="3073" max="3073" width="9.42578125" style="356" customWidth="1"/>
    <col min="3074" max="3074" width="11.28515625" style="356" customWidth="1"/>
    <col min="3075" max="3075" width="11" style="356" customWidth="1"/>
    <col min="3076" max="3076" width="13.140625" style="356" customWidth="1"/>
    <col min="3077" max="3077" width="11.7109375" style="356" customWidth="1"/>
    <col min="3078" max="3078" width="11.140625" style="356" customWidth="1"/>
    <col min="3079" max="3079" width="11.7109375" style="356" customWidth="1"/>
    <col min="3080" max="3325" width="9.140625" style="356"/>
    <col min="3326" max="3326" width="5.28515625" style="356" customWidth="1"/>
    <col min="3327" max="3327" width="8" style="356" customWidth="1"/>
    <col min="3328" max="3328" width="5.85546875" style="356" customWidth="1"/>
    <col min="3329" max="3329" width="9.42578125" style="356" customWidth="1"/>
    <col min="3330" max="3330" width="11.28515625" style="356" customWidth="1"/>
    <col min="3331" max="3331" width="11" style="356" customWidth="1"/>
    <col min="3332" max="3332" width="13.140625" style="356" customWidth="1"/>
    <col min="3333" max="3333" width="11.7109375" style="356" customWidth="1"/>
    <col min="3334" max="3334" width="11.140625" style="356" customWidth="1"/>
    <col min="3335" max="3335" width="11.7109375" style="356" customWidth="1"/>
    <col min="3336" max="3581" width="9.140625" style="356"/>
    <col min="3582" max="3582" width="5.28515625" style="356" customWidth="1"/>
    <col min="3583" max="3583" width="8" style="356" customWidth="1"/>
    <col min="3584" max="3584" width="5.85546875" style="356" customWidth="1"/>
    <col min="3585" max="3585" width="9.42578125" style="356" customWidth="1"/>
    <col min="3586" max="3586" width="11.28515625" style="356" customWidth="1"/>
    <col min="3587" max="3587" width="11" style="356" customWidth="1"/>
    <col min="3588" max="3588" width="13.140625" style="356" customWidth="1"/>
    <col min="3589" max="3589" width="11.7109375" style="356" customWidth="1"/>
    <col min="3590" max="3590" width="11.140625" style="356" customWidth="1"/>
    <col min="3591" max="3591" width="11.7109375" style="356" customWidth="1"/>
    <col min="3592" max="3837" width="9.140625" style="356"/>
    <col min="3838" max="3838" width="5.28515625" style="356" customWidth="1"/>
    <col min="3839" max="3839" width="8" style="356" customWidth="1"/>
    <col min="3840" max="3840" width="5.85546875" style="356" customWidth="1"/>
    <col min="3841" max="3841" width="9.42578125" style="356" customWidth="1"/>
    <col min="3842" max="3842" width="11.28515625" style="356" customWidth="1"/>
    <col min="3843" max="3843" width="11" style="356" customWidth="1"/>
    <col min="3844" max="3844" width="13.140625" style="356" customWidth="1"/>
    <col min="3845" max="3845" width="11.7109375" style="356" customWidth="1"/>
    <col min="3846" max="3846" width="11.140625" style="356" customWidth="1"/>
    <col min="3847" max="3847" width="11.7109375" style="356" customWidth="1"/>
    <col min="3848" max="4093" width="9.140625" style="356"/>
    <col min="4094" max="4094" width="5.28515625" style="356" customWidth="1"/>
    <col min="4095" max="4095" width="8" style="356" customWidth="1"/>
    <col min="4096" max="4096" width="5.85546875" style="356" customWidth="1"/>
    <col min="4097" max="4097" width="9.42578125" style="356" customWidth="1"/>
    <col min="4098" max="4098" width="11.28515625" style="356" customWidth="1"/>
    <col min="4099" max="4099" width="11" style="356" customWidth="1"/>
    <col min="4100" max="4100" width="13.140625" style="356" customWidth="1"/>
    <col min="4101" max="4101" width="11.7109375" style="356" customWidth="1"/>
    <col min="4102" max="4102" width="11.140625" style="356" customWidth="1"/>
    <col min="4103" max="4103" width="11.7109375" style="356" customWidth="1"/>
    <col min="4104" max="4349" width="9.140625" style="356"/>
    <col min="4350" max="4350" width="5.28515625" style="356" customWidth="1"/>
    <col min="4351" max="4351" width="8" style="356" customWidth="1"/>
    <col min="4352" max="4352" width="5.85546875" style="356" customWidth="1"/>
    <col min="4353" max="4353" width="9.42578125" style="356" customWidth="1"/>
    <col min="4354" max="4354" width="11.28515625" style="356" customWidth="1"/>
    <col min="4355" max="4355" width="11" style="356" customWidth="1"/>
    <col min="4356" max="4356" width="13.140625" style="356" customWidth="1"/>
    <col min="4357" max="4357" width="11.7109375" style="356" customWidth="1"/>
    <col min="4358" max="4358" width="11.140625" style="356" customWidth="1"/>
    <col min="4359" max="4359" width="11.7109375" style="356" customWidth="1"/>
    <col min="4360" max="4605" width="9.140625" style="356"/>
    <col min="4606" max="4606" width="5.28515625" style="356" customWidth="1"/>
    <col min="4607" max="4607" width="8" style="356" customWidth="1"/>
    <col min="4608" max="4608" width="5.85546875" style="356" customWidth="1"/>
    <col min="4609" max="4609" width="9.42578125" style="356" customWidth="1"/>
    <col min="4610" max="4610" width="11.28515625" style="356" customWidth="1"/>
    <col min="4611" max="4611" width="11" style="356" customWidth="1"/>
    <col min="4612" max="4612" width="13.140625" style="356" customWidth="1"/>
    <col min="4613" max="4613" width="11.7109375" style="356" customWidth="1"/>
    <col min="4614" max="4614" width="11.140625" style="356" customWidth="1"/>
    <col min="4615" max="4615" width="11.7109375" style="356" customWidth="1"/>
    <col min="4616" max="4861" width="9.140625" style="356"/>
    <col min="4862" max="4862" width="5.28515625" style="356" customWidth="1"/>
    <col min="4863" max="4863" width="8" style="356" customWidth="1"/>
    <col min="4864" max="4864" width="5.85546875" style="356" customWidth="1"/>
    <col min="4865" max="4865" width="9.42578125" style="356" customWidth="1"/>
    <col min="4866" max="4866" width="11.28515625" style="356" customWidth="1"/>
    <col min="4867" max="4867" width="11" style="356" customWidth="1"/>
    <col min="4868" max="4868" width="13.140625" style="356" customWidth="1"/>
    <col min="4869" max="4869" width="11.7109375" style="356" customWidth="1"/>
    <col min="4870" max="4870" width="11.140625" style="356" customWidth="1"/>
    <col min="4871" max="4871" width="11.7109375" style="356" customWidth="1"/>
    <col min="4872" max="5117" width="9.140625" style="356"/>
    <col min="5118" max="5118" width="5.28515625" style="356" customWidth="1"/>
    <col min="5119" max="5119" width="8" style="356" customWidth="1"/>
    <col min="5120" max="5120" width="5.85546875" style="356" customWidth="1"/>
    <col min="5121" max="5121" width="9.42578125" style="356" customWidth="1"/>
    <col min="5122" max="5122" width="11.28515625" style="356" customWidth="1"/>
    <col min="5123" max="5123" width="11" style="356" customWidth="1"/>
    <col min="5124" max="5124" width="13.140625" style="356" customWidth="1"/>
    <col min="5125" max="5125" width="11.7109375" style="356" customWidth="1"/>
    <col min="5126" max="5126" width="11.140625" style="356" customWidth="1"/>
    <col min="5127" max="5127" width="11.7109375" style="356" customWidth="1"/>
    <col min="5128" max="5373" width="9.140625" style="356"/>
    <col min="5374" max="5374" width="5.28515625" style="356" customWidth="1"/>
    <col min="5375" max="5375" width="8" style="356" customWidth="1"/>
    <col min="5376" max="5376" width="5.85546875" style="356" customWidth="1"/>
    <col min="5377" max="5377" width="9.42578125" style="356" customWidth="1"/>
    <col min="5378" max="5378" width="11.28515625" style="356" customWidth="1"/>
    <col min="5379" max="5379" width="11" style="356" customWidth="1"/>
    <col min="5380" max="5380" width="13.140625" style="356" customWidth="1"/>
    <col min="5381" max="5381" width="11.7109375" style="356" customWidth="1"/>
    <col min="5382" max="5382" width="11.140625" style="356" customWidth="1"/>
    <col min="5383" max="5383" width="11.7109375" style="356" customWidth="1"/>
    <col min="5384" max="5629" width="9.140625" style="356"/>
    <col min="5630" max="5630" width="5.28515625" style="356" customWidth="1"/>
    <col min="5631" max="5631" width="8" style="356" customWidth="1"/>
    <col min="5632" max="5632" width="5.85546875" style="356" customWidth="1"/>
    <col min="5633" max="5633" width="9.42578125" style="356" customWidth="1"/>
    <col min="5634" max="5634" width="11.28515625" style="356" customWidth="1"/>
    <col min="5635" max="5635" width="11" style="356" customWidth="1"/>
    <col min="5636" max="5636" width="13.140625" style="356" customWidth="1"/>
    <col min="5637" max="5637" width="11.7109375" style="356" customWidth="1"/>
    <col min="5638" max="5638" width="11.140625" style="356" customWidth="1"/>
    <col min="5639" max="5639" width="11.7109375" style="356" customWidth="1"/>
    <col min="5640" max="5885" width="9.140625" style="356"/>
    <col min="5886" max="5886" width="5.28515625" style="356" customWidth="1"/>
    <col min="5887" max="5887" width="8" style="356" customWidth="1"/>
    <col min="5888" max="5888" width="5.85546875" style="356" customWidth="1"/>
    <col min="5889" max="5889" width="9.42578125" style="356" customWidth="1"/>
    <col min="5890" max="5890" width="11.28515625" style="356" customWidth="1"/>
    <col min="5891" max="5891" width="11" style="356" customWidth="1"/>
    <col min="5892" max="5892" width="13.140625" style="356" customWidth="1"/>
    <col min="5893" max="5893" width="11.7109375" style="356" customWidth="1"/>
    <col min="5894" max="5894" width="11.140625" style="356" customWidth="1"/>
    <col min="5895" max="5895" width="11.7109375" style="356" customWidth="1"/>
    <col min="5896" max="6141" width="9.140625" style="356"/>
    <col min="6142" max="6142" width="5.28515625" style="356" customWidth="1"/>
    <col min="6143" max="6143" width="8" style="356" customWidth="1"/>
    <col min="6144" max="6144" width="5.85546875" style="356" customWidth="1"/>
    <col min="6145" max="6145" width="9.42578125" style="356" customWidth="1"/>
    <col min="6146" max="6146" width="11.28515625" style="356" customWidth="1"/>
    <col min="6147" max="6147" width="11" style="356" customWidth="1"/>
    <col min="6148" max="6148" width="13.140625" style="356" customWidth="1"/>
    <col min="6149" max="6149" width="11.7109375" style="356" customWidth="1"/>
    <col min="6150" max="6150" width="11.140625" style="356" customWidth="1"/>
    <col min="6151" max="6151" width="11.7109375" style="356" customWidth="1"/>
    <col min="6152" max="6397" width="9.140625" style="356"/>
    <col min="6398" max="6398" width="5.28515625" style="356" customWidth="1"/>
    <col min="6399" max="6399" width="8" style="356" customWidth="1"/>
    <col min="6400" max="6400" width="5.85546875" style="356" customWidth="1"/>
    <col min="6401" max="6401" width="9.42578125" style="356" customWidth="1"/>
    <col min="6402" max="6402" width="11.28515625" style="356" customWidth="1"/>
    <col min="6403" max="6403" width="11" style="356" customWidth="1"/>
    <col min="6404" max="6404" width="13.140625" style="356" customWidth="1"/>
    <col min="6405" max="6405" width="11.7109375" style="356" customWidth="1"/>
    <col min="6406" max="6406" width="11.140625" style="356" customWidth="1"/>
    <col min="6407" max="6407" width="11.7109375" style="356" customWidth="1"/>
    <col min="6408" max="6653" width="9.140625" style="356"/>
    <col min="6654" max="6654" width="5.28515625" style="356" customWidth="1"/>
    <col min="6655" max="6655" width="8" style="356" customWidth="1"/>
    <col min="6656" max="6656" width="5.85546875" style="356" customWidth="1"/>
    <col min="6657" max="6657" width="9.42578125" style="356" customWidth="1"/>
    <col min="6658" max="6658" width="11.28515625" style="356" customWidth="1"/>
    <col min="6659" max="6659" width="11" style="356" customWidth="1"/>
    <col min="6660" max="6660" width="13.140625" style="356" customWidth="1"/>
    <col min="6661" max="6661" width="11.7109375" style="356" customWidth="1"/>
    <col min="6662" max="6662" width="11.140625" style="356" customWidth="1"/>
    <col min="6663" max="6663" width="11.7109375" style="356" customWidth="1"/>
    <col min="6664" max="6909" width="9.140625" style="356"/>
    <col min="6910" max="6910" width="5.28515625" style="356" customWidth="1"/>
    <col min="6911" max="6911" width="8" style="356" customWidth="1"/>
    <col min="6912" max="6912" width="5.85546875" style="356" customWidth="1"/>
    <col min="6913" max="6913" width="9.42578125" style="356" customWidth="1"/>
    <col min="6914" max="6914" width="11.28515625" style="356" customWidth="1"/>
    <col min="6915" max="6915" width="11" style="356" customWidth="1"/>
    <col min="6916" max="6916" width="13.140625" style="356" customWidth="1"/>
    <col min="6917" max="6917" width="11.7109375" style="356" customWidth="1"/>
    <col min="6918" max="6918" width="11.140625" style="356" customWidth="1"/>
    <col min="6919" max="6919" width="11.7109375" style="356" customWidth="1"/>
    <col min="6920" max="7165" width="9.140625" style="356"/>
    <col min="7166" max="7166" width="5.28515625" style="356" customWidth="1"/>
    <col min="7167" max="7167" width="8" style="356" customWidth="1"/>
    <col min="7168" max="7168" width="5.85546875" style="356" customWidth="1"/>
    <col min="7169" max="7169" width="9.42578125" style="356" customWidth="1"/>
    <col min="7170" max="7170" width="11.28515625" style="356" customWidth="1"/>
    <col min="7171" max="7171" width="11" style="356" customWidth="1"/>
    <col min="7172" max="7172" width="13.140625" style="356" customWidth="1"/>
    <col min="7173" max="7173" width="11.7109375" style="356" customWidth="1"/>
    <col min="7174" max="7174" width="11.140625" style="356" customWidth="1"/>
    <col min="7175" max="7175" width="11.7109375" style="356" customWidth="1"/>
    <col min="7176" max="7421" width="9.140625" style="356"/>
    <col min="7422" max="7422" width="5.28515625" style="356" customWidth="1"/>
    <col min="7423" max="7423" width="8" style="356" customWidth="1"/>
    <col min="7424" max="7424" width="5.85546875" style="356" customWidth="1"/>
    <col min="7425" max="7425" width="9.42578125" style="356" customWidth="1"/>
    <col min="7426" max="7426" width="11.28515625" style="356" customWidth="1"/>
    <col min="7427" max="7427" width="11" style="356" customWidth="1"/>
    <col min="7428" max="7428" width="13.140625" style="356" customWidth="1"/>
    <col min="7429" max="7429" width="11.7109375" style="356" customWidth="1"/>
    <col min="7430" max="7430" width="11.140625" style="356" customWidth="1"/>
    <col min="7431" max="7431" width="11.7109375" style="356" customWidth="1"/>
    <col min="7432" max="7677" width="9.140625" style="356"/>
    <col min="7678" max="7678" width="5.28515625" style="356" customWidth="1"/>
    <col min="7679" max="7679" width="8" style="356" customWidth="1"/>
    <col min="7680" max="7680" width="5.85546875" style="356" customWidth="1"/>
    <col min="7681" max="7681" width="9.42578125" style="356" customWidth="1"/>
    <col min="7682" max="7682" width="11.28515625" style="356" customWidth="1"/>
    <col min="7683" max="7683" width="11" style="356" customWidth="1"/>
    <col min="7684" max="7684" width="13.140625" style="356" customWidth="1"/>
    <col min="7685" max="7685" width="11.7109375" style="356" customWidth="1"/>
    <col min="7686" max="7686" width="11.140625" style="356" customWidth="1"/>
    <col min="7687" max="7687" width="11.7109375" style="356" customWidth="1"/>
    <col min="7688" max="7933" width="9.140625" style="356"/>
    <col min="7934" max="7934" width="5.28515625" style="356" customWidth="1"/>
    <col min="7935" max="7935" width="8" style="356" customWidth="1"/>
    <col min="7936" max="7936" width="5.85546875" style="356" customWidth="1"/>
    <col min="7937" max="7937" width="9.42578125" style="356" customWidth="1"/>
    <col min="7938" max="7938" width="11.28515625" style="356" customWidth="1"/>
    <col min="7939" max="7939" width="11" style="356" customWidth="1"/>
    <col min="7940" max="7940" width="13.140625" style="356" customWidth="1"/>
    <col min="7941" max="7941" width="11.7109375" style="356" customWidth="1"/>
    <col min="7942" max="7942" width="11.140625" style="356" customWidth="1"/>
    <col min="7943" max="7943" width="11.7109375" style="356" customWidth="1"/>
    <col min="7944" max="8189" width="9.140625" style="356"/>
    <col min="8190" max="8190" width="5.28515625" style="356" customWidth="1"/>
    <col min="8191" max="8191" width="8" style="356" customWidth="1"/>
    <col min="8192" max="8192" width="5.85546875" style="356" customWidth="1"/>
    <col min="8193" max="8193" width="9.42578125" style="356" customWidth="1"/>
    <col min="8194" max="8194" width="11.28515625" style="356" customWidth="1"/>
    <col min="8195" max="8195" width="11" style="356" customWidth="1"/>
    <col min="8196" max="8196" width="13.140625" style="356" customWidth="1"/>
    <col min="8197" max="8197" width="11.7109375" style="356" customWidth="1"/>
    <col min="8198" max="8198" width="11.140625" style="356" customWidth="1"/>
    <col min="8199" max="8199" width="11.7109375" style="356" customWidth="1"/>
    <col min="8200" max="8445" width="9.140625" style="356"/>
    <col min="8446" max="8446" width="5.28515625" style="356" customWidth="1"/>
    <col min="8447" max="8447" width="8" style="356" customWidth="1"/>
    <col min="8448" max="8448" width="5.85546875" style="356" customWidth="1"/>
    <col min="8449" max="8449" width="9.42578125" style="356" customWidth="1"/>
    <col min="8450" max="8450" width="11.28515625" style="356" customWidth="1"/>
    <col min="8451" max="8451" width="11" style="356" customWidth="1"/>
    <col min="8452" max="8452" width="13.140625" style="356" customWidth="1"/>
    <col min="8453" max="8453" width="11.7109375" style="356" customWidth="1"/>
    <col min="8454" max="8454" width="11.140625" style="356" customWidth="1"/>
    <col min="8455" max="8455" width="11.7109375" style="356" customWidth="1"/>
    <col min="8456" max="8701" width="9.140625" style="356"/>
    <col min="8702" max="8702" width="5.28515625" style="356" customWidth="1"/>
    <col min="8703" max="8703" width="8" style="356" customWidth="1"/>
    <col min="8704" max="8704" width="5.85546875" style="356" customWidth="1"/>
    <col min="8705" max="8705" width="9.42578125" style="356" customWidth="1"/>
    <col min="8706" max="8706" width="11.28515625" style="356" customWidth="1"/>
    <col min="8707" max="8707" width="11" style="356" customWidth="1"/>
    <col min="8708" max="8708" width="13.140625" style="356" customWidth="1"/>
    <col min="8709" max="8709" width="11.7109375" style="356" customWidth="1"/>
    <col min="8710" max="8710" width="11.140625" style="356" customWidth="1"/>
    <col min="8711" max="8711" width="11.7109375" style="356" customWidth="1"/>
    <col min="8712" max="8957" width="9.140625" style="356"/>
    <col min="8958" max="8958" width="5.28515625" style="356" customWidth="1"/>
    <col min="8959" max="8959" width="8" style="356" customWidth="1"/>
    <col min="8960" max="8960" width="5.85546875" style="356" customWidth="1"/>
    <col min="8961" max="8961" width="9.42578125" style="356" customWidth="1"/>
    <col min="8962" max="8962" width="11.28515625" style="356" customWidth="1"/>
    <col min="8963" max="8963" width="11" style="356" customWidth="1"/>
    <col min="8964" max="8964" width="13.140625" style="356" customWidth="1"/>
    <col min="8965" max="8965" width="11.7109375" style="356" customWidth="1"/>
    <col min="8966" max="8966" width="11.140625" style="356" customWidth="1"/>
    <col min="8967" max="8967" width="11.7109375" style="356" customWidth="1"/>
    <col min="8968" max="9213" width="9.140625" style="356"/>
    <col min="9214" max="9214" width="5.28515625" style="356" customWidth="1"/>
    <col min="9215" max="9215" width="8" style="356" customWidth="1"/>
    <col min="9216" max="9216" width="5.85546875" style="356" customWidth="1"/>
    <col min="9217" max="9217" width="9.42578125" style="356" customWidth="1"/>
    <col min="9218" max="9218" width="11.28515625" style="356" customWidth="1"/>
    <col min="9219" max="9219" width="11" style="356" customWidth="1"/>
    <col min="9220" max="9220" width="13.140625" style="356" customWidth="1"/>
    <col min="9221" max="9221" width="11.7109375" style="356" customWidth="1"/>
    <col min="9222" max="9222" width="11.140625" style="356" customWidth="1"/>
    <col min="9223" max="9223" width="11.7109375" style="356" customWidth="1"/>
    <col min="9224" max="9469" width="9.140625" style="356"/>
    <col min="9470" max="9470" width="5.28515625" style="356" customWidth="1"/>
    <col min="9471" max="9471" width="8" style="356" customWidth="1"/>
    <col min="9472" max="9472" width="5.85546875" style="356" customWidth="1"/>
    <col min="9473" max="9473" width="9.42578125" style="356" customWidth="1"/>
    <col min="9474" max="9474" width="11.28515625" style="356" customWidth="1"/>
    <col min="9475" max="9475" width="11" style="356" customWidth="1"/>
    <col min="9476" max="9476" width="13.140625" style="356" customWidth="1"/>
    <col min="9477" max="9477" width="11.7109375" style="356" customWidth="1"/>
    <col min="9478" max="9478" width="11.140625" style="356" customWidth="1"/>
    <col min="9479" max="9479" width="11.7109375" style="356" customWidth="1"/>
    <col min="9480" max="9725" width="9.140625" style="356"/>
    <col min="9726" max="9726" width="5.28515625" style="356" customWidth="1"/>
    <col min="9727" max="9727" width="8" style="356" customWidth="1"/>
    <col min="9728" max="9728" width="5.85546875" style="356" customWidth="1"/>
    <col min="9729" max="9729" width="9.42578125" style="356" customWidth="1"/>
    <col min="9730" max="9730" width="11.28515625" style="356" customWidth="1"/>
    <col min="9731" max="9731" width="11" style="356" customWidth="1"/>
    <col min="9732" max="9732" width="13.140625" style="356" customWidth="1"/>
    <col min="9733" max="9733" width="11.7109375" style="356" customWidth="1"/>
    <col min="9734" max="9734" width="11.140625" style="356" customWidth="1"/>
    <col min="9735" max="9735" width="11.7109375" style="356" customWidth="1"/>
    <col min="9736" max="9981" width="9.140625" style="356"/>
    <col min="9982" max="9982" width="5.28515625" style="356" customWidth="1"/>
    <col min="9983" max="9983" width="8" style="356" customWidth="1"/>
    <col min="9984" max="9984" width="5.85546875" style="356" customWidth="1"/>
    <col min="9985" max="9985" width="9.42578125" style="356" customWidth="1"/>
    <col min="9986" max="9986" width="11.28515625" style="356" customWidth="1"/>
    <col min="9987" max="9987" width="11" style="356" customWidth="1"/>
    <col min="9988" max="9988" width="13.140625" style="356" customWidth="1"/>
    <col min="9989" max="9989" width="11.7109375" style="356" customWidth="1"/>
    <col min="9990" max="9990" width="11.140625" style="356" customWidth="1"/>
    <col min="9991" max="9991" width="11.7109375" style="356" customWidth="1"/>
    <col min="9992" max="10237" width="9.140625" style="356"/>
    <col min="10238" max="10238" width="5.28515625" style="356" customWidth="1"/>
    <col min="10239" max="10239" width="8" style="356" customWidth="1"/>
    <col min="10240" max="10240" width="5.85546875" style="356" customWidth="1"/>
    <col min="10241" max="10241" width="9.42578125" style="356" customWidth="1"/>
    <col min="10242" max="10242" width="11.28515625" style="356" customWidth="1"/>
    <col min="10243" max="10243" width="11" style="356" customWidth="1"/>
    <col min="10244" max="10244" width="13.140625" style="356" customWidth="1"/>
    <col min="10245" max="10245" width="11.7109375" style="356" customWidth="1"/>
    <col min="10246" max="10246" width="11.140625" style="356" customWidth="1"/>
    <col min="10247" max="10247" width="11.7109375" style="356" customWidth="1"/>
    <col min="10248" max="10493" width="9.140625" style="356"/>
    <col min="10494" max="10494" width="5.28515625" style="356" customWidth="1"/>
    <col min="10495" max="10495" width="8" style="356" customWidth="1"/>
    <col min="10496" max="10496" width="5.85546875" style="356" customWidth="1"/>
    <col min="10497" max="10497" width="9.42578125" style="356" customWidth="1"/>
    <col min="10498" max="10498" width="11.28515625" style="356" customWidth="1"/>
    <col min="10499" max="10499" width="11" style="356" customWidth="1"/>
    <col min="10500" max="10500" width="13.140625" style="356" customWidth="1"/>
    <col min="10501" max="10501" width="11.7109375" style="356" customWidth="1"/>
    <col min="10502" max="10502" width="11.140625" style="356" customWidth="1"/>
    <col min="10503" max="10503" width="11.7109375" style="356" customWidth="1"/>
    <col min="10504" max="10749" width="9.140625" style="356"/>
    <col min="10750" max="10750" width="5.28515625" style="356" customWidth="1"/>
    <col min="10751" max="10751" width="8" style="356" customWidth="1"/>
    <col min="10752" max="10752" width="5.85546875" style="356" customWidth="1"/>
    <col min="10753" max="10753" width="9.42578125" style="356" customWidth="1"/>
    <col min="10754" max="10754" width="11.28515625" style="356" customWidth="1"/>
    <col min="10755" max="10755" width="11" style="356" customWidth="1"/>
    <col min="10756" max="10756" width="13.140625" style="356" customWidth="1"/>
    <col min="10757" max="10757" width="11.7109375" style="356" customWidth="1"/>
    <col min="10758" max="10758" width="11.140625" style="356" customWidth="1"/>
    <col min="10759" max="10759" width="11.7109375" style="356" customWidth="1"/>
    <col min="10760" max="11005" width="9.140625" style="356"/>
    <col min="11006" max="11006" width="5.28515625" style="356" customWidth="1"/>
    <col min="11007" max="11007" width="8" style="356" customWidth="1"/>
    <col min="11008" max="11008" width="5.85546875" style="356" customWidth="1"/>
    <col min="11009" max="11009" width="9.42578125" style="356" customWidth="1"/>
    <col min="11010" max="11010" width="11.28515625" style="356" customWidth="1"/>
    <col min="11011" max="11011" width="11" style="356" customWidth="1"/>
    <col min="11012" max="11012" width="13.140625" style="356" customWidth="1"/>
    <col min="11013" max="11013" width="11.7109375" style="356" customWidth="1"/>
    <col min="11014" max="11014" width="11.140625" style="356" customWidth="1"/>
    <col min="11015" max="11015" width="11.7109375" style="356" customWidth="1"/>
    <col min="11016" max="11261" width="9.140625" style="356"/>
    <col min="11262" max="11262" width="5.28515625" style="356" customWidth="1"/>
    <col min="11263" max="11263" width="8" style="356" customWidth="1"/>
    <col min="11264" max="11264" width="5.85546875" style="356" customWidth="1"/>
    <col min="11265" max="11265" width="9.42578125" style="356" customWidth="1"/>
    <col min="11266" max="11266" width="11.28515625" style="356" customWidth="1"/>
    <col min="11267" max="11267" width="11" style="356" customWidth="1"/>
    <col min="11268" max="11268" width="13.140625" style="356" customWidth="1"/>
    <col min="11269" max="11269" width="11.7109375" style="356" customWidth="1"/>
    <col min="11270" max="11270" width="11.140625" style="356" customWidth="1"/>
    <col min="11271" max="11271" width="11.7109375" style="356" customWidth="1"/>
    <col min="11272" max="11517" width="9.140625" style="356"/>
    <col min="11518" max="11518" width="5.28515625" style="356" customWidth="1"/>
    <col min="11519" max="11519" width="8" style="356" customWidth="1"/>
    <col min="11520" max="11520" width="5.85546875" style="356" customWidth="1"/>
    <col min="11521" max="11521" width="9.42578125" style="356" customWidth="1"/>
    <col min="11522" max="11522" width="11.28515625" style="356" customWidth="1"/>
    <col min="11523" max="11523" width="11" style="356" customWidth="1"/>
    <col min="11524" max="11524" width="13.140625" style="356" customWidth="1"/>
    <col min="11525" max="11525" width="11.7109375" style="356" customWidth="1"/>
    <col min="11526" max="11526" width="11.140625" style="356" customWidth="1"/>
    <col min="11527" max="11527" width="11.7109375" style="356" customWidth="1"/>
    <col min="11528" max="11773" width="9.140625" style="356"/>
    <col min="11774" max="11774" width="5.28515625" style="356" customWidth="1"/>
    <col min="11775" max="11775" width="8" style="356" customWidth="1"/>
    <col min="11776" max="11776" width="5.85546875" style="356" customWidth="1"/>
    <col min="11777" max="11777" width="9.42578125" style="356" customWidth="1"/>
    <col min="11778" max="11778" width="11.28515625" style="356" customWidth="1"/>
    <col min="11779" max="11779" width="11" style="356" customWidth="1"/>
    <col min="11780" max="11780" width="13.140625" style="356" customWidth="1"/>
    <col min="11781" max="11781" width="11.7109375" style="356" customWidth="1"/>
    <col min="11782" max="11782" width="11.140625" style="356" customWidth="1"/>
    <col min="11783" max="11783" width="11.7109375" style="356" customWidth="1"/>
    <col min="11784" max="12029" width="9.140625" style="356"/>
    <col min="12030" max="12030" width="5.28515625" style="356" customWidth="1"/>
    <col min="12031" max="12031" width="8" style="356" customWidth="1"/>
    <col min="12032" max="12032" width="5.85546875" style="356" customWidth="1"/>
    <col min="12033" max="12033" width="9.42578125" style="356" customWidth="1"/>
    <col min="12034" max="12034" width="11.28515625" style="356" customWidth="1"/>
    <col min="12035" max="12035" width="11" style="356" customWidth="1"/>
    <col min="12036" max="12036" width="13.140625" style="356" customWidth="1"/>
    <col min="12037" max="12037" width="11.7109375" style="356" customWidth="1"/>
    <col min="12038" max="12038" width="11.140625" style="356" customWidth="1"/>
    <col min="12039" max="12039" width="11.7109375" style="356" customWidth="1"/>
    <col min="12040" max="12285" width="9.140625" style="356"/>
    <col min="12286" max="12286" width="5.28515625" style="356" customWidth="1"/>
    <col min="12287" max="12287" width="8" style="356" customWidth="1"/>
    <col min="12288" max="12288" width="5.85546875" style="356" customWidth="1"/>
    <col min="12289" max="12289" width="9.42578125" style="356" customWidth="1"/>
    <col min="12290" max="12290" width="11.28515625" style="356" customWidth="1"/>
    <col min="12291" max="12291" width="11" style="356" customWidth="1"/>
    <col min="12292" max="12292" width="13.140625" style="356" customWidth="1"/>
    <col min="12293" max="12293" width="11.7109375" style="356" customWidth="1"/>
    <col min="12294" max="12294" width="11.140625" style="356" customWidth="1"/>
    <col min="12295" max="12295" width="11.7109375" style="356" customWidth="1"/>
    <col min="12296" max="12541" width="9.140625" style="356"/>
    <col min="12542" max="12542" width="5.28515625" style="356" customWidth="1"/>
    <col min="12543" max="12543" width="8" style="356" customWidth="1"/>
    <col min="12544" max="12544" width="5.85546875" style="356" customWidth="1"/>
    <col min="12545" max="12545" width="9.42578125" style="356" customWidth="1"/>
    <col min="12546" max="12546" width="11.28515625" style="356" customWidth="1"/>
    <col min="12547" max="12547" width="11" style="356" customWidth="1"/>
    <col min="12548" max="12548" width="13.140625" style="356" customWidth="1"/>
    <col min="12549" max="12549" width="11.7109375" style="356" customWidth="1"/>
    <col min="12550" max="12550" width="11.140625" style="356" customWidth="1"/>
    <col min="12551" max="12551" width="11.7109375" style="356" customWidth="1"/>
    <col min="12552" max="12797" width="9.140625" style="356"/>
    <col min="12798" max="12798" width="5.28515625" style="356" customWidth="1"/>
    <col min="12799" max="12799" width="8" style="356" customWidth="1"/>
    <col min="12800" max="12800" width="5.85546875" style="356" customWidth="1"/>
    <col min="12801" max="12801" width="9.42578125" style="356" customWidth="1"/>
    <col min="12802" max="12802" width="11.28515625" style="356" customWidth="1"/>
    <col min="12803" max="12803" width="11" style="356" customWidth="1"/>
    <col min="12804" max="12804" width="13.140625" style="356" customWidth="1"/>
    <col min="12805" max="12805" width="11.7109375" style="356" customWidth="1"/>
    <col min="12806" max="12806" width="11.140625" style="356" customWidth="1"/>
    <col min="12807" max="12807" width="11.7109375" style="356" customWidth="1"/>
    <col min="12808" max="13053" width="9.140625" style="356"/>
    <col min="13054" max="13054" width="5.28515625" style="356" customWidth="1"/>
    <col min="13055" max="13055" width="8" style="356" customWidth="1"/>
    <col min="13056" max="13056" width="5.85546875" style="356" customWidth="1"/>
    <col min="13057" max="13057" width="9.42578125" style="356" customWidth="1"/>
    <col min="13058" max="13058" width="11.28515625" style="356" customWidth="1"/>
    <col min="13059" max="13059" width="11" style="356" customWidth="1"/>
    <col min="13060" max="13060" width="13.140625" style="356" customWidth="1"/>
    <col min="13061" max="13061" width="11.7109375" style="356" customWidth="1"/>
    <col min="13062" max="13062" width="11.140625" style="356" customWidth="1"/>
    <col min="13063" max="13063" width="11.7109375" style="356" customWidth="1"/>
    <col min="13064" max="13309" width="9.140625" style="356"/>
    <col min="13310" max="13310" width="5.28515625" style="356" customWidth="1"/>
    <col min="13311" max="13311" width="8" style="356" customWidth="1"/>
    <col min="13312" max="13312" width="5.85546875" style="356" customWidth="1"/>
    <col min="13313" max="13313" width="9.42578125" style="356" customWidth="1"/>
    <col min="13314" max="13314" width="11.28515625" style="356" customWidth="1"/>
    <col min="13315" max="13315" width="11" style="356" customWidth="1"/>
    <col min="13316" max="13316" width="13.140625" style="356" customWidth="1"/>
    <col min="13317" max="13317" width="11.7109375" style="356" customWidth="1"/>
    <col min="13318" max="13318" width="11.140625" style="356" customWidth="1"/>
    <col min="13319" max="13319" width="11.7109375" style="356" customWidth="1"/>
    <col min="13320" max="13565" width="9.140625" style="356"/>
    <col min="13566" max="13566" width="5.28515625" style="356" customWidth="1"/>
    <col min="13567" max="13567" width="8" style="356" customWidth="1"/>
    <col min="13568" max="13568" width="5.85546875" style="356" customWidth="1"/>
    <col min="13569" max="13569" width="9.42578125" style="356" customWidth="1"/>
    <col min="13570" max="13570" width="11.28515625" style="356" customWidth="1"/>
    <col min="13571" max="13571" width="11" style="356" customWidth="1"/>
    <col min="13572" max="13572" width="13.140625" style="356" customWidth="1"/>
    <col min="13573" max="13573" width="11.7109375" style="356" customWidth="1"/>
    <col min="13574" max="13574" width="11.140625" style="356" customWidth="1"/>
    <col min="13575" max="13575" width="11.7109375" style="356" customWidth="1"/>
    <col min="13576" max="13821" width="9.140625" style="356"/>
    <col min="13822" max="13822" width="5.28515625" style="356" customWidth="1"/>
    <col min="13823" max="13823" width="8" style="356" customWidth="1"/>
    <col min="13824" max="13824" width="5.85546875" style="356" customWidth="1"/>
    <col min="13825" max="13825" width="9.42578125" style="356" customWidth="1"/>
    <col min="13826" max="13826" width="11.28515625" style="356" customWidth="1"/>
    <col min="13827" max="13827" width="11" style="356" customWidth="1"/>
    <col min="13828" max="13828" width="13.140625" style="356" customWidth="1"/>
    <col min="13829" max="13829" width="11.7109375" style="356" customWidth="1"/>
    <col min="13830" max="13830" width="11.140625" style="356" customWidth="1"/>
    <col min="13831" max="13831" width="11.7109375" style="356" customWidth="1"/>
    <col min="13832" max="14077" width="9.140625" style="356"/>
    <col min="14078" max="14078" width="5.28515625" style="356" customWidth="1"/>
    <col min="14079" max="14079" width="8" style="356" customWidth="1"/>
    <col min="14080" max="14080" width="5.85546875" style="356" customWidth="1"/>
    <col min="14081" max="14081" width="9.42578125" style="356" customWidth="1"/>
    <col min="14082" max="14082" width="11.28515625" style="356" customWidth="1"/>
    <col min="14083" max="14083" width="11" style="356" customWidth="1"/>
    <col min="14084" max="14084" width="13.140625" style="356" customWidth="1"/>
    <col min="14085" max="14085" width="11.7109375" style="356" customWidth="1"/>
    <col min="14086" max="14086" width="11.140625" style="356" customWidth="1"/>
    <col min="14087" max="14087" width="11.7109375" style="356" customWidth="1"/>
    <col min="14088" max="14333" width="9.140625" style="356"/>
    <col min="14334" max="14334" width="5.28515625" style="356" customWidth="1"/>
    <col min="14335" max="14335" width="8" style="356" customWidth="1"/>
    <col min="14336" max="14336" width="5.85546875" style="356" customWidth="1"/>
    <col min="14337" max="14337" width="9.42578125" style="356" customWidth="1"/>
    <col min="14338" max="14338" width="11.28515625" style="356" customWidth="1"/>
    <col min="14339" max="14339" width="11" style="356" customWidth="1"/>
    <col min="14340" max="14340" width="13.140625" style="356" customWidth="1"/>
    <col min="14341" max="14341" width="11.7109375" style="356" customWidth="1"/>
    <col min="14342" max="14342" width="11.140625" style="356" customWidth="1"/>
    <col min="14343" max="14343" width="11.7109375" style="356" customWidth="1"/>
    <col min="14344" max="14589" width="9.140625" style="356"/>
    <col min="14590" max="14590" width="5.28515625" style="356" customWidth="1"/>
    <col min="14591" max="14591" width="8" style="356" customWidth="1"/>
    <col min="14592" max="14592" width="5.85546875" style="356" customWidth="1"/>
    <col min="14593" max="14593" width="9.42578125" style="356" customWidth="1"/>
    <col min="14594" max="14594" width="11.28515625" style="356" customWidth="1"/>
    <col min="14595" max="14595" width="11" style="356" customWidth="1"/>
    <col min="14596" max="14596" width="13.140625" style="356" customWidth="1"/>
    <col min="14597" max="14597" width="11.7109375" style="356" customWidth="1"/>
    <col min="14598" max="14598" width="11.140625" style="356" customWidth="1"/>
    <col min="14599" max="14599" width="11.7109375" style="356" customWidth="1"/>
    <col min="14600" max="14845" width="9.140625" style="356"/>
    <col min="14846" max="14846" width="5.28515625" style="356" customWidth="1"/>
    <col min="14847" max="14847" width="8" style="356" customWidth="1"/>
    <col min="14848" max="14848" width="5.85546875" style="356" customWidth="1"/>
    <col min="14849" max="14849" width="9.42578125" style="356" customWidth="1"/>
    <col min="14850" max="14850" width="11.28515625" style="356" customWidth="1"/>
    <col min="14851" max="14851" width="11" style="356" customWidth="1"/>
    <col min="14852" max="14852" width="13.140625" style="356" customWidth="1"/>
    <col min="14853" max="14853" width="11.7109375" style="356" customWidth="1"/>
    <col min="14854" max="14854" width="11.140625" style="356" customWidth="1"/>
    <col min="14855" max="14855" width="11.7109375" style="356" customWidth="1"/>
    <col min="14856" max="15101" width="9.140625" style="356"/>
    <col min="15102" max="15102" width="5.28515625" style="356" customWidth="1"/>
    <col min="15103" max="15103" width="8" style="356" customWidth="1"/>
    <col min="15104" max="15104" width="5.85546875" style="356" customWidth="1"/>
    <col min="15105" max="15105" width="9.42578125" style="356" customWidth="1"/>
    <col min="15106" max="15106" width="11.28515625" style="356" customWidth="1"/>
    <col min="15107" max="15107" width="11" style="356" customWidth="1"/>
    <col min="15108" max="15108" width="13.140625" style="356" customWidth="1"/>
    <col min="15109" max="15109" width="11.7109375" style="356" customWidth="1"/>
    <col min="15110" max="15110" width="11.140625" style="356" customWidth="1"/>
    <col min="15111" max="15111" width="11.7109375" style="356" customWidth="1"/>
    <col min="15112" max="15357" width="9.140625" style="356"/>
    <col min="15358" max="15358" width="5.28515625" style="356" customWidth="1"/>
    <col min="15359" max="15359" width="8" style="356" customWidth="1"/>
    <col min="15360" max="15360" width="5.85546875" style="356" customWidth="1"/>
    <col min="15361" max="15361" width="9.42578125" style="356" customWidth="1"/>
    <col min="15362" max="15362" width="11.28515625" style="356" customWidth="1"/>
    <col min="15363" max="15363" width="11" style="356" customWidth="1"/>
    <col min="15364" max="15364" width="13.140625" style="356" customWidth="1"/>
    <col min="15365" max="15365" width="11.7109375" style="356" customWidth="1"/>
    <col min="15366" max="15366" width="11.140625" style="356" customWidth="1"/>
    <col min="15367" max="15367" width="11.7109375" style="356" customWidth="1"/>
    <col min="15368" max="15613" width="9.140625" style="356"/>
    <col min="15614" max="15614" width="5.28515625" style="356" customWidth="1"/>
    <col min="15615" max="15615" width="8" style="356" customWidth="1"/>
    <col min="15616" max="15616" width="5.85546875" style="356" customWidth="1"/>
    <col min="15617" max="15617" width="9.42578125" style="356" customWidth="1"/>
    <col min="15618" max="15618" width="11.28515625" style="356" customWidth="1"/>
    <col min="15619" max="15619" width="11" style="356" customWidth="1"/>
    <col min="15620" max="15620" width="13.140625" style="356" customWidth="1"/>
    <col min="15621" max="15621" width="11.7109375" style="356" customWidth="1"/>
    <col min="15622" max="15622" width="11.140625" style="356" customWidth="1"/>
    <col min="15623" max="15623" width="11.7109375" style="356" customWidth="1"/>
    <col min="15624" max="15869" width="9.140625" style="356"/>
    <col min="15870" max="15870" width="5.28515625" style="356" customWidth="1"/>
    <col min="15871" max="15871" width="8" style="356" customWidth="1"/>
    <col min="15872" max="15872" width="5.85546875" style="356" customWidth="1"/>
    <col min="15873" max="15873" width="9.42578125" style="356" customWidth="1"/>
    <col min="15874" max="15874" width="11.28515625" style="356" customWidth="1"/>
    <col min="15875" max="15875" width="11" style="356" customWidth="1"/>
    <col min="15876" max="15876" width="13.140625" style="356" customWidth="1"/>
    <col min="15877" max="15877" width="11.7109375" style="356" customWidth="1"/>
    <col min="15878" max="15878" width="11.140625" style="356" customWidth="1"/>
    <col min="15879" max="15879" width="11.7109375" style="356" customWidth="1"/>
    <col min="15880" max="16125" width="9.140625" style="356"/>
    <col min="16126" max="16126" width="5.28515625" style="356" customWidth="1"/>
    <col min="16127" max="16127" width="8" style="356" customWidth="1"/>
    <col min="16128" max="16128" width="5.85546875" style="356" customWidth="1"/>
    <col min="16129" max="16129" width="9.42578125" style="356" customWidth="1"/>
    <col min="16130" max="16130" width="11.28515625" style="356" customWidth="1"/>
    <col min="16131" max="16131" width="11" style="356" customWidth="1"/>
    <col min="16132" max="16132" width="13.140625" style="356" customWidth="1"/>
    <col min="16133" max="16133" width="11.7109375" style="356" customWidth="1"/>
    <col min="16134" max="16134" width="11.140625" style="356" customWidth="1"/>
    <col min="16135" max="16135" width="11.7109375" style="356" customWidth="1"/>
    <col min="16136" max="16384" width="9.140625" style="356"/>
  </cols>
  <sheetData>
    <row r="1" spans="1:72" s="357" customFormat="1" ht="12.75" customHeight="1" x14ac:dyDescent="0.25">
      <c r="A1" s="71"/>
      <c r="B1" s="356"/>
      <c r="C1" s="356"/>
      <c r="D1" s="356"/>
      <c r="E1" s="356"/>
      <c r="F1" s="3" t="s">
        <v>430</v>
      </c>
    </row>
    <row r="2" spans="1:72" s="357" customFormat="1" ht="12.75" customHeight="1" x14ac:dyDescent="0.25">
      <c r="A2" s="356"/>
      <c r="B2" s="356"/>
      <c r="C2" s="356"/>
      <c r="D2" s="356"/>
      <c r="E2" s="356"/>
      <c r="F2" s="3" t="s">
        <v>266</v>
      </c>
    </row>
    <row r="3" spans="1:72" s="357" customFormat="1" ht="12.75" customHeight="1" x14ac:dyDescent="0.25">
      <c r="A3" s="356"/>
      <c r="B3" s="356"/>
      <c r="C3" s="356"/>
      <c r="D3" s="356"/>
      <c r="E3" s="356"/>
      <c r="F3" s="3" t="s">
        <v>64</v>
      </c>
    </row>
    <row r="4" spans="1:72" s="357" customFormat="1" ht="12.75" customHeight="1" x14ac:dyDescent="0.25">
      <c r="A4" s="356"/>
      <c r="B4" s="356"/>
      <c r="C4" s="356"/>
      <c r="D4" s="356"/>
      <c r="E4" s="356"/>
      <c r="F4" s="3" t="s">
        <v>267</v>
      </c>
    </row>
    <row r="5" spans="1:72" s="357" customFormat="1" ht="12.75" customHeight="1" x14ac:dyDescent="0.25">
      <c r="A5" s="356"/>
      <c r="B5" s="356"/>
      <c r="C5" s="356"/>
      <c r="D5" s="356"/>
      <c r="E5" s="356"/>
    </row>
    <row r="6" spans="1:72" s="357" customFormat="1" ht="12.75" customHeight="1" x14ac:dyDescent="0.25">
      <c r="A6" s="356"/>
      <c r="B6" s="356"/>
      <c r="C6" s="356"/>
      <c r="D6" s="356"/>
      <c r="E6" s="356"/>
    </row>
    <row r="7" spans="1:72" s="357" customFormat="1" ht="26.25" customHeight="1" x14ac:dyDescent="0.25">
      <c r="A7" s="53" t="s">
        <v>32</v>
      </c>
      <c r="B7" s="53"/>
      <c r="C7" s="53"/>
      <c r="D7" s="53"/>
      <c r="E7" s="53"/>
      <c r="F7" s="53"/>
      <c r="G7" s="53"/>
      <c r="J7" s="1"/>
    </row>
    <row r="8" spans="1:72" s="357" customFormat="1" ht="12.75" customHeight="1" x14ac:dyDescent="0.25">
      <c r="A8" s="54"/>
      <c r="B8" s="55"/>
      <c r="C8" s="55"/>
      <c r="D8" s="55"/>
      <c r="E8" s="55"/>
      <c r="F8" s="55"/>
      <c r="G8" s="55"/>
      <c r="J8" s="1"/>
    </row>
    <row r="9" spans="1:72" s="357" customFormat="1" ht="30.75" customHeight="1" x14ac:dyDescent="0.25">
      <c r="A9" s="356"/>
      <c r="B9" s="356"/>
      <c r="C9" s="356"/>
      <c r="D9" s="356"/>
      <c r="E9" s="356"/>
      <c r="G9" s="56" t="s">
        <v>1</v>
      </c>
    </row>
    <row r="10" spans="1:72" s="60" customFormat="1" ht="36.75" customHeight="1" x14ac:dyDescent="0.2">
      <c r="A10" s="57" t="s">
        <v>27</v>
      </c>
      <c r="B10" s="57" t="s">
        <v>33</v>
      </c>
      <c r="C10" s="57" t="s">
        <v>34</v>
      </c>
      <c r="D10" s="57" t="s">
        <v>21</v>
      </c>
      <c r="E10" s="58" t="s">
        <v>5</v>
      </c>
      <c r="F10" s="58" t="s">
        <v>44</v>
      </c>
      <c r="G10" s="58" t="s">
        <v>45</v>
      </c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</row>
    <row r="11" spans="1:72" s="63" customFormat="1" ht="10.5" customHeight="1" x14ac:dyDescent="0.2">
      <c r="A11" s="61">
        <v>1</v>
      </c>
      <c r="B11" s="61">
        <v>2</v>
      </c>
      <c r="C11" s="61">
        <v>3</v>
      </c>
      <c r="D11" s="61">
        <v>4</v>
      </c>
      <c r="E11" s="61">
        <v>5</v>
      </c>
      <c r="F11" s="61">
        <v>6</v>
      </c>
      <c r="G11" s="61">
        <v>7</v>
      </c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</row>
    <row r="12" spans="1:72" s="71" customFormat="1" ht="16.5" customHeight="1" x14ac:dyDescent="0.2">
      <c r="A12" s="64"/>
      <c r="B12" s="65"/>
      <c r="C12" s="66"/>
      <c r="D12" s="66"/>
      <c r="E12" s="67" t="s">
        <v>35</v>
      </c>
      <c r="F12" s="68">
        <v>5000000</v>
      </c>
      <c r="G12" s="69" t="s">
        <v>36</v>
      </c>
      <c r="H12" s="70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</row>
    <row r="13" spans="1:72" s="60" customFormat="1" ht="50.25" customHeight="1" x14ac:dyDescent="0.2">
      <c r="A13" s="89" t="s">
        <v>28</v>
      </c>
      <c r="B13" s="90" t="s">
        <v>37</v>
      </c>
      <c r="C13" s="72" t="s">
        <v>38</v>
      </c>
      <c r="D13" s="72" t="s">
        <v>39</v>
      </c>
      <c r="E13" s="73" t="s">
        <v>36</v>
      </c>
      <c r="F13" s="74" t="s">
        <v>36</v>
      </c>
      <c r="G13" s="75">
        <f>SUM(G14:G14)</f>
        <v>7550000</v>
      </c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</row>
    <row r="14" spans="1:72" s="60" customFormat="1" ht="15.75" customHeight="1" x14ac:dyDescent="0.2">
      <c r="A14" s="64"/>
      <c r="B14" s="413" t="s">
        <v>26</v>
      </c>
      <c r="C14" s="76"/>
      <c r="D14" s="76"/>
      <c r="E14" s="76" t="s">
        <v>19</v>
      </c>
      <c r="F14" s="77" t="s">
        <v>36</v>
      </c>
      <c r="G14" s="78">
        <f>6000000+1550000</f>
        <v>7550000</v>
      </c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</row>
    <row r="15" spans="1:72" s="71" customFormat="1" ht="15.75" customHeight="1" x14ac:dyDescent="0.2">
      <c r="A15" s="414"/>
      <c r="B15" s="413" t="s">
        <v>40</v>
      </c>
      <c r="C15" s="415"/>
      <c r="D15" s="415"/>
      <c r="E15" s="415"/>
      <c r="F15" s="416"/>
      <c r="G15" s="417">
        <f>1000000+1550000</f>
        <v>2550000</v>
      </c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</row>
    <row r="16" spans="1:72" s="60" customFormat="1" ht="12" x14ac:dyDescent="0.2">
      <c r="A16" s="79"/>
      <c r="B16" s="80"/>
      <c r="C16" s="81"/>
      <c r="D16" s="81"/>
      <c r="E16" s="81"/>
      <c r="F16" s="82"/>
      <c r="G16" s="82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</row>
    <row r="17" spans="1:72" s="60" customFormat="1" ht="25.5" customHeight="1" x14ac:dyDescent="0.2">
      <c r="A17" s="64"/>
      <c r="B17" s="65"/>
      <c r="C17" s="76"/>
      <c r="D17" s="76"/>
      <c r="E17" s="81" t="s">
        <v>35</v>
      </c>
      <c r="F17" s="83">
        <f>5500000-5500000</f>
        <v>0</v>
      </c>
      <c r="G17" s="84" t="s">
        <v>36</v>
      </c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</row>
    <row r="18" spans="1:72" s="60" customFormat="1" ht="41.25" customHeight="1" x14ac:dyDescent="0.2">
      <c r="A18" s="89" t="s">
        <v>29</v>
      </c>
      <c r="B18" s="90" t="s">
        <v>24</v>
      </c>
      <c r="C18" s="72" t="s">
        <v>38</v>
      </c>
      <c r="D18" s="72" t="s">
        <v>41</v>
      </c>
      <c r="E18" s="73" t="s">
        <v>36</v>
      </c>
      <c r="F18" s="74" t="s">
        <v>36</v>
      </c>
      <c r="G18" s="85">
        <f>SUM(G19:G19)</f>
        <v>4532000</v>
      </c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</row>
    <row r="19" spans="1:72" s="60" customFormat="1" ht="15.75" customHeight="1" x14ac:dyDescent="0.2">
      <c r="A19" s="64"/>
      <c r="B19" s="413" t="s">
        <v>26</v>
      </c>
      <c r="C19" s="76"/>
      <c r="D19" s="76"/>
      <c r="E19" s="76" t="s">
        <v>19</v>
      </c>
      <c r="F19" s="77" t="s">
        <v>36</v>
      </c>
      <c r="G19" s="78">
        <f>6000000+4000000+32000-5500000</f>
        <v>4532000</v>
      </c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</row>
    <row r="20" spans="1:72" s="71" customFormat="1" ht="15.75" customHeight="1" x14ac:dyDescent="0.2">
      <c r="A20" s="414"/>
      <c r="B20" s="413" t="s">
        <v>40</v>
      </c>
      <c r="C20" s="418"/>
      <c r="D20" s="415"/>
      <c r="E20" s="415"/>
      <c r="F20" s="416"/>
      <c r="G20" s="417">
        <f>500000+4000000+32000</f>
        <v>4532000</v>
      </c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</row>
    <row r="21" spans="1:72" s="71" customFormat="1" ht="15.75" customHeight="1" x14ac:dyDescent="0.2">
      <c r="A21" s="419"/>
      <c r="B21" s="420"/>
      <c r="C21" s="421"/>
      <c r="D21" s="422"/>
      <c r="E21" s="422"/>
      <c r="F21" s="423"/>
      <c r="G21" s="424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</row>
    <row r="22" spans="1:72" s="71" customFormat="1" ht="15.75" customHeight="1" x14ac:dyDescent="0.2">
      <c r="A22" s="64"/>
      <c r="B22" s="65"/>
      <c r="C22" s="76"/>
      <c r="D22" s="76"/>
      <c r="E22" s="81" t="s">
        <v>46</v>
      </c>
      <c r="F22" s="83">
        <f>43880+9254</f>
        <v>53134</v>
      </c>
      <c r="G22" s="84" t="s">
        <v>36</v>
      </c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</row>
    <row r="23" spans="1:72" s="71" customFormat="1" ht="34.5" customHeight="1" x14ac:dyDescent="0.2">
      <c r="A23" s="89" t="s">
        <v>30</v>
      </c>
      <c r="B23" s="91" t="s">
        <v>47</v>
      </c>
      <c r="C23" s="76" t="s">
        <v>48</v>
      </c>
      <c r="D23" s="76" t="s">
        <v>49</v>
      </c>
      <c r="E23" s="67" t="s">
        <v>36</v>
      </c>
      <c r="F23" s="69" t="s">
        <v>36</v>
      </c>
      <c r="G23" s="68">
        <f>SUM(G26,G33)</f>
        <v>53134</v>
      </c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</row>
    <row r="24" spans="1:72" s="71" customFormat="1" ht="9" customHeight="1" x14ac:dyDescent="0.2">
      <c r="A24" s="64"/>
      <c r="B24" s="92"/>
      <c r="C24" s="76"/>
      <c r="D24" s="76"/>
      <c r="E24" s="76"/>
      <c r="F24" s="77"/>
      <c r="G24" s="358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</row>
    <row r="25" spans="1:72" s="71" customFormat="1" ht="15.75" customHeight="1" x14ac:dyDescent="0.2">
      <c r="A25" s="64"/>
      <c r="B25" s="359" t="s">
        <v>50</v>
      </c>
      <c r="C25" s="76"/>
      <c r="D25" s="76"/>
      <c r="E25" s="76"/>
      <c r="F25" s="77"/>
      <c r="G25" s="358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</row>
    <row r="26" spans="1:72" s="71" customFormat="1" ht="15.75" customHeight="1" x14ac:dyDescent="0.2">
      <c r="A26" s="64"/>
      <c r="B26" s="65" t="s">
        <v>51</v>
      </c>
      <c r="C26" s="76"/>
      <c r="D26" s="76"/>
      <c r="E26" s="76"/>
      <c r="F26" s="77"/>
      <c r="G26" s="358">
        <f>SUM(G27:G31)</f>
        <v>35796</v>
      </c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</row>
    <row r="27" spans="1:72" s="71" customFormat="1" ht="15.75" customHeight="1" x14ac:dyDescent="0.2">
      <c r="A27" s="64"/>
      <c r="B27" s="65"/>
      <c r="C27" s="76"/>
      <c r="D27" s="76"/>
      <c r="E27" s="76" t="s">
        <v>52</v>
      </c>
      <c r="F27" s="77" t="s">
        <v>36</v>
      </c>
      <c r="G27" s="78">
        <f>3855+1033</f>
        <v>4888</v>
      </c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</row>
    <row r="28" spans="1:72" s="71" customFormat="1" ht="15.75" customHeight="1" x14ac:dyDescent="0.2">
      <c r="A28" s="64"/>
      <c r="B28" s="65"/>
      <c r="C28" s="76"/>
      <c r="D28" s="76"/>
      <c r="E28" s="76" t="s">
        <v>53</v>
      </c>
      <c r="F28" s="77" t="s">
        <v>36</v>
      </c>
      <c r="G28" s="78">
        <f>14147+6863</f>
        <v>21010</v>
      </c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</row>
    <row r="29" spans="1:72" s="71" customFormat="1" ht="15.75" customHeight="1" x14ac:dyDescent="0.2">
      <c r="A29" s="64"/>
      <c r="B29" s="65"/>
      <c r="C29" s="76"/>
      <c r="D29" s="76"/>
      <c r="E29" s="76" t="s">
        <v>54</v>
      </c>
      <c r="F29" s="77" t="s">
        <v>36</v>
      </c>
      <c r="G29" s="78">
        <f>3594+1189</f>
        <v>4783</v>
      </c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</row>
    <row r="30" spans="1:72" s="71" customFormat="1" ht="15.75" customHeight="1" x14ac:dyDescent="0.2">
      <c r="A30" s="64"/>
      <c r="B30" s="65"/>
      <c r="C30" s="76"/>
      <c r="D30" s="76"/>
      <c r="E30" s="76" t="s">
        <v>55</v>
      </c>
      <c r="F30" s="77" t="s">
        <v>36</v>
      </c>
      <c r="G30" s="78">
        <f>446+169</f>
        <v>615</v>
      </c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</row>
    <row r="31" spans="1:72" s="71" customFormat="1" ht="15.75" customHeight="1" x14ac:dyDescent="0.2">
      <c r="A31" s="64"/>
      <c r="B31" s="65"/>
      <c r="C31" s="76"/>
      <c r="D31" s="76"/>
      <c r="E31" s="76" t="s">
        <v>23</v>
      </c>
      <c r="F31" s="77" t="s">
        <v>36</v>
      </c>
      <c r="G31" s="78">
        <v>4500</v>
      </c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</row>
    <row r="32" spans="1:72" s="71" customFormat="1" ht="15.75" customHeight="1" x14ac:dyDescent="0.2">
      <c r="A32" s="64"/>
      <c r="B32" s="359" t="s">
        <v>50</v>
      </c>
      <c r="C32" s="76"/>
      <c r="D32" s="76"/>
      <c r="E32" s="76"/>
      <c r="F32" s="77"/>
      <c r="G32" s="358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</row>
    <row r="33" spans="1:72" s="71" customFormat="1" ht="15.75" customHeight="1" x14ac:dyDescent="0.2">
      <c r="A33" s="64"/>
      <c r="B33" s="65" t="s">
        <v>56</v>
      </c>
      <c r="C33" s="76"/>
      <c r="D33" s="76"/>
      <c r="E33" s="76"/>
      <c r="F33" s="77"/>
      <c r="G33" s="358">
        <f>SUM(G34:G39)</f>
        <v>17338</v>
      </c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</row>
    <row r="34" spans="1:72" s="71" customFormat="1" ht="15.75" customHeight="1" x14ac:dyDescent="0.2">
      <c r="A34" s="64"/>
      <c r="B34" s="65"/>
      <c r="C34" s="76"/>
      <c r="D34" s="76"/>
      <c r="E34" s="76" t="s">
        <v>52</v>
      </c>
      <c r="F34" s="77" t="s">
        <v>36</v>
      </c>
      <c r="G34" s="78">
        <v>771</v>
      </c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</row>
    <row r="35" spans="1:72" s="71" customFormat="1" ht="15.75" customHeight="1" x14ac:dyDescent="0.2">
      <c r="A35" s="64"/>
      <c r="B35" s="65"/>
      <c r="C35" s="76"/>
      <c r="D35" s="76"/>
      <c r="E35" s="76" t="s">
        <v>53</v>
      </c>
      <c r="F35" s="77" t="s">
        <v>36</v>
      </c>
      <c r="G35" s="78">
        <v>9672</v>
      </c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</row>
    <row r="36" spans="1:72" s="71" customFormat="1" ht="15.75" customHeight="1" x14ac:dyDescent="0.2">
      <c r="A36" s="64"/>
      <c r="B36" s="65"/>
      <c r="C36" s="76"/>
      <c r="D36" s="76"/>
      <c r="E36" s="76" t="s">
        <v>54</v>
      </c>
      <c r="F36" s="77" t="s">
        <v>36</v>
      </c>
      <c r="G36" s="78">
        <v>1666</v>
      </c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</row>
    <row r="37" spans="1:72" s="71" customFormat="1" ht="15.75" customHeight="1" x14ac:dyDescent="0.2">
      <c r="A37" s="64"/>
      <c r="B37" s="65"/>
      <c r="C37" s="76"/>
      <c r="D37" s="76"/>
      <c r="E37" s="76" t="s">
        <v>55</v>
      </c>
      <c r="F37" s="77" t="s">
        <v>36</v>
      </c>
      <c r="G37" s="78">
        <f>236-1</f>
        <v>235</v>
      </c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</row>
    <row r="38" spans="1:72" s="71" customFormat="1" ht="15.75" customHeight="1" x14ac:dyDescent="0.2">
      <c r="A38" s="64"/>
      <c r="B38" s="65"/>
      <c r="C38" s="76"/>
      <c r="D38" s="76"/>
      <c r="E38" s="76" t="s">
        <v>23</v>
      </c>
      <c r="F38" s="77" t="s">
        <v>36</v>
      </c>
      <c r="G38" s="78">
        <v>1815</v>
      </c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</row>
    <row r="39" spans="1:72" s="71" customFormat="1" ht="15.75" customHeight="1" x14ac:dyDescent="0.2">
      <c r="A39" s="64"/>
      <c r="B39" s="65"/>
      <c r="C39" s="86"/>
      <c r="D39" s="76"/>
      <c r="E39" s="76" t="s">
        <v>57</v>
      </c>
      <c r="F39" s="77" t="s">
        <v>36</v>
      </c>
      <c r="G39" s="78">
        <f>3178+1</f>
        <v>3179</v>
      </c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</row>
    <row r="40" spans="1:72" s="71" customFormat="1" ht="15.75" customHeight="1" x14ac:dyDescent="0.2">
      <c r="A40" s="79"/>
      <c r="B40" s="80"/>
      <c r="C40" s="93"/>
      <c r="D40" s="81"/>
      <c r="E40" s="81"/>
      <c r="F40" s="84"/>
      <c r="G40" s="82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</row>
    <row r="41" spans="1:72" s="71" customFormat="1" ht="15.75" customHeight="1" x14ac:dyDescent="0.2">
      <c r="A41" s="64"/>
      <c r="B41" s="65"/>
      <c r="C41" s="76"/>
      <c r="D41" s="76"/>
      <c r="E41" s="81" t="s">
        <v>46</v>
      </c>
      <c r="F41" s="83">
        <v>245050</v>
      </c>
      <c r="G41" s="84" t="s">
        <v>36</v>
      </c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</row>
    <row r="42" spans="1:72" s="71" customFormat="1" ht="21" customHeight="1" x14ac:dyDescent="0.2">
      <c r="A42" s="89" t="s">
        <v>31</v>
      </c>
      <c r="B42" s="94" t="s">
        <v>58</v>
      </c>
      <c r="C42" s="76" t="s">
        <v>48</v>
      </c>
      <c r="D42" s="76" t="s">
        <v>59</v>
      </c>
      <c r="E42" s="67" t="s">
        <v>36</v>
      </c>
      <c r="F42" s="69" t="s">
        <v>36</v>
      </c>
      <c r="G42" s="68">
        <f>SUM(G44)</f>
        <v>245050</v>
      </c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</row>
    <row r="43" spans="1:72" s="71" customFormat="1" ht="9.75" customHeight="1" x14ac:dyDescent="0.2">
      <c r="A43" s="64"/>
      <c r="B43" s="92"/>
      <c r="C43" s="76"/>
      <c r="D43" s="76"/>
      <c r="E43" s="76"/>
      <c r="F43" s="77"/>
      <c r="G43" s="358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</row>
    <row r="44" spans="1:72" s="71" customFormat="1" ht="15.75" customHeight="1" x14ac:dyDescent="0.2">
      <c r="A44" s="64"/>
      <c r="B44" s="65" t="s">
        <v>60</v>
      </c>
      <c r="C44" s="76"/>
      <c r="D44" s="76"/>
      <c r="E44" s="76"/>
      <c r="F44" s="77"/>
      <c r="G44" s="358">
        <f>SUM(G45:G51)</f>
        <v>245050</v>
      </c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</row>
    <row r="45" spans="1:72" s="71" customFormat="1" ht="15.75" customHeight="1" x14ac:dyDescent="0.2">
      <c r="A45" s="64"/>
      <c r="B45" s="65"/>
      <c r="C45" s="76"/>
      <c r="D45" s="76"/>
      <c r="E45" s="76" t="s">
        <v>53</v>
      </c>
      <c r="F45" s="77" t="s">
        <v>36</v>
      </c>
      <c r="G45" s="78">
        <v>166200</v>
      </c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</row>
    <row r="46" spans="1:72" s="71" customFormat="1" ht="15.75" customHeight="1" x14ac:dyDescent="0.2">
      <c r="A46" s="64"/>
      <c r="B46" s="65"/>
      <c r="C46" s="76"/>
      <c r="D46" s="76"/>
      <c r="E46" s="76" t="s">
        <v>54</v>
      </c>
      <c r="F46" s="77" t="s">
        <v>36</v>
      </c>
      <c r="G46" s="78">
        <v>29019</v>
      </c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</row>
    <row r="47" spans="1:72" s="71" customFormat="1" ht="15.75" customHeight="1" x14ac:dyDescent="0.2">
      <c r="A47" s="64"/>
      <c r="B47" s="65"/>
      <c r="C47" s="76"/>
      <c r="D47" s="76"/>
      <c r="E47" s="76" t="s">
        <v>55</v>
      </c>
      <c r="F47" s="77" t="s">
        <v>36</v>
      </c>
      <c r="G47" s="78">
        <v>4072</v>
      </c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</row>
    <row r="48" spans="1:72" s="71" customFormat="1" ht="15.75" customHeight="1" x14ac:dyDescent="0.2">
      <c r="A48" s="64"/>
      <c r="B48" s="65"/>
      <c r="C48" s="76"/>
      <c r="D48" s="76"/>
      <c r="E48" s="76" t="s">
        <v>23</v>
      </c>
      <c r="F48" s="77" t="s">
        <v>36</v>
      </c>
      <c r="G48" s="78">
        <v>5000</v>
      </c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</row>
    <row r="49" spans="1:72" s="71" customFormat="1" ht="15.75" customHeight="1" x14ac:dyDescent="0.2">
      <c r="A49" s="64"/>
      <c r="B49" s="65"/>
      <c r="C49" s="76"/>
      <c r="D49" s="76"/>
      <c r="E49" s="76" t="s">
        <v>61</v>
      </c>
      <c r="F49" s="77" t="s">
        <v>36</v>
      </c>
      <c r="G49" s="78">
        <v>10000</v>
      </c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</row>
    <row r="50" spans="1:72" s="71" customFormat="1" ht="15.75" customHeight="1" x14ac:dyDescent="0.2">
      <c r="A50" s="64"/>
      <c r="B50" s="65"/>
      <c r="C50" s="86"/>
      <c r="D50" s="76"/>
      <c r="E50" s="76" t="s">
        <v>62</v>
      </c>
      <c r="F50" s="77" t="s">
        <v>36</v>
      </c>
      <c r="G50" s="78">
        <v>30050</v>
      </c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</row>
    <row r="51" spans="1:72" s="71" customFormat="1" ht="15.75" customHeight="1" x14ac:dyDescent="0.2">
      <c r="A51" s="64"/>
      <c r="B51" s="65"/>
      <c r="C51" s="86"/>
      <c r="D51" s="76"/>
      <c r="E51" s="76" t="s">
        <v>63</v>
      </c>
      <c r="F51" s="77" t="s">
        <v>36</v>
      </c>
      <c r="G51" s="78">
        <v>709</v>
      </c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</row>
    <row r="52" spans="1:72" s="71" customFormat="1" ht="9.75" customHeight="1" x14ac:dyDescent="0.2">
      <c r="A52" s="79"/>
      <c r="B52" s="80"/>
      <c r="C52" s="93"/>
      <c r="D52" s="81"/>
      <c r="E52" s="81"/>
      <c r="F52" s="84"/>
      <c r="G52" s="82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</row>
    <row r="53" spans="1:72" s="71" customFormat="1" ht="15.75" customHeight="1" x14ac:dyDescent="0.2">
      <c r="A53" s="64"/>
      <c r="B53" s="65"/>
      <c r="C53" s="76" t="s">
        <v>431</v>
      </c>
      <c r="D53" s="76" t="s">
        <v>78</v>
      </c>
      <c r="E53" s="81" t="s">
        <v>46</v>
      </c>
      <c r="F53" s="83">
        <v>7863580.1299999999</v>
      </c>
      <c r="G53" s="84" t="s">
        <v>36</v>
      </c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</row>
    <row r="54" spans="1:72" s="71" customFormat="1" ht="15.75" customHeight="1" x14ac:dyDescent="0.2">
      <c r="A54" s="89" t="s">
        <v>416</v>
      </c>
      <c r="B54" s="94" t="s">
        <v>432</v>
      </c>
      <c r="C54" s="76" t="s">
        <v>48</v>
      </c>
      <c r="D54" s="76" t="s">
        <v>59</v>
      </c>
      <c r="E54" s="67" t="s">
        <v>36</v>
      </c>
      <c r="F54" s="69" t="s">
        <v>36</v>
      </c>
      <c r="G54" s="68">
        <f>SUM(G56)</f>
        <v>7863580.1299999999</v>
      </c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</row>
    <row r="55" spans="1:72" s="71" customFormat="1" ht="15.75" customHeight="1" x14ac:dyDescent="0.2">
      <c r="A55" s="64"/>
      <c r="B55" s="92"/>
      <c r="C55" s="76"/>
      <c r="D55" s="76"/>
      <c r="E55" s="76"/>
      <c r="F55" s="77"/>
      <c r="G55" s="358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</row>
    <row r="56" spans="1:72" s="71" customFormat="1" ht="15.75" customHeight="1" x14ac:dyDescent="0.2">
      <c r="A56" s="64"/>
      <c r="B56" s="65" t="s">
        <v>60</v>
      </c>
      <c r="C56" s="76"/>
      <c r="D56" s="76"/>
      <c r="E56" s="76"/>
      <c r="F56" s="77"/>
      <c r="G56" s="358">
        <f>SUM(G57:G64)</f>
        <v>7863580.1299999999</v>
      </c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</row>
    <row r="57" spans="1:72" s="71" customFormat="1" ht="15.75" customHeight="1" x14ac:dyDescent="0.2">
      <c r="A57" s="64"/>
      <c r="B57" s="65"/>
      <c r="C57" s="76"/>
      <c r="D57" s="76"/>
      <c r="E57" s="76" t="s">
        <v>433</v>
      </c>
      <c r="F57" s="77" t="s">
        <v>36</v>
      </c>
      <c r="G57" s="78">
        <f>7863580.13-154187.85</f>
        <v>7709392.2800000003</v>
      </c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</row>
    <row r="58" spans="1:72" s="71" customFormat="1" ht="15.75" customHeight="1" x14ac:dyDescent="0.2">
      <c r="A58" s="64"/>
      <c r="B58" s="65"/>
      <c r="C58" s="86"/>
      <c r="D58" s="76"/>
      <c r="E58" s="76" t="s">
        <v>53</v>
      </c>
      <c r="F58" s="77" t="s">
        <v>36</v>
      </c>
      <c r="G58" s="78">
        <v>66855.850000000006</v>
      </c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</row>
    <row r="59" spans="1:72" s="71" customFormat="1" ht="15.75" customHeight="1" x14ac:dyDescent="0.2">
      <c r="A59" s="64"/>
      <c r="B59" s="65"/>
      <c r="C59" s="86"/>
      <c r="D59" s="76"/>
      <c r="E59" s="76" t="s">
        <v>54</v>
      </c>
      <c r="F59" s="77" t="s">
        <v>36</v>
      </c>
      <c r="G59" s="78">
        <v>20156</v>
      </c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</row>
    <row r="60" spans="1:72" s="71" customFormat="1" ht="15.75" customHeight="1" x14ac:dyDescent="0.2">
      <c r="A60" s="64"/>
      <c r="B60" s="65"/>
      <c r="C60" s="86"/>
      <c r="D60" s="76"/>
      <c r="E60" s="76" t="s">
        <v>55</v>
      </c>
      <c r="F60" s="77" t="s">
        <v>36</v>
      </c>
      <c r="G60" s="78">
        <v>2829</v>
      </c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</row>
    <row r="61" spans="1:72" s="71" customFormat="1" ht="15.75" customHeight="1" x14ac:dyDescent="0.2">
      <c r="A61" s="64"/>
      <c r="B61" s="65"/>
      <c r="C61" s="86"/>
      <c r="D61" s="76"/>
      <c r="E61" s="76" t="s">
        <v>434</v>
      </c>
      <c r="F61" s="77" t="s">
        <v>36</v>
      </c>
      <c r="G61" s="78">
        <v>50230</v>
      </c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</row>
    <row r="62" spans="1:72" s="71" customFormat="1" ht="15.75" customHeight="1" x14ac:dyDescent="0.2">
      <c r="A62" s="64"/>
      <c r="B62" s="65"/>
      <c r="C62" s="86"/>
      <c r="D62" s="76"/>
      <c r="E62" s="76" t="s">
        <v>23</v>
      </c>
      <c r="F62" s="77" t="s">
        <v>36</v>
      </c>
      <c r="G62" s="78">
        <v>12828</v>
      </c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</row>
    <row r="63" spans="1:72" s="71" customFormat="1" ht="15.75" customHeight="1" x14ac:dyDescent="0.2">
      <c r="A63" s="64"/>
      <c r="B63" s="65"/>
      <c r="C63" s="86"/>
      <c r="D63" s="76"/>
      <c r="E63" s="76" t="s">
        <v>435</v>
      </c>
      <c r="F63" s="77" t="s">
        <v>36</v>
      </c>
      <c r="G63" s="78">
        <v>989</v>
      </c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</row>
    <row r="64" spans="1:72" s="71" customFormat="1" ht="15.75" customHeight="1" x14ac:dyDescent="0.2">
      <c r="A64" s="64"/>
      <c r="B64" s="65"/>
      <c r="C64" s="86"/>
      <c r="D64" s="76"/>
      <c r="E64" s="76" t="s">
        <v>63</v>
      </c>
      <c r="F64" s="77" t="s">
        <v>36</v>
      </c>
      <c r="G64" s="78">
        <v>300</v>
      </c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</row>
    <row r="65" spans="1:72" s="60" customFormat="1" ht="12" customHeight="1" x14ac:dyDescent="0.2">
      <c r="A65" s="79"/>
      <c r="B65" s="80"/>
      <c r="C65" s="86"/>
      <c r="D65" s="76"/>
      <c r="E65" s="81"/>
      <c r="F65" s="82"/>
      <c r="G65" s="82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  <c r="BI65" s="59"/>
      <c r="BJ65" s="59"/>
      <c r="BK65" s="59"/>
      <c r="BL65" s="59"/>
      <c r="BM65" s="59"/>
      <c r="BN65" s="59"/>
      <c r="BO65" s="59"/>
      <c r="BP65" s="59"/>
      <c r="BQ65" s="59"/>
      <c r="BR65" s="59"/>
      <c r="BS65" s="59"/>
      <c r="BT65" s="59"/>
    </row>
    <row r="66" spans="1:72" s="60" customFormat="1" ht="27" customHeight="1" x14ac:dyDescent="0.2">
      <c r="A66" s="361"/>
      <c r="B66" s="362" t="s">
        <v>42</v>
      </c>
      <c r="C66" s="363"/>
      <c r="D66" s="364"/>
      <c r="E66" s="365"/>
      <c r="F66" s="365">
        <f>SUM(F12,F17,F22,F41,F53)</f>
        <v>13161764.129999999</v>
      </c>
      <c r="G66" s="365">
        <f>SUM(G13,G18,G23,G42,G54)</f>
        <v>20243764.129999999</v>
      </c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59"/>
      <c r="BD66" s="59"/>
      <c r="BE66" s="59"/>
      <c r="BF66" s="59"/>
      <c r="BG66" s="59"/>
      <c r="BH66" s="59"/>
      <c r="BI66" s="59"/>
      <c r="BJ66" s="59"/>
      <c r="BK66" s="59"/>
      <c r="BL66" s="59"/>
      <c r="BM66" s="59"/>
      <c r="BN66" s="59"/>
      <c r="BO66" s="59"/>
      <c r="BP66" s="59"/>
      <c r="BQ66" s="59"/>
      <c r="BR66" s="59"/>
      <c r="BS66" s="59"/>
      <c r="BT66" s="59"/>
    </row>
    <row r="68" spans="1:72" s="357" customFormat="1" x14ac:dyDescent="0.25">
      <c r="A68" s="366"/>
      <c r="B68" s="356"/>
      <c r="C68" s="356"/>
      <c r="D68" s="356"/>
      <c r="E68" s="356"/>
    </row>
    <row r="69" spans="1:72" s="357" customFormat="1" x14ac:dyDescent="0.25">
      <c r="A69" s="356"/>
      <c r="B69" s="356"/>
      <c r="C69" s="356"/>
      <c r="D69" s="356"/>
      <c r="E69" s="356"/>
      <c r="G69" s="87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&amp;C&amp;"Arial,Pogrubiony"&amp;8&amp;P</oddFooter>
  </headerFooter>
  <rowBreaks count="1" manualBreakCount="1">
    <brk id="4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51262-0EF1-49FE-9F6F-315AB10AA84C}">
  <sheetPr>
    <tabColor rgb="FF00CCFF"/>
  </sheetPr>
  <dimension ref="A1:BX172"/>
  <sheetViews>
    <sheetView zoomScale="140" zoomScaleNormal="140" workbookViewId="0"/>
  </sheetViews>
  <sheetFormatPr defaultRowHeight="15" x14ac:dyDescent="0.25"/>
  <cols>
    <col min="1" max="1" width="4.85546875" style="356" customWidth="1"/>
    <col min="2" max="2" width="33.42578125" style="356" customWidth="1"/>
    <col min="3" max="3" width="8.5703125" style="356" customWidth="1"/>
    <col min="4" max="4" width="9.42578125" style="356" customWidth="1"/>
    <col min="5" max="5" width="8.140625" style="356" customWidth="1"/>
    <col min="6" max="6" width="13" style="357" customWidth="1"/>
    <col min="7" max="7" width="12.85546875" style="357" customWidth="1"/>
    <col min="8" max="8" width="9.140625" style="357"/>
    <col min="9" max="9" width="12.42578125" style="357" customWidth="1"/>
    <col min="10" max="76" width="9.140625" style="357"/>
    <col min="77" max="253" width="9.140625" style="356"/>
    <col min="254" max="254" width="5.28515625" style="356" customWidth="1"/>
    <col min="255" max="255" width="8" style="356" customWidth="1"/>
    <col min="256" max="256" width="5.85546875" style="356" customWidth="1"/>
    <col min="257" max="257" width="9.42578125" style="356" customWidth="1"/>
    <col min="258" max="258" width="11.28515625" style="356" customWidth="1"/>
    <col min="259" max="259" width="11" style="356" customWidth="1"/>
    <col min="260" max="260" width="13.140625" style="356" customWidth="1"/>
    <col min="261" max="261" width="11.7109375" style="356" customWidth="1"/>
    <col min="262" max="262" width="11.140625" style="356" customWidth="1"/>
    <col min="263" max="263" width="11.7109375" style="356" customWidth="1"/>
    <col min="264" max="509" width="9.140625" style="356"/>
    <col min="510" max="510" width="5.28515625" style="356" customWidth="1"/>
    <col min="511" max="511" width="8" style="356" customWidth="1"/>
    <col min="512" max="512" width="5.85546875" style="356" customWidth="1"/>
    <col min="513" max="513" width="9.42578125" style="356" customWidth="1"/>
    <col min="514" max="514" width="11.28515625" style="356" customWidth="1"/>
    <col min="515" max="515" width="11" style="356" customWidth="1"/>
    <col min="516" max="516" width="13.140625" style="356" customWidth="1"/>
    <col min="517" max="517" width="11.7109375" style="356" customWidth="1"/>
    <col min="518" max="518" width="11.140625" style="356" customWidth="1"/>
    <col min="519" max="519" width="11.7109375" style="356" customWidth="1"/>
    <col min="520" max="765" width="9.140625" style="356"/>
    <col min="766" max="766" width="5.28515625" style="356" customWidth="1"/>
    <col min="767" max="767" width="8" style="356" customWidth="1"/>
    <col min="768" max="768" width="5.85546875" style="356" customWidth="1"/>
    <col min="769" max="769" width="9.42578125" style="356" customWidth="1"/>
    <col min="770" max="770" width="11.28515625" style="356" customWidth="1"/>
    <col min="771" max="771" width="11" style="356" customWidth="1"/>
    <col min="772" max="772" width="13.140625" style="356" customWidth="1"/>
    <col min="773" max="773" width="11.7109375" style="356" customWidth="1"/>
    <col min="774" max="774" width="11.140625" style="356" customWidth="1"/>
    <col min="775" max="775" width="11.7109375" style="356" customWidth="1"/>
    <col min="776" max="1021" width="9.140625" style="356"/>
    <col min="1022" max="1022" width="5.28515625" style="356" customWidth="1"/>
    <col min="1023" max="1023" width="8" style="356" customWidth="1"/>
    <col min="1024" max="1024" width="5.85546875" style="356" customWidth="1"/>
    <col min="1025" max="1025" width="9.42578125" style="356" customWidth="1"/>
    <col min="1026" max="1026" width="11.28515625" style="356" customWidth="1"/>
    <col min="1027" max="1027" width="11" style="356" customWidth="1"/>
    <col min="1028" max="1028" width="13.140625" style="356" customWidth="1"/>
    <col min="1029" max="1029" width="11.7109375" style="356" customWidth="1"/>
    <col min="1030" max="1030" width="11.140625" style="356" customWidth="1"/>
    <col min="1031" max="1031" width="11.7109375" style="356" customWidth="1"/>
    <col min="1032" max="1277" width="9.140625" style="356"/>
    <col min="1278" max="1278" width="5.28515625" style="356" customWidth="1"/>
    <col min="1279" max="1279" width="8" style="356" customWidth="1"/>
    <col min="1280" max="1280" width="5.85546875" style="356" customWidth="1"/>
    <col min="1281" max="1281" width="9.42578125" style="356" customWidth="1"/>
    <col min="1282" max="1282" width="11.28515625" style="356" customWidth="1"/>
    <col min="1283" max="1283" width="11" style="356" customWidth="1"/>
    <col min="1284" max="1284" width="13.140625" style="356" customWidth="1"/>
    <col min="1285" max="1285" width="11.7109375" style="356" customWidth="1"/>
    <col min="1286" max="1286" width="11.140625" style="356" customWidth="1"/>
    <col min="1287" max="1287" width="11.7109375" style="356" customWidth="1"/>
    <col min="1288" max="1533" width="9.140625" style="356"/>
    <col min="1534" max="1534" width="5.28515625" style="356" customWidth="1"/>
    <col min="1535" max="1535" width="8" style="356" customWidth="1"/>
    <col min="1536" max="1536" width="5.85546875" style="356" customWidth="1"/>
    <col min="1537" max="1537" width="9.42578125" style="356" customWidth="1"/>
    <col min="1538" max="1538" width="11.28515625" style="356" customWidth="1"/>
    <col min="1539" max="1539" width="11" style="356" customWidth="1"/>
    <col min="1540" max="1540" width="13.140625" style="356" customWidth="1"/>
    <col min="1541" max="1541" width="11.7109375" style="356" customWidth="1"/>
    <col min="1542" max="1542" width="11.140625" style="356" customWidth="1"/>
    <col min="1543" max="1543" width="11.7109375" style="356" customWidth="1"/>
    <col min="1544" max="1789" width="9.140625" style="356"/>
    <col min="1790" max="1790" width="5.28515625" style="356" customWidth="1"/>
    <col min="1791" max="1791" width="8" style="356" customWidth="1"/>
    <col min="1792" max="1792" width="5.85546875" style="356" customWidth="1"/>
    <col min="1793" max="1793" width="9.42578125" style="356" customWidth="1"/>
    <col min="1794" max="1794" width="11.28515625" style="356" customWidth="1"/>
    <col min="1795" max="1795" width="11" style="356" customWidth="1"/>
    <col min="1796" max="1796" width="13.140625" style="356" customWidth="1"/>
    <col min="1797" max="1797" width="11.7109375" style="356" customWidth="1"/>
    <col min="1798" max="1798" width="11.140625" style="356" customWidth="1"/>
    <col min="1799" max="1799" width="11.7109375" style="356" customWidth="1"/>
    <col min="1800" max="2045" width="9.140625" style="356"/>
    <col min="2046" max="2046" width="5.28515625" style="356" customWidth="1"/>
    <col min="2047" max="2047" width="8" style="356" customWidth="1"/>
    <col min="2048" max="2048" width="5.85546875" style="356" customWidth="1"/>
    <col min="2049" max="2049" width="9.42578125" style="356" customWidth="1"/>
    <col min="2050" max="2050" width="11.28515625" style="356" customWidth="1"/>
    <col min="2051" max="2051" width="11" style="356" customWidth="1"/>
    <col min="2052" max="2052" width="13.140625" style="356" customWidth="1"/>
    <col min="2053" max="2053" width="11.7109375" style="356" customWidth="1"/>
    <col min="2054" max="2054" width="11.140625" style="356" customWidth="1"/>
    <col min="2055" max="2055" width="11.7109375" style="356" customWidth="1"/>
    <col min="2056" max="2301" width="9.140625" style="356"/>
    <col min="2302" max="2302" width="5.28515625" style="356" customWidth="1"/>
    <col min="2303" max="2303" width="8" style="356" customWidth="1"/>
    <col min="2304" max="2304" width="5.85546875" style="356" customWidth="1"/>
    <col min="2305" max="2305" width="9.42578125" style="356" customWidth="1"/>
    <col min="2306" max="2306" width="11.28515625" style="356" customWidth="1"/>
    <col min="2307" max="2307" width="11" style="356" customWidth="1"/>
    <col min="2308" max="2308" width="13.140625" style="356" customWidth="1"/>
    <col min="2309" max="2309" width="11.7109375" style="356" customWidth="1"/>
    <col min="2310" max="2310" width="11.140625" style="356" customWidth="1"/>
    <col min="2311" max="2311" width="11.7109375" style="356" customWidth="1"/>
    <col min="2312" max="2557" width="9.140625" style="356"/>
    <col min="2558" max="2558" width="5.28515625" style="356" customWidth="1"/>
    <col min="2559" max="2559" width="8" style="356" customWidth="1"/>
    <col min="2560" max="2560" width="5.85546875" style="356" customWidth="1"/>
    <col min="2561" max="2561" width="9.42578125" style="356" customWidth="1"/>
    <col min="2562" max="2562" width="11.28515625" style="356" customWidth="1"/>
    <col min="2563" max="2563" width="11" style="356" customWidth="1"/>
    <col min="2564" max="2564" width="13.140625" style="356" customWidth="1"/>
    <col min="2565" max="2565" width="11.7109375" style="356" customWidth="1"/>
    <col min="2566" max="2566" width="11.140625" style="356" customWidth="1"/>
    <col min="2567" max="2567" width="11.7109375" style="356" customWidth="1"/>
    <col min="2568" max="2813" width="9.140625" style="356"/>
    <col min="2814" max="2814" width="5.28515625" style="356" customWidth="1"/>
    <col min="2815" max="2815" width="8" style="356" customWidth="1"/>
    <col min="2816" max="2816" width="5.85546875" style="356" customWidth="1"/>
    <col min="2817" max="2817" width="9.42578125" style="356" customWidth="1"/>
    <col min="2818" max="2818" width="11.28515625" style="356" customWidth="1"/>
    <col min="2819" max="2819" width="11" style="356" customWidth="1"/>
    <col min="2820" max="2820" width="13.140625" style="356" customWidth="1"/>
    <col min="2821" max="2821" width="11.7109375" style="356" customWidth="1"/>
    <col min="2822" max="2822" width="11.140625" style="356" customWidth="1"/>
    <col min="2823" max="2823" width="11.7109375" style="356" customWidth="1"/>
    <col min="2824" max="3069" width="9.140625" style="356"/>
    <col min="3070" max="3070" width="5.28515625" style="356" customWidth="1"/>
    <col min="3071" max="3071" width="8" style="356" customWidth="1"/>
    <col min="3072" max="3072" width="5.85546875" style="356" customWidth="1"/>
    <col min="3073" max="3073" width="9.42578125" style="356" customWidth="1"/>
    <col min="3074" max="3074" width="11.28515625" style="356" customWidth="1"/>
    <col min="3075" max="3075" width="11" style="356" customWidth="1"/>
    <col min="3076" max="3076" width="13.140625" style="356" customWidth="1"/>
    <col min="3077" max="3077" width="11.7109375" style="356" customWidth="1"/>
    <col min="3078" max="3078" width="11.140625" style="356" customWidth="1"/>
    <col min="3079" max="3079" width="11.7109375" style="356" customWidth="1"/>
    <col min="3080" max="3325" width="9.140625" style="356"/>
    <col min="3326" max="3326" width="5.28515625" style="356" customWidth="1"/>
    <col min="3327" max="3327" width="8" style="356" customWidth="1"/>
    <col min="3328" max="3328" width="5.85546875" style="356" customWidth="1"/>
    <col min="3329" max="3329" width="9.42578125" style="356" customWidth="1"/>
    <col min="3330" max="3330" width="11.28515625" style="356" customWidth="1"/>
    <col min="3331" max="3331" width="11" style="356" customWidth="1"/>
    <col min="3332" max="3332" width="13.140625" style="356" customWidth="1"/>
    <col min="3333" max="3333" width="11.7109375" style="356" customWidth="1"/>
    <col min="3334" max="3334" width="11.140625" style="356" customWidth="1"/>
    <col min="3335" max="3335" width="11.7109375" style="356" customWidth="1"/>
    <col min="3336" max="3581" width="9.140625" style="356"/>
    <col min="3582" max="3582" width="5.28515625" style="356" customWidth="1"/>
    <col min="3583" max="3583" width="8" style="356" customWidth="1"/>
    <col min="3584" max="3584" width="5.85546875" style="356" customWidth="1"/>
    <col min="3585" max="3585" width="9.42578125" style="356" customWidth="1"/>
    <col min="3586" max="3586" width="11.28515625" style="356" customWidth="1"/>
    <col min="3587" max="3587" width="11" style="356" customWidth="1"/>
    <col min="3588" max="3588" width="13.140625" style="356" customWidth="1"/>
    <col min="3589" max="3589" width="11.7109375" style="356" customWidth="1"/>
    <col min="3590" max="3590" width="11.140625" style="356" customWidth="1"/>
    <col min="3591" max="3591" width="11.7109375" style="356" customWidth="1"/>
    <col min="3592" max="3837" width="9.140625" style="356"/>
    <col min="3838" max="3838" width="5.28515625" style="356" customWidth="1"/>
    <col min="3839" max="3839" width="8" style="356" customWidth="1"/>
    <col min="3840" max="3840" width="5.85546875" style="356" customWidth="1"/>
    <col min="3841" max="3841" width="9.42578125" style="356" customWidth="1"/>
    <col min="3842" max="3842" width="11.28515625" style="356" customWidth="1"/>
    <col min="3843" max="3843" width="11" style="356" customWidth="1"/>
    <col min="3844" max="3844" width="13.140625" style="356" customWidth="1"/>
    <col min="3845" max="3845" width="11.7109375" style="356" customWidth="1"/>
    <col min="3846" max="3846" width="11.140625" style="356" customWidth="1"/>
    <col min="3847" max="3847" width="11.7109375" style="356" customWidth="1"/>
    <col min="3848" max="4093" width="9.140625" style="356"/>
    <col min="4094" max="4094" width="5.28515625" style="356" customWidth="1"/>
    <col min="4095" max="4095" width="8" style="356" customWidth="1"/>
    <col min="4096" max="4096" width="5.85546875" style="356" customWidth="1"/>
    <col min="4097" max="4097" width="9.42578125" style="356" customWidth="1"/>
    <col min="4098" max="4098" width="11.28515625" style="356" customWidth="1"/>
    <col min="4099" max="4099" width="11" style="356" customWidth="1"/>
    <col min="4100" max="4100" width="13.140625" style="356" customWidth="1"/>
    <col min="4101" max="4101" width="11.7109375" style="356" customWidth="1"/>
    <col min="4102" max="4102" width="11.140625" style="356" customWidth="1"/>
    <col min="4103" max="4103" width="11.7109375" style="356" customWidth="1"/>
    <col min="4104" max="4349" width="9.140625" style="356"/>
    <col min="4350" max="4350" width="5.28515625" style="356" customWidth="1"/>
    <col min="4351" max="4351" width="8" style="356" customWidth="1"/>
    <col min="4352" max="4352" width="5.85546875" style="356" customWidth="1"/>
    <col min="4353" max="4353" width="9.42578125" style="356" customWidth="1"/>
    <col min="4354" max="4354" width="11.28515625" style="356" customWidth="1"/>
    <col min="4355" max="4355" width="11" style="356" customWidth="1"/>
    <col min="4356" max="4356" width="13.140625" style="356" customWidth="1"/>
    <col min="4357" max="4357" width="11.7109375" style="356" customWidth="1"/>
    <col min="4358" max="4358" width="11.140625" style="356" customWidth="1"/>
    <col min="4359" max="4359" width="11.7109375" style="356" customWidth="1"/>
    <col min="4360" max="4605" width="9.140625" style="356"/>
    <col min="4606" max="4606" width="5.28515625" style="356" customWidth="1"/>
    <col min="4607" max="4607" width="8" style="356" customWidth="1"/>
    <col min="4608" max="4608" width="5.85546875" style="356" customWidth="1"/>
    <col min="4609" max="4609" width="9.42578125" style="356" customWidth="1"/>
    <col min="4610" max="4610" width="11.28515625" style="356" customWidth="1"/>
    <col min="4611" max="4611" width="11" style="356" customWidth="1"/>
    <col min="4612" max="4612" width="13.140625" style="356" customWidth="1"/>
    <col min="4613" max="4613" width="11.7109375" style="356" customWidth="1"/>
    <col min="4614" max="4614" width="11.140625" style="356" customWidth="1"/>
    <col min="4615" max="4615" width="11.7109375" style="356" customWidth="1"/>
    <col min="4616" max="4861" width="9.140625" style="356"/>
    <col min="4862" max="4862" width="5.28515625" style="356" customWidth="1"/>
    <col min="4863" max="4863" width="8" style="356" customWidth="1"/>
    <col min="4864" max="4864" width="5.85546875" style="356" customWidth="1"/>
    <col min="4865" max="4865" width="9.42578125" style="356" customWidth="1"/>
    <col min="4866" max="4866" width="11.28515625" style="356" customWidth="1"/>
    <col min="4867" max="4867" width="11" style="356" customWidth="1"/>
    <col min="4868" max="4868" width="13.140625" style="356" customWidth="1"/>
    <col min="4869" max="4869" width="11.7109375" style="356" customWidth="1"/>
    <col min="4870" max="4870" width="11.140625" style="356" customWidth="1"/>
    <col min="4871" max="4871" width="11.7109375" style="356" customWidth="1"/>
    <col min="4872" max="5117" width="9.140625" style="356"/>
    <col min="5118" max="5118" width="5.28515625" style="356" customWidth="1"/>
    <col min="5119" max="5119" width="8" style="356" customWidth="1"/>
    <col min="5120" max="5120" width="5.85546875" style="356" customWidth="1"/>
    <col min="5121" max="5121" width="9.42578125" style="356" customWidth="1"/>
    <col min="5122" max="5122" width="11.28515625" style="356" customWidth="1"/>
    <col min="5123" max="5123" width="11" style="356" customWidth="1"/>
    <col min="5124" max="5124" width="13.140625" style="356" customWidth="1"/>
    <col min="5125" max="5125" width="11.7109375" style="356" customWidth="1"/>
    <col min="5126" max="5126" width="11.140625" style="356" customWidth="1"/>
    <col min="5127" max="5127" width="11.7109375" style="356" customWidth="1"/>
    <col min="5128" max="5373" width="9.140625" style="356"/>
    <col min="5374" max="5374" width="5.28515625" style="356" customWidth="1"/>
    <col min="5375" max="5375" width="8" style="356" customWidth="1"/>
    <col min="5376" max="5376" width="5.85546875" style="356" customWidth="1"/>
    <col min="5377" max="5377" width="9.42578125" style="356" customWidth="1"/>
    <col min="5378" max="5378" width="11.28515625" style="356" customWidth="1"/>
    <col min="5379" max="5379" width="11" style="356" customWidth="1"/>
    <col min="5380" max="5380" width="13.140625" style="356" customWidth="1"/>
    <col min="5381" max="5381" width="11.7109375" style="356" customWidth="1"/>
    <col min="5382" max="5382" width="11.140625" style="356" customWidth="1"/>
    <col min="5383" max="5383" width="11.7109375" style="356" customWidth="1"/>
    <col min="5384" max="5629" width="9.140625" style="356"/>
    <col min="5630" max="5630" width="5.28515625" style="356" customWidth="1"/>
    <col min="5631" max="5631" width="8" style="356" customWidth="1"/>
    <col min="5632" max="5632" width="5.85546875" style="356" customWidth="1"/>
    <col min="5633" max="5633" width="9.42578125" style="356" customWidth="1"/>
    <col min="5634" max="5634" width="11.28515625" style="356" customWidth="1"/>
    <col min="5635" max="5635" width="11" style="356" customWidth="1"/>
    <col min="5636" max="5636" width="13.140625" style="356" customWidth="1"/>
    <col min="5637" max="5637" width="11.7109375" style="356" customWidth="1"/>
    <col min="5638" max="5638" width="11.140625" style="356" customWidth="1"/>
    <col min="5639" max="5639" width="11.7109375" style="356" customWidth="1"/>
    <col min="5640" max="5885" width="9.140625" style="356"/>
    <col min="5886" max="5886" width="5.28515625" style="356" customWidth="1"/>
    <col min="5887" max="5887" width="8" style="356" customWidth="1"/>
    <col min="5888" max="5888" width="5.85546875" style="356" customWidth="1"/>
    <col min="5889" max="5889" width="9.42578125" style="356" customWidth="1"/>
    <col min="5890" max="5890" width="11.28515625" style="356" customWidth="1"/>
    <col min="5891" max="5891" width="11" style="356" customWidth="1"/>
    <col min="5892" max="5892" width="13.140625" style="356" customWidth="1"/>
    <col min="5893" max="5893" width="11.7109375" style="356" customWidth="1"/>
    <col min="5894" max="5894" width="11.140625" style="356" customWidth="1"/>
    <col min="5895" max="5895" width="11.7109375" style="356" customWidth="1"/>
    <col min="5896" max="6141" width="9.140625" style="356"/>
    <col min="6142" max="6142" width="5.28515625" style="356" customWidth="1"/>
    <col min="6143" max="6143" width="8" style="356" customWidth="1"/>
    <col min="6144" max="6144" width="5.85546875" style="356" customWidth="1"/>
    <col min="6145" max="6145" width="9.42578125" style="356" customWidth="1"/>
    <col min="6146" max="6146" width="11.28515625" style="356" customWidth="1"/>
    <col min="6147" max="6147" width="11" style="356" customWidth="1"/>
    <col min="6148" max="6148" width="13.140625" style="356" customWidth="1"/>
    <col min="6149" max="6149" width="11.7109375" style="356" customWidth="1"/>
    <col min="6150" max="6150" width="11.140625" style="356" customWidth="1"/>
    <col min="6151" max="6151" width="11.7109375" style="356" customWidth="1"/>
    <col min="6152" max="6397" width="9.140625" style="356"/>
    <col min="6398" max="6398" width="5.28515625" style="356" customWidth="1"/>
    <col min="6399" max="6399" width="8" style="356" customWidth="1"/>
    <col min="6400" max="6400" width="5.85546875" style="356" customWidth="1"/>
    <col min="6401" max="6401" width="9.42578125" style="356" customWidth="1"/>
    <col min="6402" max="6402" width="11.28515625" style="356" customWidth="1"/>
    <col min="6403" max="6403" width="11" style="356" customWidth="1"/>
    <col min="6404" max="6404" width="13.140625" style="356" customWidth="1"/>
    <col min="6405" max="6405" width="11.7109375" style="356" customWidth="1"/>
    <col min="6406" max="6406" width="11.140625" style="356" customWidth="1"/>
    <col min="6407" max="6407" width="11.7109375" style="356" customWidth="1"/>
    <col min="6408" max="6653" width="9.140625" style="356"/>
    <col min="6654" max="6654" width="5.28515625" style="356" customWidth="1"/>
    <col min="6655" max="6655" width="8" style="356" customWidth="1"/>
    <col min="6656" max="6656" width="5.85546875" style="356" customWidth="1"/>
    <col min="6657" max="6657" width="9.42578125" style="356" customWidth="1"/>
    <col min="6658" max="6658" width="11.28515625" style="356" customWidth="1"/>
    <col min="6659" max="6659" width="11" style="356" customWidth="1"/>
    <col min="6660" max="6660" width="13.140625" style="356" customWidth="1"/>
    <col min="6661" max="6661" width="11.7109375" style="356" customWidth="1"/>
    <col min="6662" max="6662" width="11.140625" style="356" customWidth="1"/>
    <col min="6663" max="6663" width="11.7109375" style="356" customWidth="1"/>
    <col min="6664" max="6909" width="9.140625" style="356"/>
    <col min="6910" max="6910" width="5.28515625" style="356" customWidth="1"/>
    <col min="6911" max="6911" width="8" style="356" customWidth="1"/>
    <col min="6912" max="6912" width="5.85546875" style="356" customWidth="1"/>
    <col min="6913" max="6913" width="9.42578125" style="356" customWidth="1"/>
    <col min="6914" max="6914" width="11.28515625" style="356" customWidth="1"/>
    <col min="6915" max="6915" width="11" style="356" customWidth="1"/>
    <col min="6916" max="6916" width="13.140625" style="356" customWidth="1"/>
    <col min="6917" max="6917" width="11.7109375" style="356" customWidth="1"/>
    <col min="6918" max="6918" width="11.140625" style="356" customWidth="1"/>
    <col min="6919" max="6919" width="11.7109375" style="356" customWidth="1"/>
    <col min="6920" max="7165" width="9.140625" style="356"/>
    <col min="7166" max="7166" width="5.28515625" style="356" customWidth="1"/>
    <col min="7167" max="7167" width="8" style="356" customWidth="1"/>
    <col min="7168" max="7168" width="5.85546875" style="356" customWidth="1"/>
    <col min="7169" max="7169" width="9.42578125" style="356" customWidth="1"/>
    <col min="7170" max="7170" width="11.28515625" style="356" customWidth="1"/>
    <col min="7171" max="7171" width="11" style="356" customWidth="1"/>
    <col min="7172" max="7172" width="13.140625" style="356" customWidth="1"/>
    <col min="7173" max="7173" width="11.7109375" style="356" customWidth="1"/>
    <col min="7174" max="7174" width="11.140625" style="356" customWidth="1"/>
    <col min="7175" max="7175" width="11.7109375" style="356" customWidth="1"/>
    <col min="7176" max="7421" width="9.140625" style="356"/>
    <col min="7422" max="7422" width="5.28515625" style="356" customWidth="1"/>
    <col min="7423" max="7423" width="8" style="356" customWidth="1"/>
    <col min="7424" max="7424" width="5.85546875" style="356" customWidth="1"/>
    <col min="7425" max="7425" width="9.42578125" style="356" customWidth="1"/>
    <col min="7426" max="7426" width="11.28515625" style="356" customWidth="1"/>
    <col min="7427" max="7427" width="11" style="356" customWidth="1"/>
    <col min="7428" max="7428" width="13.140625" style="356" customWidth="1"/>
    <col min="7429" max="7429" width="11.7109375" style="356" customWidth="1"/>
    <col min="7430" max="7430" width="11.140625" style="356" customWidth="1"/>
    <col min="7431" max="7431" width="11.7109375" style="356" customWidth="1"/>
    <col min="7432" max="7677" width="9.140625" style="356"/>
    <col min="7678" max="7678" width="5.28515625" style="356" customWidth="1"/>
    <col min="7679" max="7679" width="8" style="356" customWidth="1"/>
    <col min="7680" max="7680" width="5.85546875" style="356" customWidth="1"/>
    <col min="7681" max="7681" width="9.42578125" style="356" customWidth="1"/>
    <col min="7682" max="7682" width="11.28515625" style="356" customWidth="1"/>
    <col min="7683" max="7683" width="11" style="356" customWidth="1"/>
    <col min="7684" max="7684" width="13.140625" style="356" customWidth="1"/>
    <col min="7685" max="7685" width="11.7109375" style="356" customWidth="1"/>
    <col min="7686" max="7686" width="11.140625" style="356" customWidth="1"/>
    <col min="7687" max="7687" width="11.7109375" style="356" customWidth="1"/>
    <col min="7688" max="7933" width="9.140625" style="356"/>
    <col min="7934" max="7934" width="5.28515625" style="356" customWidth="1"/>
    <col min="7935" max="7935" width="8" style="356" customWidth="1"/>
    <col min="7936" max="7936" width="5.85546875" style="356" customWidth="1"/>
    <col min="7937" max="7937" width="9.42578125" style="356" customWidth="1"/>
    <col min="7938" max="7938" width="11.28515625" style="356" customWidth="1"/>
    <col min="7939" max="7939" width="11" style="356" customWidth="1"/>
    <col min="7940" max="7940" width="13.140625" style="356" customWidth="1"/>
    <col min="7941" max="7941" width="11.7109375" style="356" customWidth="1"/>
    <col min="7942" max="7942" width="11.140625" style="356" customWidth="1"/>
    <col min="7943" max="7943" width="11.7109375" style="356" customWidth="1"/>
    <col min="7944" max="8189" width="9.140625" style="356"/>
    <col min="8190" max="8190" width="5.28515625" style="356" customWidth="1"/>
    <col min="8191" max="8191" width="8" style="356" customWidth="1"/>
    <col min="8192" max="8192" width="5.85546875" style="356" customWidth="1"/>
    <col min="8193" max="8193" width="9.42578125" style="356" customWidth="1"/>
    <col min="8194" max="8194" width="11.28515625" style="356" customWidth="1"/>
    <col min="8195" max="8195" width="11" style="356" customWidth="1"/>
    <col min="8196" max="8196" width="13.140625" style="356" customWidth="1"/>
    <col min="8197" max="8197" width="11.7109375" style="356" customWidth="1"/>
    <col min="8198" max="8198" width="11.140625" style="356" customWidth="1"/>
    <col min="8199" max="8199" width="11.7109375" style="356" customWidth="1"/>
    <col min="8200" max="8445" width="9.140625" style="356"/>
    <col min="8446" max="8446" width="5.28515625" style="356" customWidth="1"/>
    <col min="8447" max="8447" width="8" style="356" customWidth="1"/>
    <col min="8448" max="8448" width="5.85546875" style="356" customWidth="1"/>
    <col min="8449" max="8449" width="9.42578125" style="356" customWidth="1"/>
    <col min="8450" max="8450" width="11.28515625" style="356" customWidth="1"/>
    <col min="8451" max="8451" width="11" style="356" customWidth="1"/>
    <col min="8452" max="8452" width="13.140625" style="356" customWidth="1"/>
    <col min="8453" max="8453" width="11.7109375" style="356" customWidth="1"/>
    <col min="8454" max="8454" width="11.140625" style="356" customWidth="1"/>
    <col min="8455" max="8455" width="11.7109375" style="356" customWidth="1"/>
    <col min="8456" max="8701" width="9.140625" style="356"/>
    <col min="8702" max="8702" width="5.28515625" style="356" customWidth="1"/>
    <col min="8703" max="8703" width="8" style="356" customWidth="1"/>
    <col min="8704" max="8704" width="5.85546875" style="356" customWidth="1"/>
    <col min="8705" max="8705" width="9.42578125" style="356" customWidth="1"/>
    <col min="8706" max="8706" width="11.28515625" style="356" customWidth="1"/>
    <col min="8707" max="8707" width="11" style="356" customWidth="1"/>
    <col min="8708" max="8708" width="13.140625" style="356" customWidth="1"/>
    <col min="8709" max="8709" width="11.7109375" style="356" customWidth="1"/>
    <col min="8710" max="8710" width="11.140625" style="356" customWidth="1"/>
    <col min="8711" max="8711" width="11.7109375" style="356" customWidth="1"/>
    <col min="8712" max="8957" width="9.140625" style="356"/>
    <col min="8958" max="8958" width="5.28515625" style="356" customWidth="1"/>
    <col min="8959" max="8959" width="8" style="356" customWidth="1"/>
    <col min="8960" max="8960" width="5.85546875" style="356" customWidth="1"/>
    <col min="8961" max="8961" width="9.42578125" style="356" customWidth="1"/>
    <col min="8962" max="8962" width="11.28515625" style="356" customWidth="1"/>
    <col min="8963" max="8963" width="11" style="356" customWidth="1"/>
    <col min="8964" max="8964" width="13.140625" style="356" customWidth="1"/>
    <col min="8965" max="8965" width="11.7109375" style="356" customWidth="1"/>
    <col min="8966" max="8966" width="11.140625" style="356" customWidth="1"/>
    <col min="8967" max="8967" width="11.7109375" style="356" customWidth="1"/>
    <col min="8968" max="9213" width="9.140625" style="356"/>
    <col min="9214" max="9214" width="5.28515625" style="356" customWidth="1"/>
    <col min="9215" max="9215" width="8" style="356" customWidth="1"/>
    <col min="9216" max="9216" width="5.85546875" style="356" customWidth="1"/>
    <col min="9217" max="9217" width="9.42578125" style="356" customWidth="1"/>
    <col min="9218" max="9218" width="11.28515625" style="356" customWidth="1"/>
    <col min="9219" max="9219" width="11" style="356" customWidth="1"/>
    <col min="9220" max="9220" width="13.140625" style="356" customWidth="1"/>
    <col min="9221" max="9221" width="11.7109375" style="356" customWidth="1"/>
    <col min="9222" max="9222" width="11.140625" style="356" customWidth="1"/>
    <col min="9223" max="9223" width="11.7109375" style="356" customWidth="1"/>
    <col min="9224" max="9469" width="9.140625" style="356"/>
    <col min="9470" max="9470" width="5.28515625" style="356" customWidth="1"/>
    <col min="9471" max="9471" width="8" style="356" customWidth="1"/>
    <col min="9472" max="9472" width="5.85546875" style="356" customWidth="1"/>
    <col min="9473" max="9473" width="9.42578125" style="356" customWidth="1"/>
    <col min="9474" max="9474" width="11.28515625" style="356" customWidth="1"/>
    <col min="9475" max="9475" width="11" style="356" customWidth="1"/>
    <col min="9476" max="9476" width="13.140625" style="356" customWidth="1"/>
    <col min="9477" max="9477" width="11.7109375" style="356" customWidth="1"/>
    <col min="9478" max="9478" width="11.140625" style="356" customWidth="1"/>
    <col min="9479" max="9479" width="11.7109375" style="356" customWidth="1"/>
    <col min="9480" max="9725" width="9.140625" style="356"/>
    <col min="9726" max="9726" width="5.28515625" style="356" customWidth="1"/>
    <col min="9727" max="9727" width="8" style="356" customWidth="1"/>
    <col min="9728" max="9728" width="5.85546875" style="356" customWidth="1"/>
    <col min="9729" max="9729" width="9.42578125" style="356" customWidth="1"/>
    <col min="9730" max="9730" width="11.28515625" style="356" customWidth="1"/>
    <col min="9731" max="9731" width="11" style="356" customWidth="1"/>
    <col min="9732" max="9732" width="13.140625" style="356" customWidth="1"/>
    <col min="9733" max="9733" width="11.7109375" style="356" customWidth="1"/>
    <col min="9734" max="9734" width="11.140625" style="356" customWidth="1"/>
    <col min="9735" max="9735" width="11.7109375" style="356" customWidth="1"/>
    <col min="9736" max="9981" width="9.140625" style="356"/>
    <col min="9982" max="9982" width="5.28515625" style="356" customWidth="1"/>
    <col min="9983" max="9983" width="8" style="356" customWidth="1"/>
    <col min="9984" max="9984" width="5.85546875" style="356" customWidth="1"/>
    <col min="9985" max="9985" width="9.42578125" style="356" customWidth="1"/>
    <col min="9986" max="9986" width="11.28515625" style="356" customWidth="1"/>
    <col min="9987" max="9987" width="11" style="356" customWidth="1"/>
    <col min="9988" max="9988" width="13.140625" style="356" customWidth="1"/>
    <col min="9989" max="9989" width="11.7109375" style="356" customWidth="1"/>
    <col min="9990" max="9990" width="11.140625" style="356" customWidth="1"/>
    <col min="9991" max="9991" width="11.7109375" style="356" customWidth="1"/>
    <col min="9992" max="10237" width="9.140625" style="356"/>
    <col min="10238" max="10238" width="5.28515625" style="356" customWidth="1"/>
    <col min="10239" max="10239" width="8" style="356" customWidth="1"/>
    <col min="10240" max="10240" width="5.85546875" style="356" customWidth="1"/>
    <col min="10241" max="10241" width="9.42578125" style="356" customWidth="1"/>
    <col min="10242" max="10242" width="11.28515625" style="356" customWidth="1"/>
    <col min="10243" max="10243" width="11" style="356" customWidth="1"/>
    <col min="10244" max="10244" width="13.140625" style="356" customWidth="1"/>
    <col min="10245" max="10245" width="11.7109375" style="356" customWidth="1"/>
    <col min="10246" max="10246" width="11.140625" style="356" customWidth="1"/>
    <col min="10247" max="10247" width="11.7109375" style="356" customWidth="1"/>
    <col min="10248" max="10493" width="9.140625" style="356"/>
    <col min="10494" max="10494" width="5.28515625" style="356" customWidth="1"/>
    <col min="10495" max="10495" width="8" style="356" customWidth="1"/>
    <col min="10496" max="10496" width="5.85546875" style="356" customWidth="1"/>
    <col min="10497" max="10497" width="9.42578125" style="356" customWidth="1"/>
    <col min="10498" max="10498" width="11.28515625" style="356" customWidth="1"/>
    <col min="10499" max="10499" width="11" style="356" customWidth="1"/>
    <col min="10500" max="10500" width="13.140625" style="356" customWidth="1"/>
    <col min="10501" max="10501" width="11.7109375" style="356" customWidth="1"/>
    <col min="10502" max="10502" width="11.140625" style="356" customWidth="1"/>
    <col min="10503" max="10503" width="11.7109375" style="356" customWidth="1"/>
    <col min="10504" max="10749" width="9.140625" style="356"/>
    <col min="10750" max="10750" width="5.28515625" style="356" customWidth="1"/>
    <col min="10751" max="10751" width="8" style="356" customWidth="1"/>
    <col min="10752" max="10752" width="5.85546875" style="356" customWidth="1"/>
    <col min="10753" max="10753" width="9.42578125" style="356" customWidth="1"/>
    <col min="10754" max="10754" width="11.28515625" style="356" customWidth="1"/>
    <col min="10755" max="10755" width="11" style="356" customWidth="1"/>
    <col min="10756" max="10756" width="13.140625" style="356" customWidth="1"/>
    <col min="10757" max="10757" width="11.7109375" style="356" customWidth="1"/>
    <col min="10758" max="10758" width="11.140625" style="356" customWidth="1"/>
    <col min="10759" max="10759" width="11.7109375" style="356" customWidth="1"/>
    <col min="10760" max="11005" width="9.140625" style="356"/>
    <col min="11006" max="11006" width="5.28515625" style="356" customWidth="1"/>
    <col min="11007" max="11007" width="8" style="356" customWidth="1"/>
    <col min="11008" max="11008" width="5.85546875" style="356" customWidth="1"/>
    <col min="11009" max="11009" width="9.42578125" style="356" customWidth="1"/>
    <col min="11010" max="11010" width="11.28515625" style="356" customWidth="1"/>
    <col min="11011" max="11011" width="11" style="356" customWidth="1"/>
    <col min="11012" max="11012" width="13.140625" style="356" customWidth="1"/>
    <col min="11013" max="11013" width="11.7109375" style="356" customWidth="1"/>
    <col min="11014" max="11014" width="11.140625" style="356" customWidth="1"/>
    <col min="11015" max="11015" width="11.7109375" style="356" customWidth="1"/>
    <col min="11016" max="11261" width="9.140625" style="356"/>
    <col min="11262" max="11262" width="5.28515625" style="356" customWidth="1"/>
    <col min="11263" max="11263" width="8" style="356" customWidth="1"/>
    <col min="11264" max="11264" width="5.85546875" style="356" customWidth="1"/>
    <col min="11265" max="11265" width="9.42578125" style="356" customWidth="1"/>
    <col min="11266" max="11266" width="11.28515625" style="356" customWidth="1"/>
    <col min="11267" max="11267" width="11" style="356" customWidth="1"/>
    <col min="11268" max="11268" width="13.140625" style="356" customWidth="1"/>
    <col min="11269" max="11269" width="11.7109375" style="356" customWidth="1"/>
    <col min="11270" max="11270" width="11.140625" style="356" customWidth="1"/>
    <col min="11271" max="11271" width="11.7109375" style="356" customWidth="1"/>
    <col min="11272" max="11517" width="9.140625" style="356"/>
    <col min="11518" max="11518" width="5.28515625" style="356" customWidth="1"/>
    <col min="11519" max="11519" width="8" style="356" customWidth="1"/>
    <col min="11520" max="11520" width="5.85546875" style="356" customWidth="1"/>
    <col min="11521" max="11521" width="9.42578125" style="356" customWidth="1"/>
    <col min="11522" max="11522" width="11.28515625" style="356" customWidth="1"/>
    <col min="11523" max="11523" width="11" style="356" customWidth="1"/>
    <col min="11524" max="11524" width="13.140625" style="356" customWidth="1"/>
    <col min="11525" max="11525" width="11.7109375" style="356" customWidth="1"/>
    <col min="11526" max="11526" width="11.140625" style="356" customWidth="1"/>
    <col min="11527" max="11527" width="11.7109375" style="356" customWidth="1"/>
    <col min="11528" max="11773" width="9.140625" style="356"/>
    <col min="11774" max="11774" width="5.28515625" style="356" customWidth="1"/>
    <col min="11775" max="11775" width="8" style="356" customWidth="1"/>
    <col min="11776" max="11776" width="5.85546875" style="356" customWidth="1"/>
    <col min="11777" max="11777" width="9.42578125" style="356" customWidth="1"/>
    <col min="11778" max="11778" width="11.28515625" style="356" customWidth="1"/>
    <col min="11779" max="11779" width="11" style="356" customWidth="1"/>
    <col min="11780" max="11780" width="13.140625" style="356" customWidth="1"/>
    <col min="11781" max="11781" width="11.7109375" style="356" customWidth="1"/>
    <col min="11782" max="11782" width="11.140625" style="356" customWidth="1"/>
    <col min="11783" max="11783" width="11.7109375" style="356" customWidth="1"/>
    <col min="11784" max="12029" width="9.140625" style="356"/>
    <col min="12030" max="12030" width="5.28515625" style="356" customWidth="1"/>
    <col min="12031" max="12031" width="8" style="356" customWidth="1"/>
    <col min="12032" max="12032" width="5.85546875" style="356" customWidth="1"/>
    <col min="12033" max="12033" width="9.42578125" style="356" customWidth="1"/>
    <col min="12034" max="12034" width="11.28515625" style="356" customWidth="1"/>
    <col min="12035" max="12035" width="11" style="356" customWidth="1"/>
    <col min="12036" max="12036" width="13.140625" style="356" customWidth="1"/>
    <col min="12037" max="12037" width="11.7109375" style="356" customWidth="1"/>
    <col min="12038" max="12038" width="11.140625" style="356" customWidth="1"/>
    <col min="12039" max="12039" width="11.7109375" style="356" customWidth="1"/>
    <col min="12040" max="12285" width="9.140625" style="356"/>
    <col min="12286" max="12286" width="5.28515625" style="356" customWidth="1"/>
    <col min="12287" max="12287" width="8" style="356" customWidth="1"/>
    <col min="12288" max="12288" width="5.85546875" style="356" customWidth="1"/>
    <col min="12289" max="12289" width="9.42578125" style="356" customWidth="1"/>
    <col min="12290" max="12290" width="11.28515625" style="356" customWidth="1"/>
    <col min="12291" max="12291" width="11" style="356" customWidth="1"/>
    <col min="12292" max="12292" width="13.140625" style="356" customWidth="1"/>
    <col min="12293" max="12293" width="11.7109375" style="356" customWidth="1"/>
    <col min="12294" max="12294" width="11.140625" style="356" customWidth="1"/>
    <col min="12295" max="12295" width="11.7109375" style="356" customWidth="1"/>
    <col min="12296" max="12541" width="9.140625" style="356"/>
    <col min="12542" max="12542" width="5.28515625" style="356" customWidth="1"/>
    <col min="12543" max="12543" width="8" style="356" customWidth="1"/>
    <col min="12544" max="12544" width="5.85546875" style="356" customWidth="1"/>
    <col min="12545" max="12545" width="9.42578125" style="356" customWidth="1"/>
    <col min="12546" max="12546" width="11.28515625" style="356" customWidth="1"/>
    <col min="12547" max="12547" width="11" style="356" customWidth="1"/>
    <col min="12548" max="12548" width="13.140625" style="356" customWidth="1"/>
    <col min="12549" max="12549" width="11.7109375" style="356" customWidth="1"/>
    <col min="12550" max="12550" width="11.140625" style="356" customWidth="1"/>
    <col min="12551" max="12551" width="11.7109375" style="356" customWidth="1"/>
    <col min="12552" max="12797" width="9.140625" style="356"/>
    <col min="12798" max="12798" width="5.28515625" style="356" customWidth="1"/>
    <col min="12799" max="12799" width="8" style="356" customWidth="1"/>
    <col min="12800" max="12800" width="5.85546875" style="356" customWidth="1"/>
    <col min="12801" max="12801" width="9.42578125" style="356" customWidth="1"/>
    <col min="12802" max="12802" width="11.28515625" style="356" customWidth="1"/>
    <col min="12803" max="12803" width="11" style="356" customWidth="1"/>
    <col min="12804" max="12804" width="13.140625" style="356" customWidth="1"/>
    <col min="12805" max="12805" width="11.7109375" style="356" customWidth="1"/>
    <col min="12806" max="12806" width="11.140625" style="356" customWidth="1"/>
    <col min="12807" max="12807" width="11.7109375" style="356" customWidth="1"/>
    <col min="12808" max="13053" width="9.140625" style="356"/>
    <col min="13054" max="13054" width="5.28515625" style="356" customWidth="1"/>
    <col min="13055" max="13055" width="8" style="356" customWidth="1"/>
    <col min="13056" max="13056" width="5.85546875" style="356" customWidth="1"/>
    <col min="13057" max="13057" width="9.42578125" style="356" customWidth="1"/>
    <col min="13058" max="13058" width="11.28515625" style="356" customWidth="1"/>
    <col min="13059" max="13059" width="11" style="356" customWidth="1"/>
    <col min="13060" max="13060" width="13.140625" style="356" customWidth="1"/>
    <col min="13061" max="13061" width="11.7109375" style="356" customWidth="1"/>
    <col min="13062" max="13062" width="11.140625" style="356" customWidth="1"/>
    <col min="13063" max="13063" width="11.7109375" style="356" customWidth="1"/>
    <col min="13064" max="13309" width="9.140625" style="356"/>
    <col min="13310" max="13310" width="5.28515625" style="356" customWidth="1"/>
    <col min="13311" max="13311" width="8" style="356" customWidth="1"/>
    <col min="13312" max="13312" width="5.85546875" style="356" customWidth="1"/>
    <col min="13313" max="13313" width="9.42578125" style="356" customWidth="1"/>
    <col min="13314" max="13314" width="11.28515625" style="356" customWidth="1"/>
    <col min="13315" max="13315" width="11" style="356" customWidth="1"/>
    <col min="13316" max="13316" width="13.140625" style="356" customWidth="1"/>
    <col min="13317" max="13317" width="11.7109375" style="356" customWidth="1"/>
    <col min="13318" max="13318" width="11.140625" style="356" customWidth="1"/>
    <col min="13319" max="13319" width="11.7109375" style="356" customWidth="1"/>
    <col min="13320" max="13565" width="9.140625" style="356"/>
    <col min="13566" max="13566" width="5.28515625" style="356" customWidth="1"/>
    <col min="13567" max="13567" width="8" style="356" customWidth="1"/>
    <col min="13568" max="13568" width="5.85546875" style="356" customWidth="1"/>
    <col min="13569" max="13569" width="9.42578125" style="356" customWidth="1"/>
    <col min="13570" max="13570" width="11.28515625" style="356" customWidth="1"/>
    <col min="13571" max="13571" width="11" style="356" customWidth="1"/>
    <col min="13572" max="13572" width="13.140625" style="356" customWidth="1"/>
    <col min="13573" max="13573" width="11.7109375" style="356" customWidth="1"/>
    <col min="13574" max="13574" width="11.140625" style="356" customWidth="1"/>
    <col min="13575" max="13575" width="11.7109375" style="356" customWidth="1"/>
    <col min="13576" max="13821" width="9.140625" style="356"/>
    <col min="13822" max="13822" width="5.28515625" style="356" customWidth="1"/>
    <col min="13823" max="13823" width="8" style="356" customWidth="1"/>
    <col min="13824" max="13824" width="5.85546875" style="356" customWidth="1"/>
    <col min="13825" max="13825" width="9.42578125" style="356" customWidth="1"/>
    <col min="13826" max="13826" width="11.28515625" style="356" customWidth="1"/>
    <col min="13827" max="13827" width="11" style="356" customWidth="1"/>
    <col min="13828" max="13828" width="13.140625" style="356" customWidth="1"/>
    <col min="13829" max="13829" width="11.7109375" style="356" customWidth="1"/>
    <col min="13830" max="13830" width="11.140625" style="356" customWidth="1"/>
    <col min="13831" max="13831" width="11.7109375" style="356" customWidth="1"/>
    <col min="13832" max="14077" width="9.140625" style="356"/>
    <col min="14078" max="14078" width="5.28515625" style="356" customWidth="1"/>
    <col min="14079" max="14079" width="8" style="356" customWidth="1"/>
    <col min="14080" max="14080" width="5.85546875" style="356" customWidth="1"/>
    <col min="14081" max="14081" width="9.42578125" style="356" customWidth="1"/>
    <col min="14082" max="14082" width="11.28515625" style="356" customWidth="1"/>
    <col min="14083" max="14083" width="11" style="356" customWidth="1"/>
    <col min="14084" max="14084" width="13.140625" style="356" customWidth="1"/>
    <col min="14085" max="14085" width="11.7109375" style="356" customWidth="1"/>
    <col min="14086" max="14086" width="11.140625" style="356" customWidth="1"/>
    <col min="14087" max="14087" width="11.7109375" style="356" customWidth="1"/>
    <col min="14088" max="14333" width="9.140625" style="356"/>
    <col min="14334" max="14334" width="5.28515625" style="356" customWidth="1"/>
    <col min="14335" max="14335" width="8" style="356" customWidth="1"/>
    <col min="14336" max="14336" width="5.85546875" style="356" customWidth="1"/>
    <col min="14337" max="14337" width="9.42578125" style="356" customWidth="1"/>
    <col min="14338" max="14338" width="11.28515625" style="356" customWidth="1"/>
    <col min="14339" max="14339" width="11" style="356" customWidth="1"/>
    <col min="14340" max="14340" width="13.140625" style="356" customWidth="1"/>
    <col min="14341" max="14341" width="11.7109375" style="356" customWidth="1"/>
    <col min="14342" max="14342" width="11.140625" style="356" customWidth="1"/>
    <col min="14343" max="14343" width="11.7109375" style="356" customWidth="1"/>
    <col min="14344" max="14589" width="9.140625" style="356"/>
    <col min="14590" max="14590" width="5.28515625" style="356" customWidth="1"/>
    <col min="14591" max="14591" width="8" style="356" customWidth="1"/>
    <col min="14592" max="14592" width="5.85546875" style="356" customWidth="1"/>
    <col min="14593" max="14593" width="9.42578125" style="356" customWidth="1"/>
    <col min="14594" max="14594" width="11.28515625" style="356" customWidth="1"/>
    <col min="14595" max="14595" width="11" style="356" customWidth="1"/>
    <col min="14596" max="14596" width="13.140625" style="356" customWidth="1"/>
    <col min="14597" max="14597" width="11.7109375" style="356" customWidth="1"/>
    <col min="14598" max="14598" width="11.140625" style="356" customWidth="1"/>
    <col min="14599" max="14599" width="11.7109375" style="356" customWidth="1"/>
    <col min="14600" max="14845" width="9.140625" style="356"/>
    <col min="14846" max="14846" width="5.28515625" style="356" customWidth="1"/>
    <col min="14847" max="14847" width="8" style="356" customWidth="1"/>
    <col min="14848" max="14848" width="5.85546875" style="356" customWidth="1"/>
    <col min="14849" max="14849" width="9.42578125" style="356" customWidth="1"/>
    <col min="14850" max="14850" width="11.28515625" style="356" customWidth="1"/>
    <col min="14851" max="14851" width="11" style="356" customWidth="1"/>
    <col min="14852" max="14852" width="13.140625" style="356" customWidth="1"/>
    <col min="14853" max="14853" width="11.7109375" style="356" customWidth="1"/>
    <col min="14854" max="14854" width="11.140625" style="356" customWidth="1"/>
    <col min="14855" max="14855" width="11.7109375" style="356" customWidth="1"/>
    <col min="14856" max="15101" width="9.140625" style="356"/>
    <col min="15102" max="15102" width="5.28515625" style="356" customWidth="1"/>
    <col min="15103" max="15103" width="8" style="356" customWidth="1"/>
    <col min="15104" max="15104" width="5.85546875" style="356" customWidth="1"/>
    <col min="15105" max="15105" width="9.42578125" style="356" customWidth="1"/>
    <col min="15106" max="15106" width="11.28515625" style="356" customWidth="1"/>
    <col min="15107" max="15107" width="11" style="356" customWidth="1"/>
    <col min="15108" max="15108" width="13.140625" style="356" customWidth="1"/>
    <col min="15109" max="15109" width="11.7109375" style="356" customWidth="1"/>
    <col min="15110" max="15110" width="11.140625" style="356" customWidth="1"/>
    <col min="15111" max="15111" width="11.7109375" style="356" customWidth="1"/>
    <col min="15112" max="15357" width="9.140625" style="356"/>
    <col min="15358" max="15358" width="5.28515625" style="356" customWidth="1"/>
    <col min="15359" max="15359" width="8" style="356" customWidth="1"/>
    <col min="15360" max="15360" width="5.85546875" style="356" customWidth="1"/>
    <col min="15361" max="15361" width="9.42578125" style="356" customWidth="1"/>
    <col min="15362" max="15362" width="11.28515625" style="356" customWidth="1"/>
    <col min="15363" max="15363" width="11" style="356" customWidth="1"/>
    <col min="15364" max="15364" width="13.140625" style="356" customWidth="1"/>
    <col min="15365" max="15365" width="11.7109375" style="356" customWidth="1"/>
    <col min="15366" max="15366" width="11.140625" style="356" customWidth="1"/>
    <col min="15367" max="15367" width="11.7109375" style="356" customWidth="1"/>
    <col min="15368" max="15613" width="9.140625" style="356"/>
    <col min="15614" max="15614" width="5.28515625" style="356" customWidth="1"/>
    <col min="15615" max="15615" width="8" style="356" customWidth="1"/>
    <col min="15616" max="15616" width="5.85546875" style="356" customWidth="1"/>
    <col min="15617" max="15617" width="9.42578125" style="356" customWidth="1"/>
    <col min="15618" max="15618" width="11.28515625" style="356" customWidth="1"/>
    <col min="15619" max="15619" width="11" style="356" customWidth="1"/>
    <col min="15620" max="15620" width="13.140625" style="356" customWidth="1"/>
    <col min="15621" max="15621" width="11.7109375" style="356" customWidth="1"/>
    <col min="15622" max="15622" width="11.140625" style="356" customWidth="1"/>
    <col min="15623" max="15623" width="11.7109375" style="356" customWidth="1"/>
    <col min="15624" max="15869" width="9.140625" style="356"/>
    <col min="15870" max="15870" width="5.28515625" style="356" customWidth="1"/>
    <col min="15871" max="15871" width="8" style="356" customWidth="1"/>
    <col min="15872" max="15872" width="5.85546875" style="356" customWidth="1"/>
    <col min="15873" max="15873" width="9.42578125" style="356" customWidth="1"/>
    <col min="15874" max="15874" width="11.28515625" style="356" customWidth="1"/>
    <col min="15875" max="15875" width="11" style="356" customWidth="1"/>
    <col min="15876" max="15876" width="13.140625" style="356" customWidth="1"/>
    <col min="15877" max="15877" width="11.7109375" style="356" customWidth="1"/>
    <col min="15878" max="15878" width="11.140625" style="356" customWidth="1"/>
    <col min="15879" max="15879" width="11.7109375" style="356" customWidth="1"/>
    <col min="15880" max="16125" width="9.140625" style="356"/>
    <col min="16126" max="16126" width="5.28515625" style="356" customWidth="1"/>
    <col min="16127" max="16127" width="8" style="356" customWidth="1"/>
    <col min="16128" max="16128" width="5.85546875" style="356" customWidth="1"/>
    <col min="16129" max="16129" width="9.42578125" style="356" customWidth="1"/>
    <col min="16130" max="16130" width="11.28515625" style="356" customWidth="1"/>
    <col min="16131" max="16131" width="11" style="356" customWidth="1"/>
    <col min="16132" max="16132" width="13.140625" style="356" customWidth="1"/>
    <col min="16133" max="16133" width="11.7109375" style="356" customWidth="1"/>
    <col min="16134" max="16134" width="11.140625" style="356" customWidth="1"/>
    <col min="16135" max="16135" width="11.7109375" style="356" customWidth="1"/>
    <col min="16136" max="16384" width="9.140625" style="356"/>
  </cols>
  <sheetData>
    <row r="1" spans="1:72" s="357" customFormat="1" ht="12.75" customHeight="1" x14ac:dyDescent="0.25">
      <c r="A1" s="52"/>
      <c r="B1" s="356"/>
      <c r="C1" s="356"/>
      <c r="D1" s="356"/>
      <c r="E1" s="356"/>
      <c r="F1" s="3" t="s">
        <v>436</v>
      </c>
    </row>
    <row r="2" spans="1:72" s="357" customFormat="1" ht="12.75" customHeight="1" x14ac:dyDescent="0.25">
      <c r="A2" s="356"/>
      <c r="B2" s="356"/>
      <c r="C2" s="356"/>
      <c r="D2" s="356"/>
      <c r="E2" s="356"/>
      <c r="F2" s="3" t="s">
        <v>266</v>
      </c>
    </row>
    <row r="3" spans="1:72" s="357" customFormat="1" ht="12.75" customHeight="1" x14ac:dyDescent="0.25">
      <c r="A3" s="356"/>
      <c r="B3" s="356"/>
      <c r="C3" s="356"/>
      <c r="D3" s="356"/>
      <c r="E3" s="356"/>
      <c r="F3" s="3" t="s">
        <v>64</v>
      </c>
    </row>
    <row r="4" spans="1:72" s="357" customFormat="1" ht="12.75" customHeight="1" x14ac:dyDescent="0.25">
      <c r="A4" s="356"/>
      <c r="B4" s="356"/>
      <c r="C4" s="356"/>
      <c r="D4" s="356"/>
      <c r="E4" s="356"/>
      <c r="F4" s="3" t="s">
        <v>267</v>
      </c>
    </row>
    <row r="5" spans="1:72" s="357" customFormat="1" ht="12.75" customHeight="1" x14ac:dyDescent="0.25">
      <c r="A5" s="356"/>
      <c r="B5" s="356"/>
      <c r="C5" s="356"/>
      <c r="D5" s="356"/>
      <c r="E5" s="356"/>
    </row>
    <row r="6" spans="1:72" s="357" customFormat="1" ht="13.5" customHeight="1" x14ac:dyDescent="0.25">
      <c r="A6" s="53" t="s">
        <v>437</v>
      </c>
      <c r="B6" s="53"/>
      <c r="C6" s="53"/>
      <c r="D6" s="53"/>
      <c r="E6" s="53"/>
      <c r="F6" s="53"/>
      <c r="G6" s="53"/>
      <c r="J6" s="1"/>
    </row>
    <row r="7" spans="1:72" s="357" customFormat="1" ht="12.75" customHeight="1" x14ac:dyDescent="0.25">
      <c r="A7" s="53" t="s">
        <v>438</v>
      </c>
      <c r="B7" s="349"/>
      <c r="C7" s="349"/>
      <c r="D7" s="349"/>
      <c r="E7" s="349"/>
      <c r="F7" s="349"/>
      <c r="G7" s="349"/>
      <c r="J7" s="1"/>
    </row>
    <row r="8" spans="1:72" s="357" customFormat="1" ht="9" customHeight="1" x14ac:dyDescent="0.25">
      <c r="A8" s="54"/>
      <c r="B8" s="55"/>
      <c r="C8" s="55"/>
      <c r="D8" s="55"/>
      <c r="E8" s="55"/>
      <c r="F8" s="55"/>
      <c r="G8" s="55"/>
      <c r="J8" s="1"/>
    </row>
    <row r="9" spans="1:72" s="357" customFormat="1" ht="11.25" customHeight="1" x14ac:dyDescent="0.25">
      <c r="A9" s="356"/>
      <c r="B9" s="356"/>
      <c r="C9" s="356"/>
      <c r="D9" s="356"/>
      <c r="E9" s="356"/>
      <c r="G9" s="56" t="s">
        <v>1</v>
      </c>
    </row>
    <row r="10" spans="1:72" s="60" customFormat="1" ht="36.75" customHeight="1" x14ac:dyDescent="0.2">
      <c r="A10" s="350" t="s">
        <v>27</v>
      </c>
      <c r="B10" s="350" t="s">
        <v>33</v>
      </c>
      <c r="C10" s="350" t="s">
        <v>34</v>
      </c>
      <c r="D10" s="350" t="s">
        <v>21</v>
      </c>
      <c r="E10" s="351" t="s">
        <v>5</v>
      </c>
      <c r="F10" s="351" t="s">
        <v>44</v>
      </c>
      <c r="G10" s="351" t="s">
        <v>45</v>
      </c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</row>
    <row r="11" spans="1:72" s="63" customFormat="1" ht="10.5" customHeight="1" x14ac:dyDescent="0.2">
      <c r="A11" s="61">
        <v>1</v>
      </c>
      <c r="B11" s="61">
        <v>2</v>
      </c>
      <c r="C11" s="61">
        <v>3</v>
      </c>
      <c r="D11" s="61">
        <v>4</v>
      </c>
      <c r="E11" s="61">
        <v>5</v>
      </c>
      <c r="F11" s="61">
        <v>6</v>
      </c>
      <c r="G11" s="61">
        <v>7</v>
      </c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</row>
    <row r="12" spans="1:72" s="71" customFormat="1" ht="15.75" customHeight="1" x14ac:dyDescent="0.2">
      <c r="A12" s="64"/>
      <c r="B12" s="65"/>
      <c r="C12" s="76"/>
      <c r="D12" s="76"/>
      <c r="E12" s="81" t="s">
        <v>81</v>
      </c>
      <c r="F12" s="83">
        <f>5350+9150+36625</f>
        <v>51125</v>
      </c>
      <c r="G12" s="84" t="s">
        <v>36</v>
      </c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</row>
    <row r="13" spans="1:72" s="71" customFormat="1" ht="24" x14ac:dyDescent="0.2">
      <c r="A13" s="89" t="s">
        <v>28</v>
      </c>
      <c r="B13" s="91" t="s">
        <v>439</v>
      </c>
      <c r="C13" s="76" t="s">
        <v>48</v>
      </c>
      <c r="D13" s="76" t="s">
        <v>440</v>
      </c>
      <c r="E13" s="67" t="s">
        <v>36</v>
      </c>
      <c r="F13" s="69" t="s">
        <v>36</v>
      </c>
      <c r="G13" s="68">
        <f>SUM(G15)</f>
        <v>51125</v>
      </c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</row>
    <row r="14" spans="1:72" s="71" customFormat="1" ht="9" customHeight="1" x14ac:dyDescent="0.2">
      <c r="A14" s="64"/>
      <c r="B14" s="92"/>
      <c r="C14" s="76"/>
      <c r="D14" s="76"/>
      <c r="E14" s="76"/>
      <c r="F14" s="77"/>
      <c r="G14" s="358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</row>
    <row r="15" spans="1:72" s="71" customFormat="1" ht="15.75" customHeight="1" x14ac:dyDescent="0.2">
      <c r="A15" s="64"/>
      <c r="B15" s="359" t="s">
        <v>60</v>
      </c>
      <c r="C15" s="76"/>
      <c r="D15" s="76"/>
      <c r="E15" s="76"/>
      <c r="F15" s="77"/>
      <c r="G15" s="358">
        <f>SUM(G16:G17)</f>
        <v>51125</v>
      </c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</row>
    <row r="16" spans="1:72" s="71" customFormat="1" ht="15.75" customHeight="1" x14ac:dyDescent="0.2">
      <c r="A16" s="64"/>
      <c r="B16" s="359"/>
      <c r="C16" s="76"/>
      <c r="D16" s="76"/>
      <c r="E16" s="76" t="s">
        <v>441</v>
      </c>
      <c r="F16" s="77" t="s">
        <v>36</v>
      </c>
      <c r="G16" s="78">
        <v>8500</v>
      </c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</row>
    <row r="17" spans="1:72" s="71" customFormat="1" ht="15.75" customHeight="1" x14ac:dyDescent="0.2">
      <c r="A17" s="64"/>
      <c r="B17" s="359"/>
      <c r="C17" s="76"/>
      <c r="D17" s="76"/>
      <c r="E17" s="76" t="s">
        <v>442</v>
      </c>
      <c r="F17" s="77" t="s">
        <v>36</v>
      </c>
      <c r="G17" s="78">
        <f>5350+9150+36625-8500</f>
        <v>42625</v>
      </c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</row>
    <row r="18" spans="1:72" s="71" customFormat="1" ht="15.75" customHeight="1" x14ac:dyDescent="0.2">
      <c r="A18" s="79"/>
      <c r="B18" s="80"/>
      <c r="C18" s="93"/>
      <c r="D18" s="81"/>
      <c r="E18" s="81"/>
      <c r="F18" s="84"/>
      <c r="G18" s="82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</row>
    <row r="19" spans="1:72" s="71" customFormat="1" ht="15.75" customHeight="1" x14ac:dyDescent="0.2">
      <c r="A19" s="64"/>
      <c r="B19" s="65"/>
      <c r="C19" s="76"/>
      <c r="D19" s="76"/>
      <c r="E19" s="81" t="s">
        <v>81</v>
      </c>
      <c r="F19" s="83">
        <f>9095+9126+6997+1281+4296</f>
        <v>30795</v>
      </c>
      <c r="G19" s="84" t="s">
        <v>36</v>
      </c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</row>
    <row r="20" spans="1:72" s="71" customFormat="1" ht="20.25" customHeight="1" x14ac:dyDescent="0.2">
      <c r="A20" s="89" t="s">
        <v>29</v>
      </c>
      <c r="B20" s="94" t="s">
        <v>443</v>
      </c>
      <c r="C20" s="76" t="s">
        <v>444</v>
      </c>
      <c r="D20" s="76" t="s">
        <v>445</v>
      </c>
      <c r="E20" s="67" t="s">
        <v>36</v>
      </c>
      <c r="F20" s="69" t="s">
        <v>36</v>
      </c>
      <c r="G20" s="68">
        <f>SUM(G22)</f>
        <v>30795</v>
      </c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</row>
    <row r="21" spans="1:72" s="71" customFormat="1" ht="10.5" customHeight="1" x14ac:dyDescent="0.2">
      <c r="A21" s="64"/>
      <c r="B21" s="92"/>
      <c r="C21" s="76"/>
      <c r="D21" s="76"/>
      <c r="E21" s="76"/>
      <c r="F21" s="77"/>
      <c r="G21" s="358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</row>
    <row r="22" spans="1:72" s="71" customFormat="1" ht="15.75" customHeight="1" x14ac:dyDescent="0.2">
      <c r="A22" s="64"/>
      <c r="B22" s="359" t="s">
        <v>60</v>
      </c>
      <c r="C22" s="76"/>
      <c r="D22" s="76"/>
      <c r="E22" s="76"/>
      <c r="F22" s="77"/>
      <c r="G22" s="358">
        <f>SUM(G23:G26)</f>
        <v>30795</v>
      </c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</row>
    <row r="23" spans="1:72" s="71" customFormat="1" ht="15.75" customHeight="1" x14ac:dyDescent="0.2">
      <c r="A23" s="64"/>
      <c r="B23" s="65"/>
      <c r="C23" s="86"/>
      <c r="D23" s="76"/>
      <c r="E23" s="76" t="s">
        <v>441</v>
      </c>
      <c r="F23" s="77" t="s">
        <v>36</v>
      </c>
      <c r="G23" s="78">
        <f>6793+17721+1255+4296</f>
        <v>30065</v>
      </c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</row>
    <row r="24" spans="1:72" s="71" customFormat="1" ht="15.75" customHeight="1" x14ac:dyDescent="0.2">
      <c r="A24" s="64"/>
      <c r="B24" s="65"/>
      <c r="C24" s="86"/>
      <c r="D24" s="76"/>
      <c r="E24" s="76" t="s">
        <v>442</v>
      </c>
      <c r="F24" s="77" t="s">
        <v>36</v>
      </c>
      <c r="G24" s="78">
        <v>30</v>
      </c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</row>
    <row r="25" spans="1:72" s="71" customFormat="1" ht="15.75" customHeight="1" x14ac:dyDescent="0.2">
      <c r="A25" s="64"/>
      <c r="B25" s="65"/>
      <c r="C25" s="86"/>
      <c r="D25" s="76"/>
      <c r="E25" s="76" t="s">
        <v>446</v>
      </c>
      <c r="F25" s="77" t="s">
        <v>36</v>
      </c>
      <c r="G25" s="78">
        <f>92+470+21</f>
        <v>583</v>
      </c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</row>
    <row r="26" spans="1:72" s="71" customFormat="1" ht="15.75" customHeight="1" x14ac:dyDescent="0.2">
      <c r="A26" s="64"/>
      <c r="B26" s="65"/>
      <c r="C26" s="86"/>
      <c r="D26" s="76"/>
      <c r="E26" s="76" t="s">
        <v>447</v>
      </c>
      <c r="F26" s="77" t="s">
        <v>36</v>
      </c>
      <c r="G26" s="78">
        <f>112+5</f>
        <v>117</v>
      </c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</row>
    <row r="27" spans="1:72" s="71" customFormat="1" ht="15.75" customHeight="1" x14ac:dyDescent="0.2">
      <c r="A27" s="79"/>
      <c r="B27" s="80"/>
      <c r="C27" s="93"/>
      <c r="D27" s="81"/>
      <c r="E27" s="81"/>
      <c r="F27" s="84"/>
      <c r="G27" s="82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</row>
    <row r="28" spans="1:72" s="71" customFormat="1" ht="15.75" customHeight="1" x14ac:dyDescent="0.2">
      <c r="A28" s="64"/>
      <c r="B28" s="65"/>
      <c r="C28" s="76"/>
      <c r="D28" s="76"/>
      <c r="E28" s="81" t="s">
        <v>81</v>
      </c>
      <c r="F28" s="83">
        <f>119646+106488+19584+20502+11322+7038+12852+12546+5508+6426</f>
        <v>321912</v>
      </c>
      <c r="G28" s="84" t="s">
        <v>36</v>
      </c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</row>
    <row r="29" spans="1:72" s="71" customFormat="1" ht="24" x14ac:dyDescent="0.2">
      <c r="A29" s="89" t="s">
        <v>30</v>
      </c>
      <c r="B29" s="91" t="s">
        <v>448</v>
      </c>
      <c r="C29" s="76" t="s">
        <v>449</v>
      </c>
      <c r="D29" s="76" t="s">
        <v>450</v>
      </c>
      <c r="E29" s="67" t="s">
        <v>36</v>
      </c>
      <c r="F29" s="69" t="s">
        <v>36</v>
      </c>
      <c r="G29" s="68">
        <f>SUM(G31)</f>
        <v>321912</v>
      </c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</row>
    <row r="30" spans="1:72" s="71" customFormat="1" ht="10.5" customHeight="1" x14ac:dyDescent="0.2">
      <c r="A30" s="64"/>
      <c r="B30" s="92"/>
      <c r="C30" s="76"/>
      <c r="D30" s="76"/>
      <c r="E30" s="76"/>
      <c r="F30" s="77"/>
      <c r="G30" s="358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</row>
    <row r="31" spans="1:72" s="71" customFormat="1" ht="15.75" customHeight="1" x14ac:dyDescent="0.2">
      <c r="A31" s="64"/>
      <c r="B31" s="359" t="s">
        <v>60</v>
      </c>
      <c r="C31" s="76"/>
      <c r="D31" s="76"/>
      <c r="E31" s="76"/>
      <c r="F31" s="77"/>
      <c r="G31" s="358">
        <f>SUM(G32:G34)</f>
        <v>321912</v>
      </c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</row>
    <row r="32" spans="1:72" s="71" customFormat="1" ht="15.75" customHeight="1" x14ac:dyDescent="0.2">
      <c r="A32" s="64"/>
      <c r="B32" s="65"/>
      <c r="C32" s="76"/>
      <c r="D32" s="76"/>
      <c r="E32" s="76" t="s">
        <v>441</v>
      </c>
      <c r="F32" s="77" t="s">
        <v>36</v>
      </c>
      <c r="G32" s="78">
        <f>12600+279000+5400+12300+6300</f>
        <v>315600</v>
      </c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</row>
    <row r="33" spans="1:72" s="71" customFormat="1" ht="15.75" customHeight="1" x14ac:dyDescent="0.2">
      <c r="A33" s="64"/>
      <c r="B33" s="65"/>
      <c r="C33" s="86"/>
      <c r="D33" s="76"/>
      <c r="E33" s="76" t="s">
        <v>446</v>
      </c>
      <c r="F33" s="77" t="s">
        <v>36</v>
      </c>
      <c r="G33" s="78">
        <f>210+4638+90+205+105</f>
        <v>5248</v>
      </c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</row>
    <row r="34" spans="1:72" s="71" customFormat="1" ht="15.75" customHeight="1" x14ac:dyDescent="0.2">
      <c r="A34" s="64"/>
      <c r="B34" s="65"/>
      <c r="C34" s="86"/>
      <c r="D34" s="76"/>
      <c r="E34" s="76" t="s">
        <v>447</v>
      </c>
      <c r="F34" s="77" t="s">
        <v>36</v>
      </c>
      <c r="G34" s="78">
        <f>42+815+115+12+18+41+21</f>
        <v>1064</v>
      </c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</row>
    <row r="35" spans="1:72" s="71" customFormat="1" ht="15.75" customHeight="1" x14ac:dyDescent="0.2">
      <c r="A35" s="79"/>
      <c r="B35" s="80"/>
      <c r="C35" s="93"/>
      <c r="D35" s="81"/>
      <c r="E35" s="81"/>
      <c r="F35" s="84"/>
      <c r="G35" s="82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</row>
    <row r="36" spans="1:72" s="71" customFormat="1" ht="21.75" customHeight="1" x14ac:dyDescent="0.2">
      <c r="A36" s="64"/>
      <c r="B36" s="65"/>
      <c r="C36" s="76" t="s">
        <v>431</v>
      </c>
      <c r="D36" s="76" t="s">
        <v>78</v>
      </c>
      <c r="E36" s="81" t="s">
        <v>81</v>
      </c>
      <c r="F36" s="83">
        <f>55248+183549+25396+225667+26112+20400+296179+19787+194352+194468+19414</f>
        <v>1260572</v>
      </c>
      <c r="G36" s="84" t="s">
        <v>36</v>
      </c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</row>
    <row r="37" spans="1:72" s="71" customFormat="1" ht="25.5" customHeight="1" x14ac:dyDescent="0.2">
      <c r="A37" s="89" t="s">
        <v>31</v>
      </c>
      <c r="B37" s="91" t="s">
        <v>451</v>
      </c>
      <c r="C37" s="76"/>
      <c r="D37" s="76"/>
      <c r="E37" s="67" t="s">
        <v>36</v>
      </c>
      <c r="F37" s="69" t="s">
        <v>36</v>
      </c>
      <c r="G37" s="68">
        <f>SUM(G40,G50,G60,G69,G74,G84,G94,G102,G111)</f>
        <v>1260572</v>
      </c>
      <c r="H37" s="49"/>
      <c r="I37" s="352">
        <f>SUM(G40,G50,G60,G69,G74,G84,G94,G102,G111)</f>
        <v>1260572</v>
      </c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</row>
    <row r="38" spans="1:72" s="71" customFormat="1" ht="7.5" customHeight="1" x14ac:dyDescent="0.2">
      <c r="A38" s="64"/>
      <c r="B38" s="65"/>
      <c r="C38" s="86"/>
      <c r="D38" s="76"/>
      <c r="E38" s="76"/>
      <c r="F38" s="77"/>
      <c r="G38" s="78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</row>
    <row r="39" spans="1:72" s="71" customFormat="1" ht="12.75" customHeight="1" x14ac:dyDescent="0.2">
      <c r="A39" s="64"/>
      <c r="B39" s="65"/>
      <c r="C39" s="86"/>
      <c r="D39" s="76"/>
      <c r="E39" s="76"/>
      <c r="F39" s="77"/>
      <c r="G39" s="78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</row>
    <row r="40" spans="1:72" s="71" customFormat="1" ht="15.75" customHeight="1" x14ac:dyDescent="0.2">
      <c r="A40" s="64"/>
      <c r="B40" s="359" t="s">
        <v>155</v>
      </c>
      <c r="C40" s="76" t="s">
        <v>452</v>
      </c>
      <c r="D40" s="76" t="s">
        <v>453</v>
      </c>
      <c r="E40" s="67" t="s">
        <v>36</v>
      </c>
      <c r="F40" s="69" t="s">
        <v>36</v>
      </c>
      <c r="G40" s="68">
        <f>SUM(G42)</f>
        <v>1018750.28</v>
      </c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</row>
    <row r="41" spans="1:72" s="71" customFormat="1" ht="7.5" customHeight="1" x14ac:dyDescent="0.2">
      <c r="A41" s="64"/>
      <c r="B41" s="65"/>
      <c r="C41" s="86"/>
      <c r="D41" s="76"/>
      <c r="E41" s="76"/>
      <c r="F41" s="77"/>
      <c r="G41" s="78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</row>
    <row r="42" spans="1:72" s="71" customFormat="1" ht="15.75" customHeight="1" x14ac:dyDescent="0.2">
      <c r="A42" s="64"/>
      <c r="B42" s="65"/>
      <c r="C42" s="86"/>
      <c r="D42" s="76"/>
      <c r="E42" s="76"/>
      <c r="F42" s="77"/>
      <c r="G42" s="358">
        <f>SUM(G43:G48)</f>
        <v>1018750.28</v>
      </c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</row>
    <row r="43" spans="1:72" s="71" customFormat="1" ht="15.75" customHeight="1" x14ac:dyDescent="0.2">
      <c r="A43" s="64"/>
      <c r="B43" s="65"/>
      <c r="C43" s="86"/>
      <c r="D43" s="76"/>
      <c r="E43" s="76" t="s">
        <v>131</v>
      </c>
      <c r="F43" s="77" t="s">
        <v>36</v>
      </c>
      <c r="G43" s="78">
        <f>6956.19+152362</f>
        <v>159318.19</v>
      </c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</row>
    <row r="44" spans="1:72" s="71" customFormat="1" ht="15.75" customHeight="1" x14ac:dyDescent="0.2">
      <c r="A44" s="64"/>
      <c r="B44" s="65"/>
      <c r="C44" s="86"/>
      <c r="D44" s="76"/>
      <c r="E44" s="76" t="s">
        <v>442</v>
      </c>
      <c r="F44" s="77" t="s">
        <v>36</v>
      </c>
      <c r="G44" s="78">
        <f>4832.25</f>
        <v>4832.25</v>
      </c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</row>
    <row r="45" spans="1:72" s="71" customFormat="1" ht="15.75" customHeight="1" x14ac:dyDescent="0.2">
      <c r="A45" s="64"/>
      <c r="B45" s="65"/>
      <c r="C45" s="86"/>
      <c r="D45" s="76"/>
      <c r="E45" s="76" t="s">
        <v>446</v>
      </c>
      <c r="F45" s="77" t="s">
        <v>36</v>
      </c>
      <c r="G45" s="78">
        <f>23300+23803.29-7052.34</f>
        <v>40050.949999999997</v>
      </c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</row>
    <row r="46" spans="1:72" s="71" customFormat="1" ht="15.75" customHeight="1" x14ac:dyDescent="0.2">
      <c r="A46" s="64"/>
      <c r="B46" s="65"/>
      <c r="C46" s="86"/>
      <c r="D46" s="76"/>
      <c r="E46" s="76" t="s">
        <v>454</v>
      </c>
      <c r="F46" s="77" t="s">
        <v>36</v>
      </c>
      <c r="G46" s="78">
        <f>212347.85+304328.54+135776.15-179292.49-18060.81+109303.95</f>
        <v>564403.19000000006</v>
      </c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</row>
    <row r="47" spans="1:72" s="71" customFormat="1" ht="15.75" customHeight="1" x14ac:dyDescent="0.2">
      <c r="A47" s="64"/>
      <c r="B47" s="65"/>
      <c r="C47" s="86"/>
      <c r="D47" s="76"/>
      <c r="E47" s="76" t="s">
        <v>447</v>
      </c>
      <c r="F47" s="77" t="s">
        <v>36</v>
      </c>
      <c r="G47" s="78">
        <f>49549.15+79640.81+33183.81-10197.27+57265.18</f>
        <v>209441.68</v>
      </c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</row>
    <row r="48" spans="1:72" s="71" customFormat="1" ht="15.75" customHeight="1" x14ac:dyDescent="0.2">
      <c r="A48" s="64"/>
      <c r="B48" s="65"/>
      <c r="C48" s="86"/>
      <c r="D48" s="76"/>
      <c r="E48" s="76" t="s">
        <v>455</v>
      </c>
      <c r="F48" s="77" t="s">
        <v>36</v>
      </c>
      <c r="G48" s="78">
        <f>40704.02</f>
        <v>40704.019999999997</v>
      </c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</row>
    <row r="49" spans="1:72" s="71" customFormat="1" ht="12.75" customHeight="1" x14ac:dyDescent="0.2">
      <c r="A49" s="79"/>
      <c r="B49" s="80"/>
      <c r="C49" s="93"/>
      <c r="D49" s="81"/>
      <c r="E49" s="81"/>
      <c r="F49" s="84"/>
      <c r="G49" s="82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</row>
    <row r="50" spans="1:72" s="71" customFormat="1" ht="21.75" customHeight="1" x14ac:dyDescent="0.2">
      <c r="A50" s="64"/>
      <c r="B50" s="359" t="s">
        <v>155</v>
      </c>
      <c r="C50" s="76" t="s">
        <v>452</v>
      </c>
      <c r="D50" s="76" t="s">
        <v>456</v>
      </c>
      <c r="E50" s="81" t="s">
        <v>36</v>
      </c>
      <c r="F50" s="84" t="s">
        <v>36</v>
      </c>
      <c r="G50" s="83">
        <f>SUM(G52)</f>
        <v>20746.010000000002</v>
      </c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</row>
    <row r="51" spans="1:72" s="71" customFormat="1" ht="12.75" customHeight="1" x14ac:dyDescent="0.2">
      <c r="A51" s="64"/>
      <c r="B51" s="65"/>
      <c r="C51" s="86"/>
      <c r="D51" s="76"/>
      <c r="E51" s="76"/>
      <c r="F51" s="77"/>
      <c r="G51" s="78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</row>
    <row r="52" spans="1:72" s="71" customFormat="1" ht="15.75" customHeight="1" x14ac:dyDescent="0.2">
      <c r="A52" s="64"/>
      <c r="B52" s="65"/>
      <c r="C52" s="86"/>
      <c r="D52" s="76"/>
      <c r="E52" s="76"/>
      <c r="F52" s="77"/>
      <c r="G52" s="358">
        <f>SUM(G53:G58)</f>
        <v>20746.010000000002</v>
      </c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</row>
    <row r="53" spans="1:72" s="71" customFormat="1" ht="15.75" customHeight="1" x14ac:dyDescent="0.2">
      <c r="A53" s="64"/>
      <c r="B53" s="65"/>
      <c r="C53" s="86"/>
      <c r="D53" s="76"/>
      <c r="E53" s="76" t="s">
        <v>131</v>
      </c>
      <c r="F53" s="77" t="s">
        <v>36</v>
      </c>
      <c r="G53" s="78">
        <f>14000</f>
        <v>14000</v>
      </c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</row>
    <row r="54" spans="1:72" s="71" customFormat="1" ht="15.75" customHeight="1" x14ac:dyDescent="0.2">
      <c r="A54" s="64"/>
      <c r="B54" s="65"/>
      <c r="C54" s="86"/>
      <c r="D54" s="76"/>
      <c r="E54" s="76" t="s">
        <v>442</v>
      </c>
      <c r="F54" s="77" t="s">
        <v>36</v>
      </c>
      <c r="G54" s="78">
        <f>412.5</f>
        <v>412.5</v>
      </c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</row>
    <row r="55" spans="1:72" s="71" customFormat="1" ht="15.75" customHeight="1" x14ac:dyDescent="0.2">
      <c r="A55" s="64"/>
      <c r="B55" s="65"/>
      <c r="C55" s="86"/>
      <c r="D55" s="76"/>
      <c r="E55" s="76" t="s">
        <v>446</v>
      </c>
      <c r="F55" s="77" t="s">
        <v>36</v>
      </c>
      <c r="G55" s="78">
        <f>3900-200</f>
        <v>3700</v>
      </c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</row>
    <row r="56" spans="1:72" s="71" customFormat="1" ht="15.75" customHeight="1" x14ac:dyDescent="0.2">
      <c r="A56" s="64"/>
      <c r="B56" s="65"/>
      <c r="C56" s="86"/>
      <c r="D56" s="76"/>
      <c r="E56" s="76" t="s">
        <v>454</v>
      </c>
      <c r="F56" s="77" t="s">
        <v>36</v>
      </c>
      <c r="G56" s="78">
        <f>12295-12000</f>
        <v>295</v>
      </c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</row>
    <row r="57" spans="1:72" s="71" customFormat="1" ht="15.75" customHeight="1" x14ac:dyDescent="0.2">
      <c r="A57" s="64"/>
      <c r="B57" s="65"/>
      <c r="C57" s="86"/>
      <c r="D57" s="76"/>
      <c r="E57" s="76" t="s">
        <v>447</v>
      </c>
      <c r="F57" s="77" t="s">
        <v>36</v>
      </c>
      <c r="G57" s="78">
        <f>4138.51-2000</f>
        <v>2138.5100000000002</v>
      </c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</row>
    <row r="58" spans="1:72" s="71" customFormat="1" ht="15.75" customHeight="1" x14ac:dyDescent="0.2">
      <c r="A58" s="64"/>
      <c r="B58" s="65"/>
      <c r="C58" s="86"/>
      <c r="D58" s="76"/>
      <c r="E58" s="76" t="s">
        <v>455</v>
      </c>
      <c r="F58" s="77" t="s">
        <v>36</v>
      </c>
      <c r="G58" s="78">
        <f>200</f>
        <v>200</v>
      </c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</row>
    <row r="59" spans="1:72" s="71" customFormat="1" ht="12.75" customHeight="1" x14ac:dyDescent="0.2">
      <c r="A59" s="64"/>
      <c r="B59" s="65"/>
      <c r="C59" s="86"/>
      <c r="D59" s="76"/>
      <c r="E59" s="76"/>
      <c r="F59" s="77"/>
      <c r="G59" s="78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</row>
    <row r="60" spans="1:72" s="71" customFormat="1" ht="15.75" customHeight="1" x14ac:dyDescent="0.2">
      <c r="A60" s="64"/>
      <c r="B60" s="359" t="s">
        <v>155</v>
      </c>
      <c r="C60" s="76" t="s">
        <v>452</v>
      </c>
      <c r="D60" s="76" t="s">
        <v>457</v>
      </c>
      <c r="E60" s="67" t="s">
        <v>36</v>
      </c>
      <c r="F60" s="69" t="s">
        <v>36</v>
      </c>
      <c r="G60" s="68">
        <f>SUM(G62)</f>
        <v>102368.92</v>
      </c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</row>
    <row r="61" spans="1:72" s="71" customFormat="1" ht="6.75" customHeight="1" x14ac:dyDescent="0.2">
      <c r="A61" s="64"/>
      <c r="B61" s="65"/>
      <c r="C61" s="86"/>
      <c r="D61" s="76"/>
      <c r="E61" s="76"/>
      <c r="F61" s="77"/>
      <c r="G61" s="78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</row>
    <row r="62" spans="1:72" s="71" customFormat="1" ht="15.75" customHeight="1" x14ac:dyDescent="0.2">
      <c r="A62" s="64"/>
      <c r="B62" s="65"/>
      <c r="C62" s="86"/>
      <c r="D62" s="76"/>
      <c r="E62" s="76"/>
      <c r="F62" s="77"/>
      <c r="G62" s="358">
        <f>SUM(G63:G67)</f>
        <v>102368.92</v>
      </c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</row>
    <row r="63" spans="1:72" s="71" customFormat="1" ht="15.75" customHeight="1" x14ac:dyDescent="0.2">
      <c r="A63" s="64"/>
      <c r="B63" s="65"/>
      <c r="C63" s="86"/>
      <c r="D63" s="76"/>
      <c r="E63" s="76" t="s">
        <v>131</v>
      </c>
      <c r="F63" s="77" t="s">
        <v>36</v>
      </c>
      <c r="G63" s="78">
        <f>23691.12+150+18060.81</f>
        <v>41901.93</v>
      </c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</row>
    <row r="64" spans="1:72" s="71" customFormat="1" ht="15.75" customHeight="1" x14ac:dyDescent="0.2">
      <c r="A64" s="64"/>
      <c r="B64" s="65"/>
      <c r="C64" s="86"/>
      <c r="D64" s="76"/>
      <c r="E64" s="76" t="s">
        <v>446</v>
      </c>
      <c r="F64" s="77" t="s">
        <v>36</v>
      </c>
      <c r="G64" s="78">
        <f>2000+7149.84</f>
        <v>9149.84</v>
      </c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</row>
    <row r="65" spans="1:72" s="71" customFormat="1" ht="15.75" customHeight="1" x14ac:dyDescent="0.2">
      <c r="A65" s="64"/>
      <c r="B65" s="65"/>
      <c r="C65" s="86"/>
      <c r="D65" s="76"/>
      <c r="E65" s="76" t="s">
        <v>454</v>
      </c>
      <c r="F65" s="77" t="s">
        <v>36</v>
      </c>
      <c r="G65" s="78">
        <f>20405.04-1481.12+16738.05</f>
        <v>35661.97</v>
      </c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</row>
    <row r="66" spans="1:72" s="71" customFormat="1" ht="15.75" customHeight="1" x14ac:dyDescent="0.2">
      <c r="A66" s="64"/>
      <c r="B66" s="65"/>
      <c r="C66" s="86"/>
      <c r="D66" s="76"/>
      <c r="E66" s="76" t="s">
        <v>447</v>
      </c>
      <c r="F66" s="77" t="s">
        <v>36</v>
      </c>
      <c r="G66" s="78">
        <f>392.8+1530.93+4987-313.11+8769.5</f>
        <v>15367.119999999999</v>
      </c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</row>
    <row r="67" spans="1:72" s="71" customFormat="1" ht="15.75" customHeight="1" x14ac:dyDescent="0.2">
      <c r="A67" s="64"/>
      <c r="B67" s="65"/>
      <c r="C67" s="86"/>
      <c r="D67" s="76"/>
      <c r="E67" s="76" t="s">
        <v>455</v>
      </c>
      <c r="F67" s="77" t="s">
        <v>36</v>
      </c>
      <c r="G67" s="78">
        <f>288.06</f>
        <v>288.06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</row>
    <row r="68" spans="1:72" s="71" customFormat="1" ht="15.75" customHeight="1" x14ac:dyDescent="0.2">
      <c r="A68" s="64"/>
      <c r="B68" s="65"/>
      <c r="C68" s="86"/>
      <c r="D68" s="76"/>
      <c r="E68" s="76"/>
      <c r="F68" s="77"/>
      <c r="G68" s="78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</row>
    <row r="69" spans="1:72" s="71" customFormat="1" ht="15.75" customHeight="1" x14ac:dyDescent="0.2">
      <c r="A69" s="64"/>
      <c r="B69" s="359" t="s">
        <v>152</v>
      </c>
      <c r="C69" s="76" t="s">
        <v>452</v>
      </c>
      <c r="D69" s="76" t="s">
        <v>457</v>
      </c>
      <c r="E69" s="67" t="s">
        <v>36</v>
      </c>
      <c r="F69" s="69" t="s">
        <v>36</v>
      </c>
      <c r="G69" s="68">
        <f>SUM(G71)</f>
        <v>2391.3200000000002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</row>
    <row r="70" spans="1:72" s="71" customFormat="1" ht="15.75" customHeight="1" x14ac:dyDescent="0.2">
      <c r="A70" s="64"/>
      <c r="B70" s="65"/>
      <c r="C70" s="86"/>
      <c r="D70" s="76"/>
      <c r="E70" s="76"/>
      <c r="F70" s="77"/>
      <c r="G70" s="78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</row>
    <row r="71" spans="1:72" s="71" customFormat="1" ht="15.75" customHeight="1" x14ac:dyDescent="0.2">
      <c r="A71" s="64"/>
      <c r="B71" s="65"/>
      <c r="C71" s="86"/>
      <c r="D71" s="76"/>
      <c r="E71" s="76"/>
      <c r="F71" s="77"/>
      <c r="G71" s="358">
        <f>SUM(G72)</f>
        <v>2391.3200000000002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</row>
    <row r="72" spans="1:72" s="71" customFormat="1" ht="15.75" customHeight="1" x14ac:dyDescent="0.2">
      <c r="A72" s="64"/>
      <c r="B72" s="65"/>
      <c r="C72" s="86"/>
      <c r="D72" s="76"/>
      <c r="E72" s="76" t="s">
        <v>172</v>
      </c>
      <c r="F72" s="77" t="s">
        <v>36</v>
      </c>
      <c r="G72" s="78">
        <v>2391.3200000000002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</row>
    <row r="73" spans="1:72" s="71" customFormat="1" ht="12.75" customHeight="1" x14ac:dyDescent="0.2">
      <c r="A73" s="64"/>
      <c r="B73" s="65"/>
      <c r="C73" s="86"/>
      <c r="D73" s="76"/>
      <c r="E73" s="76"/>
      <c r="F73" s="77"/>
      <c r="G73" s="78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</row>
    <row r="74" spans="1:72" s="71" customFormat="1" ht="15.75" customHeight="1" x14ac:dyDescent="0.2">
      <c r="A74" s="64"/>
      <c r="B74" s="359" t="s">
        <v>155</v>
      </c>
      <c r="C74" s="76" t="s">
        <v>452</v>
      </c>
      <c r="D74" s="76" t="s">
        <v>458</v>
      </c>
      <c r="E74" s="67" t="s">
        <v>36</v>
      </c>
      <c r="F74" s="69" t="s">
        <v>36</v>
      </c>
      <c r="G74" s="68">
        <f>SUM(G76)</f>
        <v>8589.2000000000007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</row>
    <row r="75" spans="1:72" s="71" customFormat="1" ht="8.25" customHeight="1" x14ac:dyDescent="0.2">
      <c r="A75" s="64"/>
      <c r="B75" s="65"/>
      <c r="C75" s="86"/>
      <c r="D75" s="76"/>
      <c r="E75" s="76"/>
      <c r="F75" s="77"/>
      <c r="G75" s="78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</row>
    <row r="76" spans="1:72" s="71" customFormat="1" ht="15.75" customHeight="1" x14ac:dyDescent="0.2">
      <c r="A76" s="64"/>
      <c r="B76" s="65"/>
      <c r="C76" s="86"/>
      <c r="D76" s="76"/>
      <c r="E76" s="76"/>
      <c r="F76" s="77"/>
      <c r="G76" s="358">
        <f>SUM(G77:G82)</f>
        <v>8589.2000000000007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</row>
    <row r="77" spans="1:72" s="71" customFormat="1" ht="15.75" customHeight="1" x14ac:dyDescent="0.2">
      <c r="A77" s="64"/>
      <c r="B77" s="65"/>
      <c r="C77" s="86"/>
      <c r="D77" s="76"/>
      <c r="E77" s="76" t="s">
        <v>131</v>
      </c>
      <c r="F77" s="77" t="s">
        <v>36</v>
      </c>
      <c r="G77" s="78">
        <f>8000</f>
        <v>8000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</row>
    <row r="78" spans="1:72" s="71" customFormat="1" ht="15.75" customHeight="1" x14ac:dyDescent="0.2">
      <c r="A78" s="64"/>
      <c r="B78" s="65"/>
      <c r="C78" s="86"/>
      <c r="D78" s="76"/>
      <c r="E78" s="76" t="s">
        <v>442</v>
      </c>
      <c r="F78" s="77" t="s">
        <v>36</v>
      </c>
      <c r="G78" s="78">
        <f>50</f>
        <v>50</v>
      </c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</row>
    <row r="79" spans="1:72" s="71" customFormat="1" ht="15.75" customHeight="1" x14ac:dyDescent="0.2">
      <c r="A79" s="64"/>
      <c r="B79" s="65"/>
      <c r="C79" s="86"/>
      <c r="D79" s="76"/>
      <c r="E79" s="76" t="s">
        <v>446</v>
      </c>
      <c r="F79" s="77" t="s">
        <v>36</v>
      </c>
      <c r="G79" s="78">
        <f>3000-3000</f>
        <v>0</v>
      </c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</row>
    <row r="80" spans="1:72" s="71" customFormat="1" ht="15.75" customHeight="1" x14ac:dyDescent="0.2">
      <c r="A80" s="64"/>
      <c r="B80" s="65"/>
      <c r="C80" s="86"/>
      <c r="D80" s="76"/>
      <c r="E80" s="76" t="s">
        <v>454</v>
      </c>
      <c r="F80" s="77" t="s">
        <v>36</v>
      </c>
      <c r="G80" s="78">
        <f>5000-5000</f>
        <v>0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</row>
    <row r="81" spans="1:72" s="71" customFormat="1" ht="15.75" customHeight="1" x14ac:dyDescent="0.2">
      <c r="A81" s="64"/>
      <c r="B81" s="65"/>
      <c r="C81" s="86"/>
      <c r="D81" s="76"/>
      <c r="E81" s="76" t="s">
        <v>447</v>
      </c>
      <c r="F81" s="77" t="s">
        <v>36</v>
      </c>
      <c r="G81" s="78">
        <f>589.2-100</f>
        <v>489.20000000000005</v>
      </c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</row>
    <row r="82" spans="1:72" s="71" customFormat="1" ht="15.75" customHeight="1" x14ac:dyDescent="0.2">
      <c r="A82" s="64"/>
      <c r="B82" s="65"/>
      <c r="C82" s="86"/>
      <c r="D82" s="76"/>
      <c r="E82" s="76" t="s">
        <v>455</v>
      </c>
      <c r="F82" s="77" t="s">
        <v>36</v>
      </c>
      <c r="G82" s="78">
        <f>50</f>
        <v>50</v>
      </c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</row>
    <row r="83" spans="1:72" s="71" customFormat="1" ht="12.75" customHeight="1" x14ac:dyDescent="0.2">
      <c r="A83" s="64"/>
      <c r="B83" s="65"/>
      <c r="C83" s="86"/>
      <c r="D83" s="76"/>
      <c r="E83" s="76"/>
      <c r="F83" s="77"/>
      <c r="G83" s="78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</row>
    <row r="84" spans="1:72" s="71" customFormat="1" ht="15.75" customHeight="1" x14ac:dyDescent="0.2">
      <c r="A84" s="64"/>
      <c r="B84" s="359" t="s">
        <v>155</v>
      </c>
      <c r="C84" s="76" t="s">
        <v>452</v>
      </c>
      <c r="D84" s="76" t="s">
        <v>459</v>
      </c>
      <c r="E84" s="67" t="s">
        <v>36</v>
      </c>
      <c r="F84" s="69" t="s">
        <v>36</v>
      </c>
      <c r="G84" s="68">
        <f>SUM(G86)</f>
        <v>15928.769999999999</v>
      </c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</row>
    <row r="85" spans="1:72" s="71" customFormat="1" ht="15.75" customHeight="1" x14ac:dyDescent="0.2">
      <c r="A85" s="64"/>
      <c r="B85" s="65"/>
      <c r="C85" s="86"/>
      <c r="D85" s="76"/>
      <c r="E85" s="76"/>
      <c r="F85" s="77"/>
      <c r="G85" s="78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</row>
    <row r="86" spans="1:72" s="71" customFormat="1" ht="15.75" customHeight="1" x14ac:dyDescent="0.2">
      <c r="A86" s="64"/>
      <c r="B86" s="65"/>
      <c r="C86" s="86"/>
      <c r="D86" s="76"/>
      <c r="E86" s="76"/>
      <c r="F86" s="77"/>
      <c r="G86" s="358">
        <f>SUM(G87:G92)</f>
        <v>15928.769999999999</v>
      </c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</row>
    <row r="87" spans="1:72" s="71" customFormat="1" ht="15.75" customHeight="1" x14ac:dyDescent="0.2">
      <c r="A87" s="64"/>
      <c r="B87" s="65"/>
      <c r="C87" s="86"/>
      <c r="D87" s="76"/>
      <c r="E87" s="76" t="s">
        <v>131</v>
      </c>
      <c r="F87" s="77" t="s">
        <v>36</v>
      </c>
      <c r="G87" s="78">
        <f>739</f>
        <v>739</v>
      </c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</row>
    <row r="88" spans="1:72" s="71" customFormat="1" ht="15.75" customHeight="1" x14ac:dyDescent="0.2">
      <c r="A88" s="64"/>
      <c r="B88" s="65"/>
      <c r="C88" s="86"/>
      <c r="D88" s="76"/>
      <c r="E88" s="76" t="s">
        <v>442</v>
      </c>
      <c r="F88" s="77" t="s">
        <v>36</v>
      </c>
      <c r="G88" s="78">
        <f>35.47</f>
        <v>35.47</v>
      </c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</row>
    <row r="89" spans="1:72" s="71" customFormat="1" ht="15.75" customHeight="1" x14ac:dyDescent="0.2">
      <c r="A89" s="64"/>
      <c r="B89" s="65"/>
      <c r="C89" s="86"/>
      <c r="D89" s="76"/>
      <c r="E89" s="76" t="s">
        <v>446</v>
      </c>
      <c r="F89" s="77" t="s">
        <v>36</v>
      </c>
      <c r="G89" s="78">
        <f>60-60</f>
        <v>0</v>
      </c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</row>
    <row r="90" spans="1:72" s="71" customFormat="1" ht="15.75" customHeight="1" x14ac:dyDescent="0.2">
      <c r="A90" s="64"/>
      <c r="B90" s="65"/>
      <c r="C90" s="86"/>
      <c r="D90" s="76"/>
      <c r="E90" s="76" t="s">
        <v>454</v>
      </c>
      <c r="F90" s="77" t="s">
        <v>36</v>
      </c>
      <c r="G90" s="78">
        <f>1800+9128.31+742.19-697.01+744.88</f>
        <v>11718.369999999999</v>
      </c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</row>
    <row r="91" spans="1:72" s="71" customFormat="1" ht="15.75" customHeight="1" x14ac:dyDescent="0.2">
      <c r="A91" s="64"/>
      <c r="B91" s="65"/>
      <c r="C91" s="86"/>
      <c r="D91" s="76"/>
      <c r="E91" s="76" t="s">
        <v>447</v>
      </c>
      <c r="F91" s="77" t="s">
        <v>36</v>
      </c>
      <c r="G91" s="78">
        <f>1021.9+2068.02+181.42-835.95+182.05</f>
        <v>2617.4400000000005</v>
      </c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</row>
    <row r="92" spans="1:72" s="71" customFormat="1" ht="15.75" customHeight="1" x14ac:dyDescent="0.2">
      <c r="A92" s="64"/>
      <c r="B92" s="65"/>
      <c r="C92" s="86"/>
      <c r="D92" s="76"/>
      <c r="E92" s="76" t="s">
        <v>455</v>
      </c>
      <c r="F92" s="77" t="s">
        <v>36</v>
      </c>
      <c r="G92" s="78">
        <f>818.49</f>
        <v>818.49</v>
      </c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</row>
    <row r="93" spans="1:72" s="71" customFormat="1" ht="15.75" customHeight="1" x14ac:dyDescent="0.2">
      <c r="A93" s="79"/>
      <c r="B93" s="80"/>
      <c r="C93" s="93"/>
      <c r="D93" s="81"/>
      <c r="E93" s="81"/>
      <c r="F93" s="84"/>
      <c r="G93" s="82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49"/>
      <c r="BR93" s="49"/>
      <c r="BS93" s="49"/>
      <c r="BT93" s="49"/>
    </row>
    <row r="94" spans="1:72" s="71" customFormat="1" ht="18" customHeight="1" x14ac:dyDescent="0.2">
      <c r="A94" s="64"/>
      <c r="B94" s="359" t="s">
        <v>155</v>
      </c>
      <c r="C94" s="76" t="s">
        <v>452</v>
      </c>
      <c r="D94" s="76" t="s">
        <v>460</v>
      </c>
      <c r="E94" s="81" t="s">
        <v>36</v>
      </c>
      <c r="F94" s="84" t="s">
        <v>36</v>
      </c>
      <c r="G94" s="83">
        <f>SUM(G96)</f>
        <v>3839.28</v>
      </c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49"/>
      <c r="BR94" s="49"/>
      <c r="BS94" s="49"/>
      <c r="BT94" s="49"/>
    </row>
    <row r="95" spans="1:72" s="71" customFormat="1" ht="12" customHeight="1" x14ac:dyDescent="0.2">
      <c r="A95" s="64"/>
      <c r="B95" s="65"/>
      <c r="C95" s="86"/>
      <c r="D95" s="76"/>
      <c r="E95" s="76"/>
      <c r="F95" s="77"/>
      <c r="G95" s="78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49"/>
      <c r="BR95" s="49"/>
      <c r="BS95" s="49"/>
      <c r="BT95" s="49"/>
    </row>
    <row r="96" spans="1:72" s="71" customFormat="1" ht="15.75" customHeight="1" x14ac:dyDescent="0.2">
      <c r="A96" s="64"/>
      <c r="B96" s="65"/>
      <c r="C96" s="86"/>
      <c r="D96" s="76"/>
      <c r="E96" s="76"/>
      <c r="F96" s="77"/>
      <c r="G96" s="358">
        <f>SUM(G97:G100)</f>
        <v>3839.28</v>
      </c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</row>
    <row r="97" spans="1:72" s="71" customFormat="1" ht="15.75" customHeight="1" x14ac:dyDescent="0.2">
      <c r="A97" s="64"/>
      <c r="B97" s="65"/>
      <c r="C97" s="86"/>
      <c r="D97" s="76"/>
      <c r="E97" s="76" t="s">
        <v>131</v>
      </c>
      <c r="F97" s="77" t="s">
        <v>36</v>
      </c>
      <c r="G97" s="78">
        <f>357.32</f>
        <v>357.32</v>
      </c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</row>
    <row r="98" spans="1:72" s="71" customFormat="1" ht="15.75" customHeight="1" x14ac:dyDescent="0.2">
      <c r="A98" s="64"/>
      <c r="B98" s="65"/>
      <c r="C98" s="86"/>
      <c r="D98" s="76"/>
      <c r="E98" s="76" t="s">
        <v>446</v>
      </c>
      <c r="F98" s="77" t="s">
        <v>36</v>
      </c>
      <c r="G98" s="78">
        <f>55-55</f>
        <v>0</v>
      </c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</row>
    <row r="99" spans="1:72" s="71" customFormat="1" ht="15.75" customHeight="1" x14ac:dyDescent="0.2">
      <c r="A99" s="64"/>
      <c r="B99" s="65"/>
      <c r="C99" s="86"/>
      <c r="D99" s="76"/>
      <c r="E99" s="76" t="s">
        <v>454</v>
      </c>
      <c r="F99" s="77" t="s">
        <v>36</v>
      </c>
      <c r="G99" s="78">
        <f>1562.39+768.26-222.03+770.82</f>
        <v>2879.44</v>
      </c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49"/>
      <c r="BR99" s="49"/>
      <c r="BS99" s="49"/>
      <c r="BT99" s="49"/>
    </row>
    <row r="100" spans="1:72" s="71" customFormat="1" ht="15.75" customHeight="1" x14ac:dyDescent="0.2">
      <c r="A100" s="64"/>
      <c r="B100" s="65"/>
      <c r="C100" s="86"/>
      <c r="D100" s="76"/>
      <c r="E100" s="76" t="s">
        <v>447</v>
      </c>
      <c r="F100" s="77" t="s">
        <v>36</v>
      </c>
      <c r="G100" s="78">
        <f>306.66+187.76-80.29+188.39</f>
        <v>602.52</v>
      </c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49"/>
      <c r="BL100" s="49"/>
      <c r="BM100" s="49"/>
      <c r="BN100" s="49"/>
      <c r="BO100" s="49"/>
      <c r="BP100" s="49"/>
      <c r="BQ100" s="49"/>
      <c r="BR100" s="49"/>
      <c r="BS100" s="49"/>
      <c r="BT100" s="49"/>
    </row>
    <row r="101" spans="1:72" s="71" customFormat="1" ht="15.75" customHeight="1" x14ac:dyDescent="0.2">
      <c r="A101" s="64"/>
      <c r="B101" s="65"/>
      <c r="C101" s="86"/>
      <c r="D101" s="76"/>
      <c r="E101" s="76"/>
      <c r="F101" s="77"/>
      <c r="G101" s="78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BI101" s="49"/>
      <c r="BJ101" s="49"/>
      <c r="BK101" s="49"/>
      <c r="BL101" s="49"/>
      <c r="BM101" s="49"/>
      <c r="BN101" s="49"/>
      <c r="BO101" s="49"/>
      <c r="BP101" s="49"/>
      <c r="BQ101" s="49"/>
      <c r="BR101" s="49"/>
      <c r="BS101" s="49"/>
      <c r="BT101" s="49"/>
    </row>
    <row r="102" spans="1:72" s="71" customFormat="1" ht="15.75" customHeight="1" x14ac:dyDescent="0.2">
      <c r="A102" s="64"/>
      <c r="B102" s="359" t="s">
        <v>155</v>
      </c>
      <c r="C102" s="76" t="s">
        <v>452</v>
      </c>
      <c r="D102" s="76" t="s">
        <v>461</v>
      </c>
      <c r="E102" s="67" t="s">
        <v>36</v>
      </c>
      <c r="F102" s="69" t="s">
        <v>36</v>
      </c>
      <c r="G102" s="68">
        <f>SUM(G104)</f>
        <v>77929.69</v>
      </c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49"/>
      <c r="BP102" s="49"/>
      <c r="BQ102" s="49"/>
      <c r="BR102" s="49"/>
      <c r="BS102" s="49"/>
      <c r="BT102" s="49"/>
    </row>
    <row r="103" spans="1:72" s="71" customFormat="1" ht="12.75" customHeight="1" x14ac:dyDescent="0.2">
      <c r="A103" s="64"/>
      <c r="B103" s="65"/>
      <c r="C103" s="86"/>
      <c r="D103" s="76"/>
      <c r="E103" s="76"/>
      <c r="F103" s="77"/>
      <c r="G103" s="78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49"/>
      <c r="BJ103" s="49"/>
      <c r="BK103" s="49"/>
      <c r="BL103" s="49"/>
      <c r="BM103" s="49"/>
      <c r="BN103" s="49"/>
      <c r="BO103" s="49"/>
      <c r="BP103" s="49"/>
      <c r="BQ103" s="49"/>
      <c r="BR103" s="49"/>
      <c r="BS103" s="49"/>
      <c r="BT103" s="49"/>
    </row>
    <row r="104" spans="1:72" s="71" customFormat="1" ht="15.75" customHeight="1" x14ac:dyDescent="0.2">
      <c r="A104" s="64"/>
      <c r="B104" s="65"/>
      <c r="C104" s="86"/>
      <c r="D104" s="76"/>
      <c r="E104" s="76"/>
      <c r="F104" s="77"/>
      <c r="G104" s="358">
        <f>SUM(G105:G109)</f>
        <v>77929.69</v>
      </c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  <c r="BK104" s="49"/>
      <c r="BL104" s="49"/>
      <c r="BM104" s="49"/>
      <c r="BN104" s="49"/>
      <c r="BO104" s="49"/>
      <c r="BP104" s="49"/>
      <c r="BQ104" s="49"/>
      <c r="BR104" s="49"/>
      <c r="BS104" s="49"/>
      <c r="BT104" s="49"/>
    </row>
    <row r="105" spans="1:72" s="71" customFormat="1" ht="15.75" customHeight="1" x14ac:dyDescent="0.2">
      <c r="A105" s="64"/>
      <c r="B105" s="65"/>
      <c r="C105" s="86"/>
      <c r="D105" s="76"/>
      <c r="E105" s="76" t="s">
        <v>131</v>
      </c>
      <c r="F105" s="77" t="s">
        <v>36</v>
      </c>
      <c r="G105" s="78">
        <f>1500+20459</f>
        <v>21959</v>
      </c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49"/>
      <c r="BJ105" s="49"/>
      <c r="BK105" s="49"/>
      <c r="BL105" s="49"/>
      <c r="BM105" s="49"/>
      <c r="BN105" s="49"/>
      <c r="BO105" s="49"/>
      <c r="BP105" s="49"/>
      <c r="BQ105" s="49"/>
      <c r="BR105" s="49"/>
      <c r="BS105" s="49"/>
      <c r="BT105" s="49"/>
    </row>
    <row r="106" spans="1:72" s="71" customFormat="1" ht="15.75" customHeight="1" x14ac:dyDescent="0.2">
      <c r="A106" s="64"/>
      <c r="B106" s="65"/>
      <c r="C106" s="86"/>
      <c r="D106" s="76"/>
      <c r="E106" s="76" t="s">
        <v>442</v>
      </c>
      <c r="F106" s="77" t="s">
        <v>36</v>
      </c>
      <c r="G106" s="78">
        <f>167.03</f>
        <v>167.03</v>
      </c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  <c r="BK106" s="49"/>
      <c r="BL106" s="49"/>
      <c r="BM106" s="49"/>
      <c r="BN106" s="49"/>
      <c r="BO106" s="49"/>
      <c r="BP106" s="49"/>
      <c r="BQ106" s="49"/>
      <c r="BR106" s="49"/>
      <c r="BS106" s="49"/>
      <c r="BT106" s="49"/>
    </row>
    <row r="107" spans="1:72" s="71" customFormat="1" ht="15.75" customHeight="1" x14ac:dyDescent="0.2">
      <c r="A107" s="64"/>
      <c r="B107" s="65"/>
      <c r="C107" s="86"/>
      <c r="D107" s="76"/>
      <c r="E107" s="76" t="s">
        <v>454</v>
      </c>
      <c r="F107" s="77" t="s">
        <v>36</v>
      </c>
      <c r="G107" s="78">
        <f>13343.1+22918.28+12450.95-19756.38+12141.03</f>
        <v>41096.980000000003</v>
      </c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49"/>
      <c r="BJ107" s="49"/>
      <c r="BK107" s="49"/>
      <c r="BL107" s="49"/>
      <c r="BM107" s="49"/>
      <c r="BN107" s="49"/>
      <c r="BO107" s="49"/>
      <c r="BP107" s="49"/>
      <c r="BQ107" s="49"/>
      <c r="BR107" s="49"/>
      <c r="BS107" s="49"/>
      <c r="BT107" s="49"/>
    </row>
    <row r="108" spans="1:72" s="71" customFormat="1" ht="15.75" customHeight="1" x14ac:dyDescent="0.2">
      <c r="A108" s="64"/>
      <c r="B108" s="65"/>
      <c r="C108" s="86"/>
      <c r="D108" s="76"/>
      <c r="E108" s="76" t="s">
        <v>447</v>
      </c>
      <c r="F108" s="77" t="s">
        <v>36</v>
      </c>
      <c r="G108" s="78">
        <f>4235+5331.27+3043.01-3894.55+2967.05</f>
        <v>11681.779999999999</v>
      </c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  <c r="BF108" s="49"/>
      <c r="BG108" s="49"/>
      <c r="BH108" s="49"/>
      <c r="BI108" s="49"/>
      <c r="BJ108" s="49"/>
      <c r="BK108" s="49"/>
      <c r="BL108" s="49"/>
      <c r="BM108" s="49"/>
      <c r="BN108" s="49"/>
      <c r="BO108" s="49"/>
      <c r="BP108" s="49"/>
      <c r="BQ108" s="49"/>
      <c r="BR108" s="49"/>
      <c r="BS108" s="49"/>
      <c r="BT108" s="49"/>
    </row>
    <row r="109" spans="1:72" s="71" customFormat="1" ht="15.75" customHeight="1" x14ac:dyDescent="0.2">
      <c r="A109" s="64"/>
      <c r="B109" s="65"/>
      <c r="C109" s="86"/>
      <c r="D109" s="76"/>
      <c r="E109" s="76" t="s">
        <v>455</v>
      </c>
      <c r="F109" s="77" t="s">
        <v>36</v>
      </c>
      <c r="G109" s="78">
        <f>3024.9</f>
        <v>3024.9</v>
      </c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  <c r="BK109" s="49"/>
      <c r="BL109" s="49"/>
      <c r="BM109" s="49"/>
      <c r="BN109" s="49"/>
      <c r="BO109" s="49"/>
      <c r="BP109" s="49"/>
      <c r="BQ109" s="49"/>
      <c r="BR109" s="49"/>
      <c r="BS109" s="49"/>
      <c r="BT109" s="49"/>
    </row>
    <row r="110" spans="1:72" s="71" customFormat="1" ht="10.5" customHeight="1" x14ac:dyDescent="0.2">
      <c r="A110" s="79"/>
      <c r="B110" s="80"/>
      <c r="C110" s="93"/>
      <c r="D110" s="81"/>
      <c r="E110" s="81"/>
      <c r="F110" s="84"/>
      <c r="G110" s="82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49"/>
      <c r="BJ110" s="49"/>
      <c r="BK110" s="49"/>
      <c r="BL110" s="49"/>
      <c r="BM110" s="49"/>
      <c r="BN110" s="49"/>
      <c r="BO110" s="49"/>
      <c r="BP110" s="49"/>
      <c r="BQ110" s="49"/>
      <c r="BR110" s="49"/>
      <c r="BS110" s="49"/>
      <c r="BT110" s="49"/>
    </row>
    <row r="111" spans="1:72" s="71" customFormat="1" ht="19.5" customHeight="1" x14ac:dyDescent="0.2">
      <c r="A111" s="64"/>
      <c r="B111" s="359" t="s">
        <v>155</v>
      </c>
      <c r="C111" s="76" t="s">
        <v>452</v>
      </c>
      <c r="D111" s="76" t="s">
        <v>462</v>
      </c>
      <c r="E111" s="81" t="s">
        <v>36</v>
      </c>
      <c r="F111" s="84" t="s">
        <v>36</v>
      </c>
      <c r="G111" s="83">
        <f>SUM(G113)</f>
        <v>10028.529999999999</v>
      </c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  <c r="BF111" s="49"/>
      <c r="BG111" s="49"/>
      <c r="BH111" s="49"/>
      <c r="BI111" s="49"/>
      <c r="BJ111" s="49"/>
      <c r="BK111" s="49"/>
      <c r="BL111" s="49"/>
      <c r="BM111" s="49"/>
      <c r="BN111" s="49"/>
      <c r="BO111" s="49"/>
      <c r="BP111" s="49"/>
      <c r="BQ111" s="49"/>
      <c r="BR111" s="49"/>
      <c r="BS111" s="49"/>
      <c r="BT111" s="49"/>
    </row>
    <row r="112" spans="1:72" s="71" customFormat="1" ht="9" customHeight="1" x14ac:dyDescent="0.2">
      <c r="A112" s="64"/>
      <c r="B112" s="65"/>
      <c r="C112" s="86"/>
      <c r="D112" s="76"/>
      <c r="E112" s="76"/>
      <c r="F112" s="77"/>
      <c r="G112" s="78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49"/>
      <c r="BN112" s="49"/>
      <c r="BO112" s="49"/>
      <c r="BP112" s="49"/>
      <c r="BQ112" s="49"/>
      <c r="BR112" s="49"/>
      <c r="BS112" s="49"/>
      <c r="BT112" s="49"/>
    </row>
    <row r="113" spans="1:72" s="71" customFormat="1" ht="15.75" customHeight="1" x14ac:dyDescent="0.2">
      <c r="A113" s="64"/>
      <c r="B113" s="65"/>
      <c r="C113" s="86"/>
      <c r="D113" s="76"/>
      <c r="E113" s="76"/>
      <c r="F113" s="77"/>
      <c r="G113" s="358">
        <f>SUM(G114:G117)</f>
        <v>10028.529999999999</v>
      </c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49"/>
      <c r="BN113" s="49"/>
      <c r="BO113" s="49"/>
      <c r="BP113" s="49"/>
      <c r="BQ113" s="49"/>
      <c r="BR113" s="49"/>
      <c r="BS113" s="49"/>
      <c r="BT113" s="49"/>
    </row>
    <row r="114" spans="1:72" s="71" customFormat="1" ht="15.75" customHeight="1" x14ac:dyDescent="0.2">
      <c r="A114" s="64"/>
      <c r="B114" s="65"/>
      <c r="C114" s="86"/>
      <c r="D114" s="76"/>
      <c r="E114" s="76" t="s">
        <v>131</v>
      </c>
      <c r="F114" s="77" t="s">
        <v>36</v>
      </c>
      <c r="G114" s="78">
        <f>35.28</f>
        <v>35.28</v>
      </c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49"/>
      <c r="BJ114" s="49"/>
      <c r="BK114" s="49"/>
      <c r="BL114" s="49"/>
      <c r="BM114" s="49"/>
      <c r="BN114" s="49"/>
      <c r="BO114" s="49"/>
      <c r="BP114" s="49"/>
      <c r="BQ114" s="49"/>
      <c r="BR114" s="49"/>
      <c r="BS114" s="49"/>
      <c r="BT114" s="49"/>
    </row>
    <row r="115" spans="1:72" s="71" customFormat="1" ht="15.75" customHeight="1" x14ac:dyDescent="0.2">
      <c r="A115" s="64"/>
      <c r="B115" s="65"/>
      <c r="C115" s="86"/>
      <c r="D115" s="76"/>
      <c r="E115" s="76" t="s">
        <v>454</v>
      </c>
      <c r="F115" s="77" t="s">
        <v>36</v>
      </c>
      <c r="G115" s="78">
        <f>4177.13+1939.42-717+1944.54</f>
        <v>7344.09</v>
      </c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  <c r="BF115" s="49"/>
      <c r="BG115" s="49"/>
      <c r="BH115" s="49"/>
      <c r="BI115" s="49"/>
      <c r="BJ115" s="49"/>
      <c r="BK115" s="49"/>
      <c r="BL115" s="49"/>
      <c r="BM115" s="49"/>
      <c r="BN115" s="49"/>
      <c r="BO115" s="49"/>
      <c r="BP115" s="49"/>
      <c r="BQ115" s="49"/>
      <c r="BR115" s="49"/>
      <c r="BS115" s="49"/>
      <c r="BT115" s="49"/>
    </row>
    <row r="116" spans="1:72" s="71" customFormat="1" ht="15.75" customHeight="1" x14ac:dyDescent="0.2">
      <c r="A116" s="64"/>
      <c r="B116" s="65"/>
      <c r="C116" s="86"/>
      <c r="D116" s="76"/>
      <c r="E116" s="76" t="s">
        <v>447</v>
      </c>
      <c r="F116" s="77" t="s">
        <v>36</v>
      </c>
      <c r="G116" s="78">
        <f>1018.21+473.99+475.24</f>
        <v>1967.44</v>
      </c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49"/>
      <c r="BP116" s="49"/>
      <c r="BQ116" s="49"/>
      <c r="BR116" s="49"/>
      <c r="BS116" s="49"/>
      <c r="BT116" s="49"/>
    </row>
    <row r="117" spans="1:72" s="71" customFormat="1" ht="15.75" customHeight="1" x14ac:dyDescent="0.2">
      <c r="A117" s="64"/>
      <c r="B117" s="65"/>
      <c r="C117" s="86"/>
      <c r="D117" s="76"/>
      <c r="E117" s="76" t="s">
        <v>455</v>
      </c>
      <c r="F117" s="77" t="s">
        <v>36</v>
      </c>
      <c r="G117" s="78">
        <f>681.72</f>
        <v>681.72</v>
      </c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  <c r="BF117" s="49"/>
      <c r="BG117" s="49"/>
      <c r="BH117" s="49"/>
      <c r="BI117" s="49"/>
      <c r="BJ117" s="49"/>
      <c r="BK117" s="49"/>
      <c r="BL117" s="49"/>
      <c r="BM117" s="49"/>
      <c r="BN117" s="49"/>
      <c r="BO117" s="49"/>
      <c r="BP117" s="49"/>
      <c r="BQ117" s="49"/>
      <c r="BR117" s="49"/>
      <c r="BS117" s="49"/>
      <c r="BT117" s="49"/>
    </row>
    <row r="118" spans="1:72" s="71" customFormat="1" ht="10.5" customHeight="1" x14ac:dyDescent="0.2">
      <c r="A118" s="79"/>
      <c r="B118" s="80"/>
      <c r="C118" s="93"/>
      <c r="D118" s="81"/>
      <c r="E118" s="81"/>
      <c r="F118" s="84"/>
      <c r="G118" s="82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  <c r="BF118" s="49"/>
      <c r="BG118" s="49"/>
      <c r="BH118" s="49"/>
      <c r="BI118" s="49"/>
      <c r="BJ118" s="49"/>
      <c r="BK118" s="49"/>
      <c r="BL118" s="49"/>
      <c r="BM118" s="49"/>
      <c r="BN118" s="49"/>
      <c r="BO118" s="49"/>
      <c r="BP118" s="49"/>
      <c r="BQ118" s="49"/>
      <c r="BR118" s="49"/>
      <c r="BS118" s="49"/>
      <c r="BT118" s="49"/>
    </row>
    <row r="119" spans="1:72" s="71" customFormat="1" ht="15.75" customHeight="1" x14ac:dyDescent="0.2">
      <c r="A119" s="64"/>
      <c r="B119" s="65"/>
      <c r="C119" s="76"/>
      <c r="D119" s="76"/>
      <c r="E119" s="81" t="s">
        <v>81</v>
      </c>
      <c r="F119" s="83">
        <f>6242.96+5773.4+1431.89+1201.64+991.36</f>
        <v>15641.25</v>
      </c>
      <c r="G119" s="84" t="s">
        <v>36</v>
      </c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  <c r="BF119" s="49"/>
      <c r="BG119" s="49"/>
      <c r="BH119" s="49"/>
      <c r="BI119" s="49"/>
      <c r="BJ119" s="49"/>
      <c r="BK119" s="49"/>
      <c r="BL119" s="49"/>
      <c r="BM119" s="49"/>
      <c r="BN119" s="49"/>
      <c r="BO119" s="49"/>
      <c r="BP119" s="49"/>
      <c r="BQ119" s="49"/>
      <c r="BR119" s="49"/>
      <c r="BS119" s="49"/>
      <c r="BT119" s="49"/>
    </row>
    <row r="120" spans="1:72" s="71" customFormat="1" ht="24" customHeight="1" x14ac:dyDescent="0.2">
      <c r="A120" s="89" t="s">
        <v>416</v>
      </c>
      <c r="B120" s="94" t="s">
        <v>463</v>
      </c>
      <c r="C120" s="76" t="s">
        <v>464</v>
      </c>
      <c r="D120" s="76" t="s">
        <v>465</v>
      </c>
      <c r="E120" s="67" t="s">
        <v>36</v>
      </c>
      <c r="F120" s="69" t="s">
        <v>36</v>
      </c>
      <c r="G120" s="68">
        <f>SUM(G122)</f>
        <v>15641.25</v>
      </c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49"/>
      <c r="BN120" s="49"/>
      <c r="BO120" s="49"/>
      <c r="BP120" s="49"/>
      <c r="BQ120" s="49"/>
      <c r="BR120" s="49"/>
      <c r="BS120" s="49"/>
      <c r="BT120" s="49"/>
    </row>
    <row r="121" spans="1:72" s="71" customFormat="1" ht="8.25" customHeight="1" x14ac:dyDescent="0.2">
      <c r="A121" s="64"/>
      <c r="B121" s="92"/>
      <c r="C121" s="76"/>
      <c r="D121" s="76"/>
      <c r="E121" s="76"/>
      <c r="F121" s="77"/>
      <c r="G121" s="358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49"/>
      <c r="BN121" s="49"/>
      <c r="BO121" s="49"/>
      <c r="BP121" s="49"/>
      <c r="BQ121" s="49"/>
      <c r="BR121" s="49"/>
      <c r="BS121" s="49"/>
      <c r="BT121" s="49"/>
    </row>
    <row r="122" spans="1:72" s="71" customFormat="1" ht="15.75" customHeight="1" x14ac:dyDescent="0.2">
      <c r="A122" s="64"/>
      <c r="B122" s="359" t="s">
        <v>466</v>
      </c>
      <c r="C122" s="76"/>
      <c r="D122" s="76"/>
      <c r="E122" s="76"/>
      <c r="F122" s="77"/>
      <c r="G122" s="358">
        <f>SUM(G123:G124)</f>
        <v>15641.25</v>
      </c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49"/>
      <c r="BN122" s="49"/>
      <c r="BO122" s="49"/>
      <c r="BP122" s="49"/>
      <c r="BQ122" s="49"/>
      <c r="BR122" s="49"/>
      <c r="BS122" s="49"/>
      <c r="BT122" s="49"/>
    </row>
    <row r="123" spans="1:72" s="71" customFormat="1" ht="15.75" customHeight="1" x14ac:dyDescent="0.2">
      <c r="A123" s="64"/>
      <c r="B123" s="65"/>
      <c r="C123" s="86"/>
      <c r="D123" s="76"/>
      <c r="E123" s="76" t="s">
        <v>446</v>
      </c>
      <c r="F123" s="77" t="s">
        <v>36</v>
      </c>
      <c r="G123" s="78">
        <f>1004.38+11240.6+828.62</f>
        <v>13073.6</v>
      </c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49"/>
      <c r="BN123" s="49"/>
      <c r="BO123" s="49"/>
      <c r="BP123" s="49"/>
      <c r="BQ123" s="49"/>
      <c r="BR123" s="49"/>
      <c r="BS123" s="49"/>
      <c r="BT123" s="49"/>
    </row>
    <row r="124" spans="1:72" s="71" customFormat="1" ht="15.75" customHeight="1" x14ac:dyDescent="0.2">
      <c r="A124" s="64"/>
      <c r="B124" s="65"/>
      <c r="C124" s="86"/>
      <c r="D124" s="76"/>
      <c r="E124" s="76" t="s">
        <v>447</v>
      </c>
      <c r="F124" s="77" t="s">
        <v>36</v>
      </c>
      <c r="G124" s="78">
        <f>197.26+2207.65+162.74</f>
        <v>2567.6499999999996</v>
      </c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49"/>
      <c r="BN124" s="49"/>
      <c r="BO124" s="49"/>
      <c r="BP124" s="49"/>
      <c r="BQ124" s="49"/>
      <c r="BR124" s="49"/>
      <c r="BS124" s="49"/>
      <c r="BT124" s="49"/>
    </row>
    <row r="125" spans="1:72" s="71" customFormat="1" ht="8.25" customHeight="1" x14ac:dyDescent="0.2">
      <c r="A125" s="79"/>
      <c r="B125" s="80"/>
      <c r="C125" s="93"/>
      <c r="D125" s="81"/>
      <c r="E125" s="81"/>
      <c r="F125" s="84"/>
      <c r="G125" s="82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49"/>
      <c r="BN125" s="49"/>
      <c r="BO125" s="49"/>
      <c r="BP125" s="49"/>
      <c r="BQ125" s="49"/>
      <c r="BR125" s="49"/>
      <c r="BS125" s="49"/>
      <c r="BT125" s="49"/>
    </row>
    <row r="126" spans="1:72" s="71" customFormat="1" ht="15.75" customHeight="1" x14ac:dyDescent="0.2">
      <c r="A126" s="64"/>
      <c r="B126" s="65"/>
      <c r="C126" s="76"/>
      <c r="D126" s="76"/>
      <c r="E126" s="81" t="s">
        <v>81</v>
      </c>
      <c r="F126" s="83">
        <f>193360+150000+300000+1504+122160+1824+289960+50000+4384+2816+100000</f>
        <v>1216008</v>
      </c>
      <c r="G126" s="84" t="s">
        <v>36</v>
      </c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49"/>
      <c r="BN126" s="49"/>
      <c r="BO126" s="49"/>
      <c r="BP126" s="49"/>
      <c r="BQ126" s="49"/>
      <c r="BR126" s="49"/>
      <c r="BS126" s="49"/>
      <c r="BT126" s="49"/>
    </row>
    <row r="127" spans="1:72" s="71" customFormat="1" ht="25.5" customHeight="1" x14ac:dyDescent="0.2">
      <c r="A127" s="89" t="s">
        <v>417</v>
      </c>
      <c r="B127" s="91" t="s">
        <v>467</v>
      </c>
      <c r="C127" s="76" t="s">
        <v>468</v>
      </c>
      <c r="D127" s="76" t="s">
        <v>469</v>
      </c>
      <c r="E127" s="67" t="s">
        <v>36</v>
      </c>
      <c r="F127" s="69" t="s">
        <v>36</v>
      </c>
      <c r="G127" s="68">
        <f>SUM(G129)</f>
        <v>1216008</v>
      </c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49"/>
      <c r="BN127" s="49"/>
      <c r="BO127" s="49"/>
      <c r="BP127" s="49"/>
      <c r="BQ127" s="49"/>
      <c r="BR127" s="49"/>
      <c r="BS127" s="49"/>
      <c r="BT127" s="49"/>
    </row>
    <row r="128" spans="1:72" s="71" customFormat="1" ht="10.5" customHeight="1" x14ac:dyDescent="0.2">
      <c r="A128" s="64"/>
      <c r="B128" s="92"/>
      <c r="C128" s="76"/>
      <c r="D128" s="76"/>
      <c r="E128" s="76"/>
      <c r="F128" s="77"/>
      <c r="G128" s="358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49"/>
      <c r="BN128" s="49"/>
      <c r="BO128" s="49"/>
      <c r="BP128" s="49"/>
      <c r="BQ128" s="49"/>
      <c r="BR128" s="49"/>
      <c r="BS128" s="49"/>
      <c r="BT128" s="49"/>
    </row>
    <row r="129" spans="1:72" s="71" customFormat="1" ht="15.75" customHeight="1" x14ac:dyDescent="0.2">
      <c r="A129" s="64"/>
      <c r="B129" s="359" t="s">
        <v>60</v>
      </c>
      <c r="C129" s="76"/>
      <c r="D129" s="76"/>
      <c r="E129" s="76"/>
      <c r="F129" s="77"/>
      <c r="G129" s="358">
        <f>SUM(G130:G132)</f>
        <v>1216008</v>
      </c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49"/>
      <c r="BN129" s="49"/>
      <c r="BO129" s="49"/>
      <c r="BP129" s="49"/>
      <c r="BQ129" s="49"/>
      <c r="BR129" s="49"/>
      <c r="BS129" s="49"/>
      <c r="BT129" s="49"/>
    </row>
    <row r="130" spans="1:72" s="71" customFormat="1" ht="15.75" customHeight="1" x14ac:dyDescent="0.2">
      <c r="A130" s="64"/>
      <c r="B130" s="65"/>
      <c r="C130" s="86"/>
      <c r="D130" s="76"/>
      <c r="E130" s="76" t="s">
        <v>470</v>
      </c>
      <c r="F130" s="77" t="s">
        <v>36</v>
      </c>
      <c r="G130" s="78">
        <f>1055480+50000+100000</f>
        <v>1205480</v>
      </c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49"/>
      <c r="BN130" s="49"/>
      <c r="BO130" s="49"/>
      <c r="BP130" s="49"/>
      <c r="BQ130" s="49"/>
      <c r="BR130" s="49"/>
      <c r="BS130" s="49"/>
      <c r="BT130" s="49"/>
    </row>
    <row r="131" spans="1:72" s="71" customFormat="1" ht="15.75" customHeight="1" x14ac:dyDescent="0.2">
      <c r="A131" s="64"/>
      <c r="B131" s="65"/>
      <c r="C131" s="86"/>
      <c r="D131" s="76"/>
      <c r="E131" s="76" t="s">
        <v>446</v>
      </c>
      <c r="F131" s="77" t="s">
        <v>36</v>
      </c>
      <c r="G131" s="353">
        <f>2774+3656+2348</f>
        <v>8778</v>
      </c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49"/>
      <c r="BN131" s="49"/>
      <c r="BO131" s="49"/>
      <c r="BP131" s="49"/>
      <c r="BQ131" s="49"/>
      <c r="BR131" s="49"/>
      <c r="BS131" s="49"/>
      <c r="BT131" s="49"/>
    </row>
    <row r="132" spans="1:72" s="71" customFormat="1" ht="15.75" customHeight="1" x14ac:dyDescent="0.2">
      <c r="A132" s="64"/>
      <c r="B132" s="65"/>
      <c r="C132" s="86"/>
      <c r="D132" s="76"/>
      <c r="E132" s="76" t="s">
        <v>447</v>
      </c>
      <c r="F132" s="77" t="s">
        <v>36</v>
      </c>
      <c r="G132" s="78">
        <f>485+69+728+468</f>
        <v>1750</v>
      </c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  <c r="AP132" s="49"/>
      <c r="AQ132" s="49"/>
      <c r="AR132" s="49"/>
      <c r="AS132" s="49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  <c r="BF132" s="49"/>
      <c r="BG132" s="49"/>
      <c r="BH132" s="49"/>
      <c r="BI132" s="49"/>
      <c r="BJ132" s="49"/>
      <c r="BK132" s="49"/>
      <c r="BL132" s="49"/>
      <c r="BM132" s="49"/>
      <c r="BN132" s="49"/>
      <c r="BO132" s="49"/>
      <c r="BP132" s="49"/>
      <c r="BQ132" s="49"/>
      <c r="BR132" s="49"/>
      <c r="BS132" s="49"/>
      <c r="BT132" s="49"/>
    </row>
    <row r="133" spans="1:72" s="71" customFormat="1" ht="11.25" customHeight="1" x14ac:dyDescent="0.2">
      <c r="A133" s="79"/>
      <c r="B133" s="80"/>
      <c r="C133" s="93"/>
      <c r="D133" s="81"/>
      <c r="E133" s="81"/>
      <c r="F133" s="84"/>
      <c r="G133" s="82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49"/>
      <c r="AP133" s="49"/>
      <c r="AQ133" s="49"/>
      <c r="AR133" s="49"/>
      <c r="AS133" s="49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  <c r="BF133" s="49"/>
      <c r="BG133" s="49"/>
      <c r="BH133" s="49"/>
      <c r="BI133" s="49"/>
      <c r="BJ133" s="49"/>
      <c r="BK133" s="49"/>
      <c r="BL133" s="49"/>
      <c r="BM133" s="49"/>
      <c r="BN133" s="49"/>
      <c r="BO133" s="49"/>
      <c r="BP133" s="49"/>
      <c r="BQ133" s="49"/>
      <c r="BR133" s="49"/>
      <c r="BS133" s="49"/>
      <c r="BT133" s="49"/>
    </row>
    <row r="134" spans="1:72" s="71" customFormat="1" ht="15.75" customHeight="1" x14ac:dyDescent="0.2">
      <c r="A134" s="64"/>
      <c r="B134" s="65"/>
      <c r="C134" s="76"/>
      <c r="D134" s="76"/>
      <c r="E134" s="81" t="s">
        <v>81</v>
      </c>
      <c r="F134" s="83">
        <f>195780+264660+288000+244500</f>
        <v>992940</v>
      </c>
      <c r="G134" s="84" t="s">
        <v>36</v>
      </c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49"/>
      <c r="AM134" s="49"/>
      <c r="AN134" s="49"/>
      <c r="AO134" s="49"/>
      <c r="AP134" s="49"/>
      <c r="AQ134" s="49"/>
      <c r="AR134" s="49"/>
      <c r="AS134" s="49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  <c r="BF134" s="49"/>
      <c r="BG134" s="49"/>
      <c r="BH134" s="49"/>
      <c r="BI134" s="49"/>
      <c r="BJ134" s="49"/>
      <c r="BK134" s="49"/>
      <c r="BL134" s="49"/>
      <c r="BM134" s="49"/>
      <c r="BN134" s="49"/>
      <c r="BO134" s="49"/>
      <c r="BP134" s="49"/>
      <c r="BQ134" s="49"/>
      <c r="BR134" s="49"/>
      <c r="BS134" s="49"/>
      <c r="BT134" s="49"/>
    </row>
    <row r="135" spans="1:72" s="71" customFormat="1" ht="23.25" customHeight="1" x14ac:dyDescent="0.2">
      <c r="A135" s="89" t="s">
        <v>419</v>
      </c>
      <c r="B135" s="91" t="s">
        <v>471</v>
      </c>
      <c r="C135" s="76" t="s">
        <v>468</v>
      </c>
      <c r="D135" s="76" t="s">
        <v>469</v>
      </c>
      <c r="E135" s="67" t="s">
        <v>36</v>
      </c>
      <c r="F135" s="69" t="s">
        <v>36</v>
      </c>
      <c r="G135" s="68">
        <f>SUM(G137,G140,G145)</f>
        <v>992939.99999999977</v>
      </c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</row>
    <row r="136" spans="1:72" s="71" customFormat="1" ht="9.75" customHeight="1" x14ac:dyDescent="0.2">
      <c r="A136" s="64"/>
      <c r="B136" s="92"/>
      <c r="C136" s="76"/>
      <c r="D136" s="76"/>
      <c r="E136" s="76"/>
      <c r="F136" s="77"/>
      <c r="G136" s="358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</row>
    <row r="137" spans="1:72" s="71" customFormat="1" ht="25.5" customHeight="1" x14ac:dyDescent="0.2">
      <c r="A137" s="64"/>
      <c r="B137" s="360" t="s">
        <v>76</v>
      </c>
      <c r="C137" s="76"/>
      <c r="D137" s="76"/>
      <c r="E137" s="76"/>
      <c r="F137" s="77"/>
      <c r="G137" s="358">
        <f>SUM(G138:G138)</f>
        <v>869310.8899999999</v>
      </c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49"/>
      <c r="BN137" s="49"/>
      <c r="BO137" s="49"/>
      <c r="BP137" s="49"/>
      <c r="BQ137" s="49"/>
      <c r="BR137" s="49"/>
      <c r="BS137" s="49"/>
      <c r="BT137" s="49"/>
    </row>
    <row r="138" spans="1:72" s="71" customFormat="1" ht="15.75" customHeight="1" x14ac:dyDescent="0.2">
      <c r="A138" s="64"/>
      <c r="B138" s="65"/>
      <c r="C138" s="86"/>
      <c r="D138" s="76"/>
      <c r="E138" s="76" t="s">
        <v>442</v>
      </c>
      <c r="F138" s="77" t="s">
        <v>36</v>
      </c>
      <c r="G138" s="78">
        <f>288000+431742.16-40114.41+244500-23763.41-31053.45</f>
        <v>869310.8899999999</v>
      </c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49"/>
      <c r="BN138" s="49"/>
      <c r="BO138" s="49"/>
      <c r="BP138" s="49"/>
      <c r="BQ138" s="49"/>
      <c r="BR138" s="49"/>
      <c r="BS138" s="49"/>
      <c r="BT138" s="49"/>
    </row>
    <row r="139" spans="1:72" s="71" customFormat="1" ht="10.5" customHeight="1" x14ac:dyDescent="0.2">
      <c r="A139" s="79"/>
      <c r="B139" s="80"/>
      <c r="C139" s="93"/>
      <c r="D139" s="81"/>
      <c r="E139" s="81"/>
      <c r="F139" s="84"/>
      <c r="G139" s="82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49"/>
      <c r="BN139" s="49"/>
      <c r="BO139" s="49"/>
      <c r="BP139" s="49"/>
      <c r="BQ139" s="49"/>
      <c r="BR139" s="49"/>
      <c r="BS139" s="49"/>
      <c r="BT139" s="49"/>
    </row>
    <row r="140" spans="1:72" s="71" customFormat="1" ht="19.5" customHeight="1" x14ac:dyDescent="0.2">
      <c r="A140" s="64"/>
      <c r="B140" s="359" t="s">
        <v>472</v>
      </c>
      <c r="C140" s="76"/>
      <c r="D140" s="76"/>
      <c r="E140" s="76"/>
      <c r="F140" s="77"/>
      <c r="G140" s="358">
        <f>SUM(G141:G143)</f>
        <v>123315.41999999998</v>
      </c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49"/>
      <c r="BN140" s="49"/>
      <c r="BO140" s="49"/>
      <c r="BP140" s="49"/>
      <c r="BQ140" s="49"/>
      <c r="BR140" s="49"/>
      <c r="BS140" s="49"/>
      <c r="BT140" s="49"/>
    </row>
    <row r="141" spans="1:72" s="71" customFormat="1" ht="15.75" customHeight="1" x14ac:dyDescent="0.2">
      <c r="A141" s="64"/>
      <c r="B141" s="359"/>
      <c r="C141" s="86"/>
      <c r="D141" s="76"/>
      <c r="E141" s="76" t="s">
        <v>131</v>
      </c>
      <c r="F141" s="77" t="s">
        <v>36</v>
      </c>
      <c r="G141" s="78">
        <v>386.17</v>
      </c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49"/>
      <c r="BN141" s="49"/>
      <c r="BO141" s="49"/>
      <c r="BP141" s="49"/>
      <c r="BQ141" s="49"/>
      <c r="BR141" s="49"/>
      <c r="BS141" s="49"/>
      <c r="BT141" s="49"/>
    </row>
    <row r="142" spans="1:72" s="71" customFormat="1" ht="15.75" customHeight="1" x14ac:dyDescent="0.2">
      <c r="A142" s="64"/>
      <c r="B142" s="65"/>
      <c r="C142" s="86"/>
      <c r="D142" s="76"/>
      <c r="E142" s="76" t="s">
        <v>442</v>
      </c>
      <c r="F142" s="77" t="s">
        <v>36</v>
      </c>
      <c r="G142" s="78">
        <f>2056.23+12473.87+3535.72+7349.78</f>
        <v>25415.599999999999</v>
      </c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  <c r="AL142" s="49"/>
      <c r="AM142" s="49"/>
      <c r="AN142" s="49"/>
      <c r="AO142" s="49"/>
      <c r="AP142" s="49"/>
      <c r="AQ142" s="49"/>
      <c r="AR142" s="49"/>
      <c r="AS142" s="49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  <c r="BF142" s="49"/>
      <c r="BG142" s="49"/>
      <c r="BH142" s="49"/>
      <c r="BI142" s="49"/>
      <c r="BJ142" s="49"/>
      <c r="BK142" s="49"/>
      <c r="BL142" s="49"/>
      <c r="BM142" s="49"/>
      <c r="BN142" s="49"/>
      <c r="BO142" s="49"/>
      <c r="BP142" s="49"/>
      <c r="BQ142" s="49"/>
      <c r="BR142" s="49"/>
      <c r="BS142" s="49"/>
      <c r="BT142" s="49"/>
    </row>
    <row r="143" spans="1:72" s="71" customFormat="1" ht="15.75" customHeight="1" x14ac:dyDescent="0.2">
      <c r="A143" s="64"/>
      <c r="B143" s="65"/>
      <c r="C143" s="86"/>
      <c r="D143" s="76"/>
      <c r="E143" s="76" t="s">
        <v>455</v>
      </c>
      <c r="F143" s="77" t="s">
        <v>36</v>
      </c>
      <c r="G143" s="78">
        <f>26641.61+27326.85+19841.52+23703.67</f>
        <v>97513.65</v>
      </c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49"/>
      <c r="BN143" s="49"/>
      <c r="BO143" s="49"/>
      <c r="BP143" s="49"/>
      <c r="BQ143" s="49"/>
      <c r="BR143" s="49"/>
      <c r="BS143" s="49"/>
      <c r="BT143" s="49"/>
    </row>
    <row r="144" spans="1:72" s="71" customFormat="1" ht="15.75" customHeight="1" x14ac:dyDescent="0.2">
      <c r="A144" s="64"/>
      <c r="B144" s="65"/>
      <c r="C144" s="86"/>
      <c r="D144" s="76"/>
      <c r="E144" s="76"/>
      <c r="F144" s="77"/>
      <c r="G144" s="78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49"/>
      <c r="BN144" s="49"/>
      <c r="BO144" s="49"/>
      <c r="BP144" s="49"/>
      <c r="BQ144" s="49"/>
      <c r="BR144" s="49"/>
      <c r="BS144" s="49"/>
      <c r="BT144" s="49"/>
    </row>
    <row r="145" spans="1:72" s="71" customFormat="1" ht="25.5" customHeight="1" x14ac:dyDescent="0.2">
      <c r="A145" s="64"/>
      <c r="B145" s="360" t="s">
        <v>237</v>
      </c>
      <c r="C145" s="76"/>
      <c r="D145" s="76"/>
      <c r="E145" s="76"/>
      <c r="F145" s="77"/>
      <c r="G145" s="358">
        <f>SUM(G146:G146)</f>
        <v>313.69</v>
      </c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49"/>
      <c r="BN145" s="49"/>
      <c r="BO145" s="49"/>
      <c r="BP145" s="49"/>
      <c r="BQ145" s="49"/>
      <c r="BR145" s="49"/>
      <c r="BS145" s="49"/>
      <c r="BT145" s="49"/>
    </row>
    <row r="146" spans="1:72" s="71" customFormat="1" ht="15.75" customHeight="1" x14ac:dyDescent="0.2">
      <c r="A146" s="64"/>
      <c r="B146" s="65"/>
      <c r="C146" s="86"/>
      <c r="D146" s="76"/>
      <c r="E146" s="76" t="s">
        <v>131</v>
      </c>
      <c r="F146" s="77" t="s">
        <v>36</v>
      </c>
      <c r="G146" s="78">
        <v>313.69</v>
      </c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49"/>
      <c r="BN146" s="49"/>
      <c r="BO146" s="49"/>
      <c r="BP146" s="49"/>
      <c r="BQ146" s="49"/>
      <c r="BR146" s="49"/>
      <c r="BS146" s="49"/>
      <c r="BT146" s="49"/>
    </row>
    <row r="147" spans="1:72" s="71" customFormat="1" ht="15.75" customHeight="1" x14ac:dyDescent="0.2">
      <c r="A147" s="79"/>
      <c r="B147" s="80"/>
      <c r="C147" s="93"/>
      <c r="D147" s="81"/>
      <c r="E147" s="81"/>
      <c r="F147" s="84"/>
      <c r="G147" s="82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  <c r="AL147" s="49"/>
      <c r="AM147" s="49"/>
      <c r="AN147" s="49"/>
      <c r="AO147" s="49"/>
      <c r="AP147" s="49"/>
      <c r="AQ147" s="49"/>
      <c r="AR147" s="49"/>
      <c r="AS147" s="49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  <c r="BF147" s="49"/>
      <c r="BG147" s="49"/>
      <c r="BH147" s="49"/>
      <c r="BI147" s="49"/>
      <c r="BJ147" s="49"/>
      <c r="BK147" s="49"/>
      <c r="BL147" s="49"/>
      <c r="BM147" s="49"/>
      <c r="BN147" s="49"/>
      <c r="BO147" s="49"/>
      <c r="BP147" s="49"/>
      <c r="BQ147" s="49"/>
      <c r="BR147" s="49"/>
      <c r="BS147" s="49"/>
      <c r="BT147" s="49"/>
    </row>
    <row r="148" spans="1:72" s="71" customFormat="1" ht="15.75" customHeight="1" x14ac:dyDescent="0.2">
      <c r="A148" s="64"/>
      <c r="B148" s="65"/>
      <c r="C148" s="76"/>
      <c r="D148" s="76"/>
      <c r="E148" s="81" t="s">
        <v>81</v>
      </c>
      <c r="F148" s="83">
        <v>295.87</v>
      </c>
      <c r="G148" s="84" t="s">
        <v>36</v>
      </c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49"/>
      <c r="AM148" s="49"/>
      <c r="AN148" s="49"/>
      <c r="AO148" s="49"/>
      <c r="AP148" s="49"/>
      <c r="AQ148" s="49"/>
      <c r="AR148" s="49"/>
      <c r="AS148" s="49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  <c r="BF148" s="49"/>
      <c r="BG148" s="49"/>
      <c r="BH148" s="49"/>
      <c r="BI148" s="49"/>
      <c r="BJ148" s="49"/>
      <c r="BK148" s="49"/>
      <c r="BL148" s="49"/>
      <c r="BM148" s="49"/>
      <c r="BN148" s="49"/>
      <c r="BO148" s="49"/>
      <c r="BP148" s="49"/>
      <c r="BQ148" s="49"/>
      <c r="BR148" s="49"/>
      <c r="BS148" s="49"/>
      <c r="BT148" s="49"/>
    </row>
    <row r="149" spans="1:72" s="71" customFormat="1" ht="24" customHeight="1" x14ac:dyDescent="0.2">
      <c r="A149" s="89" t="s">
        <v>420</v>
      </c>
      <c r="B149" s="91" t="s">
        <v>473</v>
      </c>
      <c r="C149" s="76" t="s">
        <v>38</v>
      </c>
      <c r="D149" s="76" t="s">
        <v>474</v>
      </c>
      <c r="E149" s="67" t="s">
        <v>36</v>
      </c>
      <c r="F149" s="69" t="s">
        <v>36</v>
      </c>
      <c r="G149" s="68">
        <f>SUM(G151)</f>
        <v>295.87</v>
      </c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  <c r="AL149" s="49"/>
      <c r="AM149" s="49"/>
      <c r="AN149" s="49"/>
      <c r="AO149" s="49"/>
      <c r="AP149" s="49"/>
      <c r="AQ149" s="49"/>
      <c r="AR149" s="49"/>
      <c r="AS149" s="49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  <c r="BF149" s="49"/>
      <c r="BG149" s="49"/>
      <c r="BH149" s="49"/>
      <c r="BI149" s="49"/>
      <c r="BJ149" s="49"/>
      <c r="BK149" s="49"/>
      <c r="BL149" s="49"/>
      <c r="BM149" s="49"/>
      <c r="BN149" s="49"/>
      <c r="BO149" s="49"/>
      <c r="BP149" s="49"/>
      <c r="BQ149" s="49"/>
      <c r="BR149" s="49"/>
      <c r="BS149" s="49"/>
      <c r="BT149" s="49"/>
    </row>
    <row r="150" spans="1:72" s="71" customFormat="1" ht="15.75" customHeight="1" x14ac:dyDescent="0.2">
      <c r="A150" s="64"/>
      <c r="B150" s="92"/>
      <c r="C150" s="76"/>
      <c r="D150" s="76"/>
      <c r="E150" s="76"/>
      <c r="F150" s="77"/>
      <c r="G150" s="358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9"/>
      <c r="AL150" s="49"/>
      <c r="AM150" s="49"/>
      <c r="AN150" s="49"/>
      <c r="AO150" s="49"/>
      <c r="AP150" s="49"/>
      <c r="AQ150" s="49"/>
      <c r="AR150" s="49"/>
      <c r="AS150" s="49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  <c r="BF150" s="49"/>
      <c r="BG150" s="49"/>
      <c r="BH150" s="49"/>
      <c r="BI150" s="49"/>
      <c r="BJ150" s="49"/>
      <c r="BK150" s="49"/>
      <c r="BL150" s="49"/>
      <c r="BM150" s="49"/>
      <c r="BN150" s="49"/>
      <c r="BO150" s="49"/>
      <c r="BP150" s="49"/>
      <c r="BQ150" s="49"/>
      <c r="BR150" s="49"/>
      <c r="BS150" s="49"/>
      <c r="BT150" s="49"/>
    </row>
    <row r="151" spans="1:72" s="71" customFormat="1" ht="15.75" customHeight="1" x14ac:dyDescent="0.2">
      <c r="A151" s="64"/>
      <c r="B151" s="360" t="s">
        <v>475</v>
      </c>
      <c r="C151" s="76"/>
      <c r="D151" s="76"/>
      <c r="E151" s="76"/>
      <c r="F151" s="77"/>
      <c r="G151" s="358">
        <f>SUM(G152:G152)</f>
        <v>295.87</v>
      </c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9"/>
      <c r="AL151" s="49"/>
      <c r="AM151" s="49"/>
      <c r="AN151" s="49"/>
      <c r="AO151" s="49"/>
      <c r="AP151" s="49"/>
      <c r="AQ151" s="49"/>
      <c r="AR151" s="49"/>
      <c r="AS151" s="49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  <c r="BF151" s="49"/>
      <c r="BG151" s="49"/>
      <c r="BH151" s="49"/>
      <c r="BI151" s="49"/>
      <c r="BJ151" s="49"/>
      <c r="BK151" s="49"/>
      <c r="BL151" s="49"/>
      <c r="BM151" s="49"/>
      <c r="BN151" s="49"/>
      <c r="BO151" s="49"/>
      <c r="BP151" s="49"/>
      <c r="BQ151" s="49"/>
      <c r="BR151" s="49"/>
      <c r="BS151" s="49"/>
      <c r="BT151" s="49"/>
    </row>
    <row r="152" spans="1:72" s="71" customFormat="1" ht="15.75" customHeight="1" x14ac:dyDescent="0.2">
      <c r="A152" s="64"/>
      <c r="B152" s="65"/>
      <c r="C152" s="76"/>
      <c r="D152" s="76"/>
      <c r="E152" s="76" t="s">
        <v>131</v>
      </c>
      <c r="F152" s="77" t="s">
        <v>36</v>
      </c>
      <c r="G152" s="78">
        <v>295.87</v>
      </c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  <c r="BR152" s="49"/>
      <c r="BS152" s="49"/>
      <c r="BT152" s="49"/>
    </row>
    <row r="153" spans="1:72" s="71" customFormat="1" ht="15.75" customHeight="1" x14ac:dyDescent="0.2">
      <c r="A153" s="79"/>
      <c r="B153" s="80"/>
      <c r="C153" s="93"/>
      <c r="D153" s="81"/>
      <c r="E153" s="81"/>
      <c r="F153" s="84"/>
      <c r="G153" s="82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49"/>
      <c r="AM153" s="49"/>
      <c r="AN153" s="49"/>
      <c r="AO153" s="49"/>
      <c r="AP153" s="49"/>
      <c r="AQ153" s="49"/>
      <c r="AR153" s="49"/>
      <c r="AS153" s="49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  <c r="BF153" s="49"/>
      <c r="BG153" s="49"/>
      <c r="BH153" s="49"/>
      <c r="BI153" s="49"/>
      <c r="BJ153" s="49"/>
      <c r="BK153" s="49"/>
      <c r="BL153" s="49"/>
      <c r="BM153" s="49"/>
      <c r="BN153" s="49"/>
      <c r="BO153" s="49"/>
      <c r="BP153" s="49"/>
      <c r="BQ153" s="49"/>
      <c r="BR153" s="49"/>
      <c r="BS153" s="49"/>
      <c r="BT153" s="49"/>
    </row>
    <row r="154" spans="1:72" s="71" customFormat="1" ht="15.75" customHeight="1" x14ac:dyDescent="0.2">
      <c r="A154" s="64"/>
      <c r="B154" s="65"/>
      <c r="C154" s="76"/>
      <c r="D154" s="76"/>
      <c r="E154" s="81" t="s">
        <v>81</v>
      </c>
      <c r="F154" s="83">
        <v>1050</v>
      </c>
      <c r="G154" s="84" t="s">
        <v>36</v>
      </c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9"/>
      <c r="AL154" s="49"/>
      <c r="AM154" s="49"/>
      <c r="AN154" s="49"/>
      <c r="AO154" s="49"/>
      <c r="AP154" s="49"/>
      <c r="AQ154" s="49"/>
      <c r="AR154" s="49"/>
      <c r="AS154" s="49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  <c r="BF154" s="49"/>
      <c r="BG154" s="49"/>
      <c r="BH154" s="49"/>
      <c r="BI154" s="49"/>
      <c r="BJ154" s="49"/>
      <c r="BK154" s="49"/>
      <c r="BL154" s="49"/>
      <c r="BM154" s="49"/>
      <c r="BN154" s="49"/>
      <c r="BO154" s="49"/>
      <c r="BP154" s="49"/>
      <c r="BQ154" s="49"/>
      <c r="BR154" s="49"/>
      <c r="BS154" s="49"/>
      <c r="BT154" s="49"/>
    </row>
    <row r="155" spans="1:72" s="71" customFormat="1" ht="48" customHeight="1" x14ac:dyDescent="0.2">
      <c r="A155" s="89" t="s">
        <v>422</v>
      </c>
      <c r="B155" s="91" t="s">
        <v>476</v>
      </c>
      <c r="C155" s="76" t="s">
        <v>449</v>
      </c>
      <c r="D155" s="76" t="s">
        <v>477</v>
      </c>
      <c r="E155" s="67" t="s">
        <v>36</v>
      </c>
      <c r="F155" s="69" t="s">
        <v>36</v>
      </c>
      <c r="G155" s="68">
        <f>SUM(G157)</f>
        <v>1050</v>
      </c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9"/>
      <c r="AL155" s="49"/>
      <c r="AM155" s="49"/>
      <c r="AN155" s="49"/>
      <c r="AO155" s="49"/>
      <c r="AP155" s="49"/>
      <c r="AQ155" s="49"/>
      <c r="AR155" s="49"/>
      <c r="AS155" s="49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  <c r="BF155" s="49"/>
      <c r="BG155" s="49"/>
      <c r="BH155" s="49"/>
      <c r="BI155" s="49"/>
      <c r="BJ155" s="49"/>
      <c r="BK155" s="49"/>
      <c r="BL155" s="49"/>
      <c r="BM155" s="49"/>
      <c r="BN155" s="49"/>
      <c r="BO155" s="49"/>
      <c r="BP155" s="49"/>
      <c r="BQ155" s="49"/>
      <c r="BR155" s="49"/>
      <c r="BS155" s="49"/>
      <c r="BT155" s="49"/>
    </row>
    <row r="156" spans="1:72" s="71" customFormat="1" ht="15.75" customHeight="1" x14ac:dyDescent="0.2">
      <c r="A156" s="64"/>
      <c r="B156" s="65"/>
      <c r="C156" s="86"/>
      <c r="D156" s="76"/>
      <c r="E156" s="76"/>
      <c r="F156" s="77"/>
      <c r="G156" s="78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9"/>
      <c r="AL156" s="49"/>
      <c r="AM156" s="49"/>
      <c r="AN156" s="49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9"/>
      <c r="BK156" s="49"/>
      <c r="BL156" s="49"/>
      <c r="BM156" s="49"/>
      <c r="BN156" s="49"/>
      <c r="BO156" s="49"/>
      <c r="BP156" s="49"/>
      <c r="BQ156" s="49"/>
      <c r="BR156" s="49"/>
      <c r="BS156" s="49"/>
      <c r="BT156" s="49"/>
    </row>
    <row r="157" spans="1:72" s="71" customFormat="1" ht="26.25" customHeight="1" x14ac:dyDescent="0.2">
      <c r="A157" s="64"/>
      <c r="B157" s="360" t="s">
        <v>478</v>
      </c>
      <c r="C157" s="76"/>
      <c r="D157" s="76"/>
      <c r="E157" s="76"/>
      <c r="F157" s="77"/>
      <c r="G157" s="358">
        <f>SUM(G158:G158)</f>
        <v>1050</v>
      </c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  <c r="AL157" s="49"/>
      <c r="AM157" s="49"/>
      <c r="AN157" s="49"/>
      <c r="AO157" s="49"/>
      <c r="AP157" s="49"/>
      <c r="AQ157" s="49"/>
      <c r="AR157" s="49"/>
      <c r="AS157" s="49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  <c r="BF157" s="49"/>
      <c r="BG157" s="49"/>
      <c r="BH157" s="49"/>
      <c r="BI157" s="49"/>
      <c r="BJ157" s="49"/>
      <c r="BK157" s="49"/>
      <c r="BL157" s="49"/>
      <c r="BM157" s="49"/>
      <c r="BN157" s="49"/>
      <c r="BO157" s="49"/>
      <c r="BP157" s="49"/>
      <c r="BQ157" s="49"/>
      <c r="BR157" s="49"/>
      <c r="BS157" s="49"/>
      <c r="BT157" s="49"/>
    </row>
    <row r="158" spans="1:72" s="71" customFormat="1" ht="15.75" customHeight="1" x14ac:dyDescent="0.2">
      <c r="A158" s="64"/>
      <c r="B158" s="65"/>
      <c r="C158" s="76"/>
      <c r="D158" s="76"/>
      <c r="E158" s="76" t="s">
        <v>131</v>
      </c>
      <c r="F158" s="77" t="s">
        <v>36</v>
      </c>
      <c r="G158" s="78">
        <v>1050</v>
      </c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9"/>
      <c r="AL158" s="49"/>
      <c r="AM158" s="49"/>
      <c r="AN158" s="49"/>
      <c r="AO158" s="49"/>
      <c r="AP158" s="49"/>
      <c r="AQ158" s="49"/>
      <c r="AR158" s="49"/>
      <c r="AS158" s="49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  <c r="BF158" s="49"/>
      <c r="BG158" s="49"/>
      <c r="BH158" s="49"/>
      <c r="BI158" s="49"/>
      <c r="BJ158" s="49"/>
      <c r="BK158" s="49"/>
      <c r="BL158" s="49"/>
      <c r="BM158" s="49"/>
      <c r="BN158" s="49"/>
      <c r="BO158" s="49"/>
      <c r="BP158" s="49"/>
      <c r="BQ158" s="49"/>
      <c r="BR158" s="49"/>
      <c r="BS158" s="49"/>
      <c r="BT158" s="49"/>
    </row>
    <row r="159" spans="1:72" s="71" customFormat="1" ht="15.75" customHeight="1" x14ac:dyDescent="0.2">
      <c r="A159" s="79"/>
      <c r="B159" s="80"/>
      <c r="C159" s="93"/>
      <c r="D159" s="81"/>
      <c r="E159" s="81"/>
      <c r="F159" s="84"/>
      <c r="G159" s="82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49"/>
      <c r="BN159" s="49"/>
      <c r="BO159" s="49"/>
      <c r="BP159" s="49"/>
      <c r="BQ159" s="49"/>
      <c r="BR159" s="49"/>
      <c r="BS159" s="49"/>
      <c r="BT159" s="49"/>
    </row>
    <row r="160" spans="1:72" s="71" customFormat="1" ht="15.75" customHeight="1" x14ac:dyDescent="0.2">
      <c r="A160" s="64"/>
      <c r="B160" s="65"/>
      <c r="C160" s="76"/>
      <c r="D160" s="76"/>
      <c r="E160" s="81" t="s">
        <v>81</v>
      </c>
      <c r="F160" s="83">
        <v>717</v>
      </c>
      <c r="G160" s="84" t="s">
        <v>36</v>
      </c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49"/>
      <c r="BN160" s="49"/>
      <c r="BO160" s="49"/>
      <c r="BP160" s="49"/>
      <c r="BQ160" s="49"/>
      <c r="BR160" s="49"/>
      <c r="BS160" s="49"/>
      <c r="BT160" s="49"/>
    </row>
    <row r="161" spans="1:72" s="71" customFormat="1" ht="15.75" customHeight="1" x14ac:dyDescent="0.2">
      <c r="A161" s="89" t="s">
        <v>423</v>
      </c>
      <c r="B161" s="94" t="s">
        <v>479</v>
      </c>
      <c r="C161" s="76" t="s">
        <v>48</v>
      </c>
      <c r="D161" s="76" t="s">
        <v>480</v>
      </c>
      <c r="E161" s="67" t="s">
        <v>36</v>
      </c>
      <c r="F161" s="69" t="s">
        <v>36</v>
      </c>
      <c r="G161" s="68">
        <f>SUM(G163)</f>
        <v>717</v>
      </c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49"/>
      <c r="BN161" s="49"/>
      <c r="BO161" s="49"/>
      <c r="BP161" s="49"/>
      <c r="BQ161" s="49"/>
      <c r="BR161" s="49"/>
      <c r="BS161" s="49"/>
      <c r="BT161" s="49"/>
    </row>
    <row r="162" spans="1:72" s="71" customFormat="1" ht="15.75" customHeight="1" x14ac:dyDescent="0.2">
      <c r="A162" s="64"/>
      <c r="B162" s="92"/>
      <c r="C162" s="76"/>
      <c r="D162" s="76"/>
      <c r="E162" s="76"/>
      <c r="F162" s="77"/>
      <c r="G162" s="358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49"/>
      <c r="BN162" s="49"/>
      <c r="BO162" s="49"/>
      <c r="BP162" s="49"/>
      <c r="BQ162" s="49"/>
      <c r="BR162" s="49"/>
      <c r="BS162" s="49"/>
      <c r="BT162" s="49"/>
    </row>
    <row r="163" spans="1:72" s="71" customFormat="1" ht="15.75" customHeight="1" x14ac:dyDescent="0.2">
      <c r="A163" s="64"/>
      <c r="B163" s="359" t="s">
        <v>60</v>
      </c>
      <c r="C163" s="76"/>
      <c r="D163" s="76"/>
      <c r="E163" s="76"/>
      <c r="F163" s="77"/>
      <c r="G163" s="358">
        <f>SUM(G164:G164)</f>
        <v>717</v>
      </c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49"/>
      <c r="BN163" s="49"/>
      <c r="BO163" s="49"/>
      <c r="BP163" s="49"/>
      <c r="BQ163" s="49"/>
      <c r="BR163" s="49"/>
      <c r="BS163" s="49"/>
      <c r="BT163" s="49"/>
    </row>
    <row r="164" spans="1:72" s="71" customFormat="1" ht="15.75" customHeight="1" x14ac:dyDescent="0.2">
      <c r="A164" s="64"/>
      <c r="B164" s="65"/>
      <c r="C164" s="86"/>
      <c r="D164" s="76"/>
      <c r="E164" s="76" t="s">
        <v>441</v>
      </c>
      <c r="F164" s="77" t="s">
        <v>36</v>
      </c>
      <c r="G164" s="78">
        <v>717</v>
      </c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49"/>
      <c r="BN164" s="49"/>
      <c r="BO164" s="49"/>
      <c r="BP164" s="49"/>
      <c r="BQ164" s="49"/>
      <c r="BR164" s="49"/>
      <c r="BS164" s="49"/>
      <c r="BT164" s="49"/>
    </row>
    <row r="165" spans="1:72" s="60" customFormat="1" ht="15.75" customHeight="1" x14ac:dyDescent="0.2">
      <c r="A165" s="79"/>
      <c r="B165" s="80"/>
      <c r="C165" s="86"/>
      <c r="D165" s="76"/>
      <c r="E165" s="81"/>
      <c r="F165" s="82"/>
      <c r="G165" s="82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  <c r="AA165" s="59"/>
      <c r="AB165" s="59"/>
      <c r="AC165" s="59"/>
      <c r="AD165" s="59"/>
      <c r="AE165" s="59"/>
      <c r="AF165" s="59"/>
      <c r="AG165" s="59"/>
      <c r="AH165" s="59"/>
      <c r="AI165" s="59"/>
      <c r="AJ165" s="59"/>
      <c r="AK165" s="59"/>
      <c r="AL165" s="59"/>
      <c r="AM165" s="59"/>
      <c r="AN165" s="59"/>
      <c r="AO165" s="59"/>
      <c r="AP165" s="59"/>
      <c r="AQ165" s="59"/>
      <c r="AR165" s="59"/>
      <c r="AS165" s="59"/>
      <c r="AT165" s="59"/>
      <c r="AU165" s="59"/>
      <c r="AV165" s="59"/>
      <c r="AW165" s="59"/>
      <c r="AX165" s="59"/>
      <c r="AY165" s="59"/>
      <c r="AZ165" s="59"/>
      <c r="BA165" s="59"/>
      <c r="BB165" s="59"/>
      <c r="BC165" s="59"/>
      <c r="BD165" s="59"/>
      <c r="BE165" s="59"/>
      <c r="BF165" s="59"/>
      <c r="BG165" s="59"/>
      <c r="BH165" s="59"/>
      <c r="BI165" s="59"/>
      <c r="BJ165" s="59"/>
      <c r="BK165" s="59"/>
      <c r="BL165" s="59"/>
      <c r="BM165" s="59"/>
      <c r="BN165" s="59"/>
      <c r="BO165" s="59"/>
      <c r="BP165" s="59"/>
      <c r="BQ165" s="59"/>
      <c r="BR165" s="59"/>
      <c r="BS165" s="59"/>
      <c r="BT165" s="59"/>
    </row>
    <row r="166" spans="1:72" s="60" customFormat="1" ht="27" customHeight="1" x14ac:dyDescent="0.2">
      <c r="A166" s="361"/>
      <c r="B166" s="362" t="s">
        <v>42</v>
      </c>
      <c r="C166" s="363"/>
      <c r="D166" s="364"/>
      <c r="E166" s="365"/>
      <c r="F166" s="365">
        <f>SUM(F12,F19,F28,F36,F119,F126,F134,F148,F154,F160)</f>
        <v>3891056.12</v>
      </c>
      <c r="G166" s="365">
        <f>SUM(G13,G20,G29,G37,G120,G127,G135,G149,G155,G161)</f>
        <v>3891056.12</v>
      </c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  <c r="AB166" s="59"/>
      <c r="AC166" s="59"/>
      <c r="AD166" s="59"/>
      <c r="AE166" s="59"/>
      <c r="AF166" s="59"/>
      <c r="AG166" s="59"/>
      <c r="AH166" s="59"/>
      <c r="AI166" s="59"/>
      <c r="AJ166" s="59"/>
      <c r="AK166" s="59"/>
      <c r="AL166" s="59"/>
      <c r="AM166" s="59"/>
      <c r="AN166" s="59"/>
      <c r="AO166" s="59"/>
      <c r="AP166" s="59"/>
      <c r="AQ166" s="59"/>
      <c r="AR166" s="59"/>
      <c r="AS166" s="59"/>
      <c r="AT166" s="59"/>
      <c r="AU166" s="59"/>
      <c r="AV166" s="59"/>
      <c r="AW166" s="59"/>
      <c r="AX166" s="59"/>
      <c r="AY166" s="59"/>
      <c r="AZ166" s="59"/>
      <c r="BA166" s="59"/>
      <c r="BB166" s="59"/>
      <c r="BC166" s="59"/>
      <c r="BD166" s="59"/>
      <c r="BE166" s="59"/>
      <c r="BF166" s="59"/>
      <c r="BG166" s="59"/>
      <c r="BH166" s="59"/>
      <c r="BI166" s="59"/>
      <c r="BJ166" s="59"/>
      <c r="BK166" s="59"/>
      <c r="BL166" s="59"/>
      <c r="BM166" s="59"/>
      <c r="BN166" s="59"/>
      <c r="BO166" s="59"/>
      <c r="BP166" s="59"/>
      <c r="BQ166" s="59"/>
      <c r="BR166" s="59"/>
      <c r="BS166" s="59"/>
      <c r="BT166" s="59"/>
    </row>
    <row r="168" spans="1:72" s="357" customFormat="1" x14ac:dyDescent="0.25">
      <c r="A168" s="366"/>
      <c r="B168" s="356"/>
      <c r="C168" s="356"/>
      <c r="D168" s="356"/>
      <c r="E168" s="356"/>
      <c r="I168" s="87">
        <f>SUM(G16:G17,G23:G26,G32:G34,G43:G48,G53:G58,G63:G67,G72,G77:G82,G87:G92,G97:G100,G105:G109,G114:G117,G123:G124,G130:G132,G138:G138,G141:G143,G146,G152,G158,G164)</f>
        <v>3891056.1199999996</v>
      </c>
    </row>
    <row r="169" spans="1:72" s="357" customFormat="1" x14ac:dyDescent="0.25">
      <c r="A169" s="356"/>
      <c r="B169" s="356"/>
      <c r="C169" s="356"/>
      <c r="D169" s="356"/>
      <c r="E169" s="356"/>
      <c r="F169" s="354"/>
      <c r="G169" s="354"/>
    </row>
    <row r="170" spans="1:72" s="357" customFormat="1" x14ac:dyDescent="0.25">
      <c r="A170" s="356"/>
      <c r="B170" s="356"/>
      <c r="C170" s="356"/>
      <c r="D170" s="356"/>
      <c r="E170" s="356"/>
      <c r="F170" s="354"/>
      <c r="G170" s="354"/>
    </row>
    <row r="171" spans="1:72" s="357" customFormat="1" x14ac:dyDescent="0.25">
      <c r="A171" s="356"/>
      <c r="B171" s="356"/>
      <c r="C171" s="356"/>
      <c r="D171" s="356"/>
      <c r="E171" s="356"/>
      <c r="F171" s="355"/>
      <c r="G171" s="355"/>
    </row>
    <row r="172" spans="1:72" s="357" customFormat="1" x14ac:dyDescent="0.25">
      <c r="A172" s="356"/>
      <c r="B172" s="356"/>
      <c r="C172" s="356"/>
      <c r="D172" s="356"/>
      <c r="E172" s="356"/>
      <c r="F172" s="367"/>
      <c r="G172" s="367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&amp;C&amp;"Arial,Pogrubiony"&amp;8&amp;P</oddFooter>
  </headerFooter>
  <rowBreaks count="2" manualBreakCount="2">
    <brk id="49" max="16383" man="1"/>
    <brk id="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5</vt:i4>
      </vt:variant>
    </vt:vector>
  </HeadingPairs>
  <TitlesOfParts>
    <vt:vector size="12" baseType="lpstr">
      <vt:lpstr>Zał.Nr1</vt:lpstr>
      <vt:lpstr>Zał.Nr2</vt:lpstr>
      <vt:lpstr>Zał.Nr3</vt:lpstr>
      <vt:lpstr>Zał.Nr4</vt:lpstr>
      <vt:lpstr>Zał.Nr5</vt:lpstr>
      <vt:lpstr>Zał.Nr6</vt:lpstr>
      <vt:lpstr>Zał.Nr7</vt:lpstr>
      <vt:lpstr>Zał.Nr1!Tytuły_wydruku</vt:lpstr>
      <vt:lpstr>Zał.Nr3!Tytuły_wydruku</vt:lpstr>
      <vt:lpstr>Zał.Nr4!Tytuły_wydruku</vt:lpstr>
      <vt:lpstr>Zał.Nr6!Tytuły_wydruku</vt:lpstr>
      <vt:lpstr>Zał.Nr7!Tytuły_wydruku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335/2022 Prezydenta Miasta Włocławek z dn. 30 września 2022 r.</dc:title>
  <dc:creator>Beata Duszeńska</dc:creator>
  <cp:keywords>Załącznik do Zarządzenia Prezydenta Miasta Włocławek</cp:keywords>
  <cp:lastModifiedBy>Karolina Budziszewska</cp:lastModifiedBy>
  <cp:lastPrinted>2022-10-05T10:55:01Z</cp:lastPrinted>
  <dcterms:created xsi:type="dcterms:W3CDTF">2014-03-20T12:20:20Z</dcterms:created>
  <dcterms:modified xsi:type="dcterms:W3CDTF">2022-10-05T11:05:13Z</dcterms:modified>
</cp:coreProperties>
</file>