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C345A0F7-95AE-4300-9983-763C45360754}" xr6:coauthVersionLast="45" xr6:coauthVersionMax="47" xr10:uidLastSave="{00000000-0000-0000-0000-000000000000}"/>
  <bookViews>
    <workbookView xWindow="-120" yWindow="-120" windowWidth="29040" windowHeight="15840" xr2:uid="{782AD0B0-74D2-49A8-8666-27316D0ACC22}"/>
  </bookViews>
  <sheets>
    <sheet name="Zał.Nr1" sheetId="5" r:id="rId1"/>
    <sheet name="Zał. Nr 2" sheetId="6" r:id="rId2"/>
  </sheets>
  <definedNames>
    <definedName name="_xlnm.Print_Titles" localSheetId="1">'Zał. Nr 2'!$10:$11</definedName>
    <definedName name="_xlnm.Print_Titles" localSheetId="0">Zał.Nr1!$7:$9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4" i="6" l="1"/>
  <c r="G163" i="6" s="1"/>
  <c r="G161" i="6" s="1"/>
  <c r="F160" i="6"/>
  <c r="G157" i="6"/>
  <c r="G155" i="6" s="1"/>
  <c r="G151" i="6"/>
  <c r="G149" i="6" s="1"/>
  <c r="G145" i="6"/>
  <c r="G143" i="6"/>
  <c r="G142" i="6"/>
  <c r="G140" i="6" s="1"/>
  <c r="G138" i="6"/>
  <c r="G137" i="6" s="1"/>
  <c r="G135" i="6" s="1"/>
  <c r="F134" i="6"/>
  <c r="G132" i="6"/>
  <c r="G131" i="6"/>
  <c r="G130" i="6"/>
  <c r="G129" i="6" s="1"/>
  <c r="G127" i="6" s="1"/>
  <c r="F126" i="6"/>
  <c r="G124" i="6"/>
  <c r="G123" i="6"/>
  <c r="G122" i="6"/>
  <c r="G120" i="6" s="1"/>
  <c r="F119" i="6"/>
  <c r="G117" i="6"/>
  <c r="G116" i="6"/>
  <c r="G115" i="6"/>
  <c r="G114" i="6"/>
  <c r="G113" i="6" s="1"/>
  <c r="G111" i="6" s="1"/>
  <c r="G109" i="6"/>
  <c r="G108" i="6"/>
  <c r="G107" i="6"/>
  <c r="G106" i="6"/>
  <c r="G104" i="6" s="1"/>
  <c r="G102" i="6" s="1"/>
  <c r="G105" i="6"/>
  <c r="G100" i="6"/>
  <c r="G96" i="6" s="1"/>
  <c r="G94" i="6" s="1"/>
  <c r="G99" i="6"/>
  <c r="G98" i="6"/>
  <c r="G97" i="6"/>
  <c r="G92" i="6"/>
  <c r="G91" i="6"/>
  <c r="G90" i="6"/>
  <c r="G89" i="6"/>
  <c r="G88" i="6"/>
  <c r="G87" i="6"/>
  <c r="G86" i="6"/>
  <c r="G84" i="6" s="1"/>
  <c r="G82" i="6"/>
  <c r="G81" i="6"/>
  <c r="G80" i="6"/>
  <c r="G79" i="6"/>
  <c r="G78" i="6"/>
  <c r="G77" i="6"/>
  <c r="G76" i="6"/>
  <c r="G74" i="6" s="1"/>
  <c r="G71" i="6"/>
  <c r="G69" i="6" s="1"/>
  <c r="G67" i="6"/>
  <c r="G66" i="6"/>
  <c r="G65" i="6"/>
  <c r="G64" i="6"/>
  <c r="G63" i="6"/>
  <c r="G62" i="6" s="1"/>
  <c r="G60" i="6" s="1"/>
  <c r="G58" i="6"/>
  <c r="G57" i="6"/>
  <c r="G56" i="6"/>
  <c r="G55" i="6"/>
  <c r="G54" i="6"/>
  <c r="G53" i="6"/>
  <c r="G52" i="6" s="1"/>
  <c r="G50" i="6" s="1"/>
  <c r="G48" i="6"/>
  <c r="G47" i="6"/>
  <c r="G46" i="6"/>
  <c r="G45" i="6"/>
  <c r="G44" i="6"/>
  <c r="G43" i="6"/>
  <c r="G42" i="6" s="1"/>
  <c r="G40" i="6" s="1"/>
  <c r="F36" i="6"/>
  <c r="G34" i="6"/>
  <c r="G33" i="6"/>
  <c r="G32" i="6"/>
  <c r="G31" i="6" s="1"/>
  <c r="G29" i="6" s="1"/>
  <c r="F28" i="6"/>
  <c r="G26" i="6"/>
  <c r="G25" i="6"/>
  <c r="G23" i="6"/>
  <c r="G22" i="6" s="1"/>
  <c r="G20" i="6" s="1"/>
  <c r="F19" i="6"/>
  <c r="G17" i="6"/>
  <c r="F12" i="6"/>
  <c r="F166" i="6" s="1"/>
  <c r="G37" i="6" l="1"/>
  <c r="G15" i="6"/>
  <c r="G13" i="6" s="1"/>
  <c r="G166" i="6" s="1"/>
  <c r="H169" i="5" l="1"/>
  <c r="H168" i="5"/>
  <c r="H167" i="5"/>
  <c r="G166" i="5"/>
  <c r="G165" i="5" s="1"/>
  <c r="G164" i="5" s="1"/>
  <c r="F166" i="5"/>
  <c r="F165" i="5" s="1"/>
  <c r="F164" i="5" s="1"/>
  <c r="H164" i="5" s="1"/>
  <c r="H163" i="5"/>
  <c r="G162" i="5"/>
  <c r="G161" i="5" s="1"/>
  <c r="G158" i="5" s="1"/>
  <c r="F162" i="5"/>
  <c r="H156" i="5"/>
  <c r="G155" i="5"/>
  <c r="H155" i="5" s="1"/>
  <c r="F155" i="5"/>
  <c r="F154" i="5" s="1"/>
  <c r="G154" i="5"/>
  <c r="H151" i="5"/>
  <c r="H150" i="5"/>
  <c r="H149" i="5"/>
  <c r="H148" i="5"/>
  <c r="G147" i="5"/>
  <c r="G146" i="5" s="1"/>
  <c r="F147" i="5"/>
  <c r="H147" i="5" s="1"/>
  <c r="H143" i="5"/>
  <c r="G142" i="5"/>
  <c r="F142" i="5"/>
  <c r="F141" i="5" s="1"/>
  <c r="H139" i="5"/>
  <c r="H138" i="5"/>
  <c r="H137" i="5"/>
  <c r="G136" i="5"/>
  <c r="F136" i="5"/>
  <c r="F135" i="5" s="1"/>
  <c r="F134" i="5" s="1"/>
  <c r="H133" i="5"/>
  <c r="G132" i="5"/>
  <c r="F132" i="5"/>
  <c r="H132" i="5" s="1"/>
  <c r="G131" i="5"/>
  <c r="H127" i="5"/>
  <c r="H126" i="5"/>
  <c r="H125" i="5"/>
  <c r="G124" i="5"/>
  <c r="G123" i="5" s="1"/>
  <c r="G122" i="5" s="1"/>
  <c r="F124" i="5"/>
  <c r="F123" i="5" s="1"/>
  <c r="H121" i="5"/>
  <c r="H120" i="5"/>
  <c r="H119" i="5"/>
  <c r="G118" i="5"/>
  <c r="F118" i="5"/>
  <c r="F117" i="5" s="1"/>
  <c r="G117" i="5"/>
  <c r="G116" i="5" s="1"/>
  <c r="H115" i="5"/>
  <c r="H114" i="5"/>
  <c r="H113" i="5"/>
  <c r="H112" i="5"/>
  <c r="G111" i="5"/>
  <c r="G110" i="5" s="1"/>
  <c r="F111" i="5"/>
  <c r="F110" i="5"/>
  <c r="F109" i="5" s="1"/>
  <c r="H108" i="5"/>
  <c r="G107" i="5"/>
  <c r="G106" i="5" s="1"/>
  <c r="G104" i="5" s="1"/>
  <c r="F107" i="5"/>
  <c r="F106" i="5"/>
  <c r="H106" i="5" s="1"/>
  <c r="H103" i="5"/>
  <c r="G102" i="5"/>
  <c r="F102" i="5"/>
  <c r="H102" i="5" s="1"/>
  <c r="G101" i="5"/>
  <c r="H100" i="5"/>
  <c r="G99" i="5"/>
  <c r="G98" i="5" s="1"/>
  <c r="F99" i="5"/>
  <c r="H99" i="5" s="1"/>
  <c r="H97" i="5"/>
  <c r="H96" i="5"/>
  <c r="G95" i="5"/>
  <c r="G94" i="5" s="1"/>
  <c r="H94" i="5" s="1"/>
  <c r="F95" i="5"/>
  <c r="F94" i="5"/>
  <c r="H92" i="5"/>
  <c r="H91" i="5"/>
  <c r="G90" i="5"/>
  <c r="G89" i="5" s="1"/>
  <c r="F90" i="5"/>
  <c r="H90" i="5" s="1"/>
  <c r="H88" i="5"/>
  <c r="H87" i="5"/>
  <c r="G86" i="5"/>
  <c r="G85" i="5" s="1"/>
  <c r="F86" i="5"/>
  <c r="F85" i="5"/>
  <c r="H84" i="5"/>
  <c r="G83" i="5"/>
  <c r="F83" i="5"/>
  <c r="F82" i="5" s="1"/>
  <c r="H82" i="5" s="1"/>
  <c r="G82" i="5"/>
  <c r="H81" i="5"/>
  <c r="H80" i="5"/>
  <c r="H79" i="5"/>
  <c r="G79" i="5"/>
  <c r="F79" i="5"/>
  <c r="F78" i="5" s="1"/>
  <c r="H78" i="5" s="1"/>
  <c r="G78" i="5"/>
  <c r="H77" i="5"/>
  <c r="G76" i="5"/>
  <c r="F76" i="5"/>
  <c r="F75" i="5" s="1"/>
  <c r="H74" i="5"/>
  <c r="G73" i="5"/>
  <c r="F73" i="5"/>
  <c r="H73" i="5" s="1"/>
  <c r="G72" i="5"/>
  <c r="H71" i="5"/>
  <c r="H70" i="5"/>
  <c r="G69" i="5"/>
  <c r="F69" i="5"/>
  <c r="G68" i="5"/>
  <c r="H67" i="5"/>
  <c r="H66" i="5"/>
  <c r="G65" i="5"/>
  <c r="F65" i="5"/>
  <c r="H65" i="5" s="1"/>
  <c r="G64" i="5"/>
  <c r="H63" i="5"/>
  <c r="H62" i="5"/>
  <c r="G61" i="5"/>
  <c r="G60" i="5" s="1"/>
  <c r="F61" i="5"/>
  <c r="H58" i="5"/>
  <c r="H57" i="5"/>
  <c r="H56" i="5"/>
  <c r="G55" i="5"/>
  <c r="G54" i="5" s="1"/>
  <c r="F55" i="5"/>
  <c r="F54" i="5"/>
  <c r="F53" i="5" s="1"/>
  <c r="H50" i="5"/>
  <c r="G49" i="5"/>
  <c r="H49" i="5" s="1"/>
  <c r="F49" i="5"/>
  <c r="F48" i="5"/>
  <c r="H43" i="5"/>
  <c r="G42" i="5"/>
  <c r="G41" i="5" s="1"/>
  <c r="F42" i="5"/>
  <c r="F41" i="5"/>
  <c r="H38" i="5"/>
  <c r="G37" i="5"/>
  <c r="F37" i="5"/>
  <c r="F36" i="5" s="1"/>
  <c r="H36" i="5" s="1"/>
  <c r="G36" i="5"/>
  <c r="H33" i="5"/>
  <c r="G32" i="5"/>
  <c r="F32" i="5"/>
  <c r="F31" i="5" s="1"/>
  <c r="H29" i="5"/>
  <c r="G28" i="5"/>
  <c r="G27" i="5" s="1"/>
  <c r="F28" i="5"/>
  <c r="H28" i="5" s="1"/>
  <c r="G26" i="5"/>
  <c r="H25" i="5"/>
  <c r="F25" i="5"/>
  <c r="G24" i="5"/>
  <c r="F24" i="5"/>
  <c r="H24" i="5" s="1"/>
  <c r="G23" i="5"/>
  <c r="G22" i="5"/>
  <c r="H20" i="5"/>
  <c r="G19" i="5"/>
  <c r="F19" i="5"/>
  <c r="F18" i="5"/>
  <c r="H16" i="5"/>
  <c r="G15" i="5"/>
  <c r="F15" i="5"/>
  <c r="G14" i="5"/>
  <c r="F14" i="5"/>
  <c r="G12" i="5"/>
  <c r="F12" i="5"/>
  <c r="H12" i="5" l="1"/>
  <c r="H15" i="5"/>
  <c r="F23" i="5"/>
  <c r="H32" i="5"/>
  <c r="H42" i="5"/>
  <c r="H55" i="5"/>
  <c r="H69" i="5"/>
  <c r="H86" i="5"/>
  <c r="F89" i="5"/>
  <c r="H107" i="5"/>
  <c r="H111" i="5"/>
  <c r="H124" i="5"/>
  <c r="H136" i="5"/>
  <c r="H154" i="5"/>
  <c r="H162" i="5"/>
  <c r="F27" i="5"/>
  <c r="H37" i="5"/>
  <c r="H83" i="5"/>
  <c r="H85" i="5"/>
  <c r="H118" i="5"/>
  <c r="F131" i="5"/>
  <c r="G157" i="5"/>
  <c r="H41" i="5"/>
  <c r="H14" i="5"/>
  <c r="H61" i="5"/>
  <c r="H76" i="5"/>
  <c r="H89" i="5"/>
  <c r="H95" i="5"/>
  <c r="F98" i="5"/>
  <c r="H98" i="5" s="1"/>
  <c r="F104" i="5"/>
  <c r="H142" i="5"/>
  <c r="H166" i="5"/>
  <c r="H117" i="5"/>
  <c r="F116" i="5"/>
  <c r="H116" i="5" s="1"/>
  <c r="F17" i="5"/>
  <c r="F140" i="5"/>
  <c r="H54" i="5"/>
  <c r="G53" i="5"/>
  <c r="H53" i="5" s="1"/>
  <c r="H110" i="5"/>
  <c r="G109" i="5"/>
  <c r="H109" i="5" s="1"/>
  <c r="F30" i="5"/>
  <c r="H19" i="5"/>
  <c r="G18" i="5"/>
  <c r="G17" i="5" s="1"/>
  <c r="G11" i="5" s="1"/>
  <c r="H123" i="5"/>
  <c r="F122" i="5"/>
  <c r="H122" i="5" s="1"/>
  <c r="G31" i="5"/>
  <c r="G30" i="5" s="1"/>
  <c r="G21" i="5" s="1"/>
  <c r="F45" i="5"/>
  <c r="G48" i="5"/>
  <c r="G45" i="5" s="1"/>
  <c r="G44" i="5" s="1"/>
  <c r="F60" i="5"/>
  <c r="F64" i="5"/>
  <c r="H64" i="5" s="1"/>
  <c r="F68" i="5"/>
  <c r="H68" i="5" s="1"/>
  <c r="F72" i="5"/>
  <c r="H72" i="5" s="1"/>
  <c r="G75" i="5"/>
  <c r="H75" i="5" s="1"/>
  <c r="F101" i="5"/>
  <c r="H101" i="5" s="1"/>
  <c r="G130" i="5"/>
  <c r="F146" i="5"/>
  <c r="H146" i="5" s="1"/>
  <c r="F161" i="5"/>
  <c r="H165" i="5"/>
  <c r="H104" i="5"/>
  <c r="G135" i="5"/>
  <c r="G141" i="5"/>
  <c r="G10" i="5" l="1"/>
  <c r="H131" i="5"/>
  <c r="F130" i="5"/>
  <c r="H130" i="5" s="1"/>
  <c r="H30" i="5"/>
  <c r="F22" i="5"/>
  <c r="H22" i="5" s="1"/>
  <c r="H23" i="5"/>
  <c r="F26" i="5"/>
  <c r="H26" i="5" s="1"/>
  <c r="H27" i="5"/>
  <c r="H135" i="5"/>
  <c r="G134" i="5"/>
  <c r="H134" i="5" s="1"/>
  <c r="H45" i="5"/>
  <c r="F44" i="5"/>
  <c r="G59" i="5"/>
  <c r="G52" i="5" s="1"/>
  <c r="H141" i="5"/>
  <c r="G140" i="5"/>
  <c r="H140" i="5" s="1"/>
  <c r="H161" i="5"/>
  <c r="F158" i="5"/>
  <c r="H60" i="5"/>
  <c r="F59" i="5"/>
  <c r="H18" i="5"/>
  <c r="F128" i="5"/>
  <c r="H31" i="5"/>
  <c r="H48" i="5"/>
  <c r="H17" i="5"/>
  <c r="F11" i="5"/>
  <c r="F21" i="5" l="1"/>
  <c r="F10" i="5" s="1"/>
  <c r="G128" i="5"/>
  <c r="G51" i="5" s="1"/>
  <c r="H44" i="5"/>
  <c r="H128" i="5"/>
  <c r="F157" i="5"/>
  <c r="H158" i="5"/>
  <c r="H11" i="5"/>
  <c r="H59" i="5"/>
  <c r="F52" i="5"/>
  <c r="H21" i="5" l="1"/>
  <c r="H10" i="5"/>
  <c r="H157" i="5"/>
  <c r="F51" i="5"/>
  <c r="H52" i="5"/>
  <c r="H51" i="5" l="1"/>
</calcChain>
</file>

<file path=xl/sharedStrings.xml><?xml version="1.0" encoding="utf-8"?>
<sst xmlns="http://schemas.openxmlformats.org/spreadsheetml/2006/main" count="465" uniqueCount="168">
  <si>
    <t>Załącznik Nr 1</t>
  </si>
  <si>
    <t xml:space="preserve">Prezydenta Miasta Włocławek </t>
  </si>
  <si>
    <t>Zmiany w budżecie miasta Włocławek na 2022 rok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</si>
  <si>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</si>
  <si>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</si>
  <si>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</si>
  <si>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</si>
  <si>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</si>
  <si>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</si>
  <si>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</si>
  <si>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</si>
  <si>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</si>
  <si>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</si>
  <si>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DOCHODY OGÓŁEM:</t>
  </si>
  <si>
    <t>Dochody na zadania własne:</t>
  </si>
  <si>
    <t>Pomoc społeczna</t>
  </si>
  <si>
    <t>Organ</t>
  </si>
  <si>
    <t>Dochody na zadania zlecone:</t>
  </si>
  <si>
    <t>Administracja publiczna</t>
  </si>
  <si>
    <t>2100</t>
  </si>
  <si>
    <t>środki z Funduszu Pomocy na finansowanie lub dofinansowanie zadań bieżących w zakresie pomocy obywatelom Ukrainy</t>
  </si>
  <si>
    <t xml:space="preserve">Bezpieczeństwo publiczne i ochrona </t>
  </si>
  <si>
    <t>przeciwpożarowa</t>
  </si>
  <si>
    <t>Pozostała działalność</t>
  </si>
  <si>
    <t>Organ - Fundusz Pomocy (świadczenie pieniężne - 40 zł za osobę dziennie)</t>
  </si>
  <si>
    <t>Pozostałe zadania w zakresie polityki społecznej</t>
  </si>
  <si>
    <t>Organ - Fundusz Pomocy (świadczenie pieniężne w wysokości 300 zł)</t>
  </si>
  <si>
    <t>Dochody na zadania rządowe:</t>
  </si>
  <si>
    <t>dotacje celowe otrzymane z budżetu państwa na zadania bieżące z zakresu administracji rządowej oraz inne zadania zlecone ustawami realizowane przez powiat</t>
  </si>
  <si>
    <t>Zespoły do spraw orzekania o niepełnosprawności</t>
  </si>
  <si>
    <t>WYDATKI OGÓŁEM:</t>
  </si>
  <si>
    <t>Wydatki na zadania własne:</t>
  </si>
  <si>
    <t>852</t>
  </si>
  <si>
    <t>Miejski Ośrodek Pomocy Rodzinie</t>
  </si>
  <si>
    <t>wynagrodzenia osobowe pracowników</t>
  </si>
  <si>
    <t xml:space="preserve">składki na ubezpieczenia społeczne </t>
  </si>
  <si>
    <t xml:space="preserve">składki na Fundusz Pracy oraz Fundusz Solidarnościowy </t>
  </si>
  <si>
    <t>Jednostki oświatowe zbiorczo</t>
  </si>
  <si>
    <t>Wydział Edukacji</t>
  </si>
  <si>
    <t>Wydatki na zadania zlecone:</t>
  </si>
  <si>
    <t>4350</t>
  </si>
  <si>
    <t>wynagrodzenia i uposażenia wypłacane w związku z pomocą obywatelom Ukrainy</t>
  </si>
  <si>
    <t>składki i inne pochodne od wynagrodzeń pracowników wypłacanych w związku z pomocą obywatelom Ukrainy</t>
  </si>
  <si>
    <t>Miejski Ośrodek Pomocy Rodzinie - Fundusz Pomocy (świadczenie pieniężne - 40 zł za osobę dziennie)</t>
  </si>
  <si>
    <t>świadczenia związane z udzielaniem pomocy obywatelom Ukrainy</t>
  </si>
  <si>
    <t>Miejski Ośrodek Pomocy Rodzinie - Fundusz Pomocy (świadczenie pieniężne w wysokości 300 zł)</t>
  </si>
  <si>
    <t>świadczenia społeczne wypłacane obywatelom Ukrainy przebywającym na terytorium RP</t>
  </si>
  <si>
    <t>Wydatki na zadania rządowe:</t>
  </si>
  <si>
    <t>Wydział Organizacyjno - Prawny i Kadr</t>
  </si>
  <si>
    <t>składki na Fundusz Pracy oraz Fundusz Solidarnościowy</t>
  </si>
  <si>
    <t>Załącznik Nr 2</t>
  </si>
  <si>
    <t>Plan dochodów i wydatków na wydzielonym rachunku Funduszu Pomocy</t>
  </si>
  <si>
    <t>dotyczącym realizacji zadań na rzecz pomocy Ukrainie</t>
  </si>
  <si>
    <t>Lp.</t>
  </si>
  <si>
    <t>Nazwa zadania</t>
  </si>
  <si>
    <t xml:space="preserve">Dział </t>
  </si>
  <si>
    <t>Rozdział</t>
  </si>
  <si>
    <t>Dochody na 2022 rok</t>
  </si>
  <si>
    <t>Wydatki na 2022 rok</t>
  </si>
  <si>
    <t>x</t>
  </si>
  <si>
    <t>1.</t>
  </si>
  <si>
    <t>Zapewnienie posiłku dzieciom i młodzieży</t>
  </si>
  <si>
    <t>85230</t>
  </si>
  <si>
    <t>3290</t>
  </si>
  <si>
    <t>4370</t>
  </si>
  <si>
    <t>2.</t>
  </si>
  <si>
    <t>Świadczenia rodzinne</t>
  </si>
  <si>
    <t>855</t>
  </si>
  <si>
    <t>85502</t>
  </si>
  <si>
    <t>4740</t>
  </si>
  <si>
    <t>4850</t>
  </si>
  <si>
    <t>3.</t>
  </si>
  <si>
    <t>Świadczenie pieniężne w wysokości          300 zł</t>
  </si>
  <si>
    <t>853</t>
  </si>
  <si>
    <t>85395</t>
  </si>
  <si>
    <t>758</t>
  </si>
  <si>
    <t>75814</t>
  </si>
  <si>
    <t>4.</t>
  </si>
  <si>
    <t>Realizacja dodatkowych zadań oświatowych</t>
  </si>
  <si>
    <t>801</t>
  </si>
  <si>
    <t>80101</t>
  </si>
  <si>
    <t>4750</t>
  </si>
  <si>
    <t>80102</t>
  </si>
  <si>
    <t>80104</t>
  </si>
  <si>
    <t>80105</t>
  </si>
  <si>
    <t>80115</t>
  </si>
  <si>
    <t>80117</t>
  </si>
  <si>
    <t>80120</t>
  </si>
  <si>
    <t>80132</t>
  </si>
  <si>
    <t>5.</t>
  </si>
  <si>
    <t>Nadanie numeru PESEL</t>
  </si>
  <si>
    <t>750</t>
  </si>
  <si>
    <t>75011</t>
  </si>
  <si>
    <t>6.</t>
  </si>
  <si>
    <t>Świadczenie pieniężne - 40 zł za osobę dziennie</t>
  </si>
  <si>
    <t>754</t>
  </si>
  <si>
    <t>75495</t>
  </si>
  <si>
    <t>3280</t>
  </si>
  <si>
    <t>7.</t>
  </si>
  <si>
    <t>Zapewnienie zakwaterowania i wyżywienia obywatelom Ukrainy</t>
  </si>
  <si>
    <t>Wydział Zarządzania Kryzysowego i Bezpieczeństwa</t>
  </si>
  <si>
    <t>Administracja Zasobów Komunalnych</t>
  </si>
  <si>
    <t>4860</t>
  </si>
  <si>
    <t>Miejski Zakład Zieleni i Usług Komunalnych</t>
  </si>
  <si>
    <t>8.</t>
  </si>
  <si>
    <t>Zapewnienie transportu obywatelom Ukrainy</t>
  </si>
  <si>
    <t>600</t>
  </si>
  <si>
    <t>60095</t>
  </si>
  <si>
    <t>Straż Miejska</t>
  </si>
  <si>
    <t>9.</t>
  </si>
  <si>
    <t>Realizacja zadań przez Miejski Zespół do Spraw Orzekania o Niepełnosprawności na rzecz obywateli Ukrainy</t>
  </si>
  <si>
    <t>85321</t>
  </si>
  <si>
    <t xml:space="preserve">Miejski Zespół do Spraw Orzekania o Niepełnosprawności </t>
  </si>
  <si>
    <t>Ogółem:</t>
  </si>
  <si>
    <t xml:space="preserve">Zasiłki okresowe, celowe i pomoc w naturze oraz składki </t>
  </si>
  <si>
    <t>na ubezpieczenia emerytalne i rentowe</t>
  </si>
  <si>
    <t>Organ - Fundusz Pomocy (zasiłki okresowe)</t>
  </si>
  <si>
    <t>Rodzina</t>
  </si>
  <si>
    <t>Świadczenia rodzinne, świadczenie z funduszu alimentacyjnego oraz składki na ubezpieczenia emerytalne i rentowe z ubezpieczenia społecznego</t>
  </si>
  <si>
    <t>Organ - Fundusz Pomocy (świadczenia rodzinne)</t>
  </si>
  <si>
    <t>Bezpieczeństwo publiczne i ochrona przeciwpożarowa</t>
  </si>
  <si>
    <t>Świadczenie wychowawcze</t>
  </si>
  <si>
    <t>dotacje celowe otrzymane z budżetu państwa na zadania bieżące z zakresu administracji rządowej zlecone gminom (związkom gmin, związkom powiatowo - gminnym), związane z realizacją świadczenia wychowawczego stanowiącego pomoc państwa w wychowywaniu dzieci</t>
  </si>
  <si>
    <t>Świadczenia rodzinne, świadczenie z funduszu</t>
  </si>
  <si>
    <t>alimentacyjnego oraz składki na ubezpieczenia</t>
  </si>
  <si>
    <t>emerytalne i rentowe z ubezpieczenia społecznego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</si>
  <si>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</si>
  <si>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</si>
  <si>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 xml:space="preserve">Składki na ubezpieczenie zdrowotne opłacane za osoby </t>
  </si>
  <si>
    <t>pobierające niektóre świadczenia rodzinne oraz za osoby</t>
  </si>
  <si>
    <t>pobierające zasiki dla opiekunów</t>
  </si>
  <si>
    <t>Ochrona zdrowia</t>
  </si>
  <si>
    <t>Składki na ubezpieczenie zdrowotne oraz świadczenia</t>
  </si>
  <si>
    <t>dla osób nie objętych obowiązkiem ubezpieczenia</t>
  </si>
  <si>
    <t>zdrowotnego</t>
  </si>
  <si>
    <t>75020</t>
  </si>
  <si>
    <t>Starostwa powiatowe</t>
  </si>
  <si>
    <t>Wydział Organizacyjno-Prawny i Kadr</t>
  </si>
  <si>
    <t>Oświata i wychowanie</t>
  </si>
  <si>
    <t>Szkoły podstawowe</t>
  </si>
  <si>
    <t>wynagrodzenie osobowe nauczycieli</t>
  </si>
  <si>
    <t>Szkoły podstawowe specjalne</t>
  </si>
  <si>
    <t>Przedszkola</t>
  </si>
  <si>
    <t>Przedszkola specjalne</t>
  </si>
  <si>
    <t>Świetlice szkolne</t>
  </si>
  <si>
    <t>Technika</t>
  </si>
  <si>
    <t>Szkoły policealne</t>
  </si>
  <si>
    <t>Licea ogólnokształcące</t>
  </si>
  <si>
    <t>Szkoły artystyczne</t>
  </si>
  <si>
    <t xml:space="preserve">Placówki kształcenia ustawicznego i centra </t>
  </si>
  <si>
    <t xml:space="preserve"> kształcenia zawodowego</t>
  </si>
  <si>
    <t>Stołówki szkolne i przedszkolne</t>
  </si>
  <si>
    <t>Miejski Ośrodek Pomocy Rodzinie - Fundusz Pomocy (zasiłki okresowe)</t>
  </si>
  <si>
    <t>dodatkowe wynagrodzenie roczne</t>
  </si>
  <si>
    <t>Miejski Ośrodek Pomocy Rodzinie - Fundusz Pomocy (świadczenia rodzinne)</t>
  </si>
  <si>
    <t>Gospodarka komunalna i ochrona środowiska</t>
  </si>
  <si>
    <t>Gospodarka odpadami komunalnymi</t>
  </si>
  <si>
    <t>świadczenia społeczne</t>
  </si>
  <si>
    <t xml:space="preserve">składki na ubezpieczenie zdrowotne </t>
  </si>
  <si>
    <t xml:space="preserve">Składki na ubezpieczenie zdrowotne oraz </t>
  </si>
  <si>
    <t xml:space="preserve">świadczenia dla osób nieobjętych obowiązkiem </t>
  </si>
  <si>
    <r>
      <t xml:space="preserve">ubezpieczenia zdrowotnego </t>
    </r>
    <r>
      <rPr>
        <i/>
        <sz val="9"/>
        <rFont val="Arial CE"/>
        <charset val="238"/>
      </rPr>
      <t/>
    </r>
  </si>
  <si>
    <t>do Zarządzenia NR 350/2022</t>
  </si>
  <si>
    <t>z dnia 13 października 2022 r.</t>
  </si>
  <si>
    <t>2340</t>
  </si>
  <si>
    <t>10.</t>
  </si>
  <si>
    <t>Zasiłki okresowe</t>
  </si>
  <si>
    <t>85214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</si>
</sst>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 CE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7"/>
      <name val="Arial"/>
      <family val="2"/>
      <charset val="238"/>
    </font>
    <font>
      <b/>
      <sz val="9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i/>
      <sz val="9"/>
      <name val="Arial CE"/>
      <charset val="238"/>
    </font>
    <font>
      <sz val="9"/>
      <color theme="1"/>
      <name val="Calibri"/>
      <family val="2"/>
      <charset val="238"/>
      <scheme val="minor"/>
    </font>
    <font>
      <u/>
      <sz val="9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51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49" fontId="2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/>
    <xf numFmtId="49" fontId="1" fillId="0" borderId="1" xfId="0" applyNumberFormat="1" applyFont="1" applyBorder="1"/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6" fillId="0" borderId="0" xfId="0" applyNumberFormat="1" applyFont="1"/>
    <xf numFmtId="0" fontId="6" fillId="0" borderId="0" xfId="0" applyFont="1"/>
    <xf numFmtId="0" fontId="4" fillId="0" borderId="3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1" fillId="0" borderId="3" xfId="0" applyNumberFormat="1" applyFont="1" applyBorder="1"/>
    <xf numFmtId="49" fontId="1" fillId="0" borderId="3" xfId="0" applyNumberFormat="1" applyFont="1" applyBorder="1" applyAlignment="1">
      <alignment horizontal="right"/>
    </xf>
    <xf numFmtId="0" fontId="4" fillId="0" borderId="7" xfId="0" applyFont="1" applyBorder="1"/>
    <xf numFmtId="4" fontId="4" fillId="0" borderId="8" xfId="0" applyNumberFormat="1" applyFont="1" applyBorder="1"/>
    <xf numFmtId="0" fontId="4" fillId="0" borderId="9" xfId="0" applyFont="1" applyBorder="1"/>
    <xf numFmtId="4" fontId="4" fillId="0" borderId="10" xfId="0" applyNumberFormat="1" applyFont="1" applyBorder="1"/>
    <xf numFmtId="3" fontId="4" fillId="0" borderId="3" xfId="0" applyNumberFormat="1" applyFont="1" applyBorder="1"/>
    <xf numFmtId="49" fontId="4" fillId="0" borderId="3" xfId="0" applyNumberFormat="1" applyFont="1" applyBorder="1" applyAlignment="1">
      <alignment horizontal="right"/>
    </xf>
    <xf numFmtId="3" fontId="4" fillId="0" borderId="4" xfId="0" applyNumberFormat="1" applyFont="1" applyBorder="1"/>
    <xf numFmtId="4" fontId="4" fillId="0" borderId="10" xfId="0" applyNumberFormat="1" applyFont="1" applyBorder="1" applyAlignment="1">
      <alignment horizontal="right"/>
    </xf>
    <xf numFmtId="0" fontId="1" fillId="0" borderId="3" xfId="0" applyFont="1" applyBorder="1"/>
    <xf numFmtId="0" fontId="1" fillId="0" borderId="6" xfId="0" applyFont="1" applyBorder="1"/>
    <xf numFmtId="4" fontId="1" fillId="0" borderId="5" xfId="0" applyNumberFormat="1" applyFont="1" applyBorder="1"/>
    <xf numFmtId="4" fontId="1" fillId="0" borderId="5" xfId="0" applyNumberFormat="1" applyFont="1" applyBorder="1" applyAlignment="1">
      <alignment horizontal="right"/>
    </xf>
    <xf numFmtId="49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 wrapText="1"/>
    </xf>
    <xf numFmtId="4" fontId="1" fillId="0" borderId="3" xfId="0" applyNumberFormat="1" applyFont="1" applyBorder="1"/>
    <xf numFmtId="4" fontId="1" fillId="0" borderId="3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4" fontId="7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right" vertical="top"/>
    </xf>
    <xf numFmtId="0" fontId="1" fillId="0" borderId="4" xfId="0" applyFont="1" applyBorder="1" applyAlignment="1">
      <alignment wrapText="1"/>
    </xf>
    <xf numFmtId="3" fontId="4" fillId="0" borderId="5" xfId="0" applyNumberFormat="1" applyFont="1" applyBorder="1"/>
    <xf numFmtId="49" fontId="1" fillId="0" borderId="5" xfId="0" applyNumberFormat="1" applyFont="1" applyBorder="1" applyAlignment="1">
      <alignment horizontal="right" vertical="top"/>
    </xf>
    <xf numFmtId="4" fontId="7" fillId="0" borderId="5" xfId="0" applyNumberFormat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1" fillId="0" borderId="4" xfId="0" applyFont="1" applyBorder="1"/>
    <xf numFmtId="4" fontId="7" fillId="0" borderId="3" xfId="0" applyNumberFormat="1" applyFont="1" applyBorder="1"/>
    <xf numFmtId="3" fontId="7" fillId="0" borderId="6" xfId="0" applyNumberFormat="1" applyFont="1" applyBorder="1"/>
    <xf numFmtId="4" fontId="7" fillId="0" borderId="5" xfId="0" applyNumberFormat="1" applyFont="1" applyBorder="1"/>
    <xf numFmtId="0" fontId="7" fillId="0" borderId="3" xfId="0" applyFont="1" applyBorder="1"/>
    <xf numFmtId="3" fontId="7" fillId="0" borderId="3" xfId="0" applyNumberFormat="1" applyFont="1" applyBorder="1"/>
    <xf numFmtId="49" fontId="7" fillId="0" borderId="3" xfId="0" applyNumberFormat="1" applyFont="1" applyBorder="1" applyAlignment="1">
      <alignment horizontal="right"/>
    </xf>
    <xf numFmtId="49" fontId="4" fillId="0" borderId="5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wrapText="1"/>
    </xf>
    <xf numFmtId="49" fontId="4" fillId="0" borderId="3" xfId="0" applyNumberFormat="1" applyFont="1" applyBorder="1"/>
    <xf numFmtId="0" fontId="6" fillId="0" borderId="5" xfId="0" applyFont="1" applyBorder="1"/>
    <xf numFmtId="49" fontId="6" fillId="0" borderId="5" xfId="0" applyNumberFormat="1" applyFont="1" applyBorder="1" applyAlignment="1">
      <alignment horizontal="right"/>
    </xf>
    <xf numFmtId="0" fontId="6" fillId="0" borderId="6" xfId="0" applyFont="1" applyBorder="1"/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 wrapText="1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vertical="center"/>
    </xf>
    <xf numFmtId="4" fontId="12" fillId="0" borderId="5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0" xfId="0" applyFont="1" applyAlignment="1">
      <alignment wrapText="1"/>
    </xf>
    <xf numFmtId="49" fontId="12" fillId="0" borderId="14" xfId="0" applyNumberFormat="1" applyFont="1" applyBorder="1" applyAlignment="1">
      <alignment horizontal="center" vertical="center"/>
    </xf>
    <xf numFmtId="4" fontId="12" fillId="0" borderId="14" xfId="0" applyNumberFormat="1" applyFont="1" applyBorder="1" applyAlignment="1">
      <alignment horizontal="center" vertical="center"/>
    </xf>
    <xf numFmtId="4" fontId="13" fillId="0" borderId="14" xfId="0" applyNumberFormat="1" applyFont="1" applyBorder="1" applyAlignment="1">
      <alignment vertical="center"/>
    </xf>
    <xf numFmtId="0" fontId="14" fillId="0" borderId="0" xfId="0" applyFont="1"/>
    <xf numFmtId="4" fontId="12" fillId="0" borderId="3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49" fontId="12" fillId="0" borderId="15" xfId="0" applyNumberFormat="1" applyFont="1" applyBorder="1" applyAlignment="1">
      <alignment horizontal="center" vertical="center"/>
    </xf>
    <xf numFmtId="4" fontId="12" fillId="0" borderId="5" xfId="0" applyNumberFormat="1" applyFont="1" applyBorder="1" applyAlignment="1">
      <alignment vertical="center"/>
    </xf>
    <xf numFmtId="0" fontId="14" fillId="0" borderId="0" xfId="0" applyFont="1" applyAlignment="1">
      <alignment vertical="center" wrapText="1"/>
    </xf>
    <xf numFmtId="49" fontId="12" fillId="0" borderId="16" xfId="0" applyNumberFormat="1" applyFont="1" applyBorder="1" applyAlignment="1">
      <alignment horizontal="center" vertical="center"/>
    </xf>
    <xf numFmtId="4" fontId="15" fillId="0" borderId="0" xfId="0" applyNumberFormat="1" applyFont="1"/>
    <xf numFmtId="4" fontId="12" fillId="0" borderId="3" xfId="0" applyNumberFormat="1" applyFont="1" applyBorder="1" applyAlignment="1">
      <alignment horizontal="right" vertical="center"/>
    </xf>
    <xf numFmtId="3" fontId="1" fillId="0" borderId="4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horizontal="right"/>
    </xf>
    <xf numFmtId="49" fontId="1" fillId="0" borderId="3" xfId="0" applyNumberFormat="1" applyFont="1" applyBorder="1" applyAlignment="1">
      <alignment horizontal="center"/>
    </xf>
    <xf numFmtId="0" fontId="7" fillId="0" borderId="5" xfId="1" applyNumberFormat="1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4" fontId="1" fillId="0" borderId="3" xfId="0" applyNumberFormat="1" applyFont="1" applyBorder="1" applyAlignment="1">
      <alignment horizontal="center"/>
    </xf>
    <xf numFmtId="3" fontId="7" fillId="0" borderId="4" xfId="0" applyNumberFormat="1" applyFont="1" applyBorder="1"/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7" fillId="0" borderId="5" xfId="0" applyFont="1" applyBorder="1"/>
    <xf numFmtId="0" fontId="18" fillId="0" borderId="0" xfId="0" applyFont="1"/>
    <xf numFmtId="3" fontId="4" fillId="0" borderId="5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18" fillId="0" borderId="20" xfId="0" applyFont="1" applyBorder="1"/>
    <xf numFmtId="0" fontId="1" fillId="0" borderId="4" xfId="0" applyFont="1" applyBorder="1" applyAlignment="1">
      <alignment horizontal="right"/>
    </xf>
    <xf numFmtId="4" fontId="7" fillId="0" borderId="3" xfId="0" applyNumberFormat="1" applyFont="1" applyBorder="1" applyAlignment="1">
      <alignment horizontal="center"/>
    </xf>
    <xf numFmtId="4" fontId="20" fillId="0" borderId="0" xfId="0" applyNumberFormat="1" applyFont="1"/>
    <xf numFmtId="0" fontId="20" fillId="0" borderId="0" xfId="0" applyFont="1"/>
    <xf numFmtId="0" fontId="0" fillId="0" borderId="0" xfId="0" applyFont="1"/>
    <xf numFmtId="0" fontId="0" fillId="0" borderId="0" xfId="0" applyFont="1" applyAlignment="1">
      <alignment horizontal="centerContinuous"/>
    </xf>
    <xf numFmtId="0" fontId="7" fillId="0" borderId="11" xfId="0" applyFont="1" applyBorder="1" applyAlignment="1">
      <alignment vertical="center" wrapText="1"/>
    </xf>
    <xf numFmtId="4" fontId="7" fillId="0" borderId="11" xfId="0" applyNumberFormat="1" applyFont="1" applyBorder="1"/>
    <xf numFmtId="4" fontId="7" fillId="0" borderId="11" xfId="0" applyNumberFormat="1" applyFont="1" applyBorder="1" applyAlignment="1">
      <alignment horizontal="right"/>
    </xf>
    <xf numFmtId="0" fontId="7" fillId="0" borderId="12" xfId="0" applyFont="1" applyBorder="1" applyAlignment="1">
      <alignment vertical="center" wrapText="1"/>
    </xf>
    <xf numFmtId="0" fontId="7" fillId="0" borderId="12" xfId="0" applyFont="1" applyBorder="1" applyAlignment="1">
      <alignment vertical="center"/>
    </xf>
    <xf numFmtId="0" fontId="1" fillId="0" borderId="12" xfId="0" applyFont="1" applyBorder="1"/>
    <xf numFmtId="4" fontId="1" fillId="0" borderId="11" xfId="0" applyNumberFormat="1" applyFont="1" applyBorder="1"/>
    <xf numFmtId="0" fontId="7" fillId="0" borderId="12" xfId="0" applyFont="1" applyBorder="1"/>
    <xf numFmtId="4" fontId="7" fillId="0" borderId="13" xfId="0" applyNumberFormat="1" applyFont="1" applyBorder="1"/>
    <xf numFmtId="4" fontId="1" fillId="0" borderId="11" xfId="0" applyNumberFormat="1" applyFont="1" applyBorder="1" applyAlignment="1">
      <alignment horizontal="right"/>
    </xf>
    <xf numFmtId="0" fontId="1" fillId="0" borderId="12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vertical="center"/>
    </xf>
    <xf numFmtId="4" fontId="21" fillId="0" borderId="3" xfId="0" applyNumberFormat="1" applyFont="1" applyBorder="1" applyAlignment="1">
      <alignment vertical="center"/>
    </xf>
    <xf numFmtId="0" fontId="12" fillId="0" borderId="3" xfId="0" applyFont="1" applyBorder="1"/>
    <xf numFmtId="0" fontId="12" fillId="0" borderId="3" xfId="0" applyFont="1" applyBorder="1" applyAlignment="1">
      <alignment wrapText="1"/>
    </xf>
    <xf numFmtId="0" fontId="11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right" vertical="center"/>
    </xf>
    <xf numFmtId="0" fontId="0" fillId="0" borderId="18" xfId="0" applyFont="1" applyBorder="1" applyAlignment="1">
      <alignment horizontal="center" vertical="center"/>
    </xf>
    <xf numFmtId="4" fontId="11" fillId="0" borderId="19" xfId="0" applyNumberFormat="1" applyFont="1" applyBorder="1" applyAlignment="1">
      <alignment vertical="center"/>
    </xf>
    <xf numFmtId="4" fontId="11" fillId="0" borderId="14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4" fontId="0" fillId="0" borderId="0" xfId="0" applyNumberFormat="1" applyFont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546D7-3EB3-4947-B47B-EA07D990ECC9}">
  <dimension ref="A1:H426"/>
  <sheetViews>
    <sheetView tabSelected="1" zoomScale="150" zoomScaleNormal="150" workbookViewId="0"/>
  </sheetViews>
  <sheetFormatPr defaultRowHeight="15" x14ac:dyDescent="0.25"/>
  <cols>
    <col min="1" max="1" width="4.140625" style="125" customWidth="1"/>
    <col min="2" max="2" width="6" style="125" customWidth="1"/>
    <col min="3" max="3" width="5" style="125" customWidth="1"/>
    <col min="4" max="4" width="39.5703125" style="125" customWidth="1"/>
    <col min="5" max="5" width="13" style="125" customWidth="1"/>
    <col min="6" max="6" width="10.5703125" style="125" customWidth="1"/>
    <col min="7" max="7" width="10.28515625" style="125" customWidth="1"/>
    <col min="8" max="8" width="13" style="125" customWidth="1"/>
    <col min="9" max="16384" width="9.140625" style="125"/>
  </cols>
  <sheetData>
    <row r="1" spans="1:8" ht="12.75" customHeight="1" x14ac:dyDescent="0.25">
      <c r="A1" s="1"/>
      <c r="B1" s="1"/>
      <c r="C1" s="2"/>
      <c r="D1" s="3"/>
      <c r="E1" s="3"/>
      <c r="F1" s="3" t="s">
        <v>0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162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3" t="s">
        <v>1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163</v>
      </c>
      <c r="G4" s="1"/>
      <c r="H4" s="1"/>
    </row>
    <row r="5" spans="1:8" ht="36.75" customHeight="1" x14ac:dyDescent="0.25">
      <c r="A5" s="4" t="s">
        <v>2</v>
      </c>
      <c r="B5" s="126"/>
      <c r="C5" s="5"/>
      <c r="D5" s="5"/>
      <c r="E5" s="126"/>
      <c r="F5" s="126"/>
      <c r="G5" s="6"/>
      <c r="H5" s="126"/>
    </row>
    <row r="6" spans="1:8" ht="27" customHeight="1" x14ac:dyDescent="0.25">
      <c r="A6" s="1"/>
      <c r="B6" s="1"/>
      <c r="C6" s="2"/>
      <c r="D6" s="2"/>
      <c r="E6" s="7"/>
      <c r="F6" s="1"/>
      <c r="G6" s="8"/>
      <c r="H6" s="9" t="s">
        <v>3</v>
      </c>
    </row>
    <row r="7" spans="1:8" s="17" customFormat="1" ht="11.25" x14ac:dyDescent="0.2">
      <c r="A7" s="10"/>
      <c r="B7" s="10"/>
      <c r="C7" s="11"/>
      <c r="D7" s="12"/>
      <c r="E7" s="13" t="s">
        <v>4</v>
      </c>
      <c r="F7" s="14"/>
      <c r="G7" s="15"/>
      <c r="H7" s="13" t="s">
        <v>4</v>
      </c>
    </row>
    <row r="8" spans="1:8" s="17" customFormat="1" ht="11.25" x14ac:dyDescent="0.2">
      <c r="A8" s="18" t="s">
        <v>5</v>
      </c>
      <c r="B8" s="18" t="s">
        <v>6</v>
      </c>
      <c r="C8" s="19" t="s">
        <v>7</v>
      </c>
      <c r="D8" s="20" t="s">
        <v>8</v>
      </c>
      <c r="E8" s="18" t="s">
        <v>9</v>
      </c>
      <c r="F8" s="21" t="s">
        <v>10</v>
      </c>
      <c r="G8" s="18" t="s">
        <v>11</v>
      </c>
      <c r="H8" s="18" t="s">
        <v>12</v>
      </c>
    </row>
    <row r="9" spans="1:8" s="17" customFormat="1" ht="4.5" customHeight="1" x14ac:dyDescent="0.2">
      <c r="A9" s="22"/>
      <c r="B9" s="22"/>
      <c r="C9" s="23"/>
      <c r="D9" s="24"/>
      <c r="E9" s="22"/>
      <c r="F9" s="25"/>
      <c r="G9" s="25"/>
      <c r="H9" s="22"/>
    </row>
    <row r="10" spans="1:8" s="17" customFormat="1" ht="21" customHeight="1" thickBot="1" x14ac:dyDescent="0.25">
      <c r="A10" s="26"/>
      <c r="B10" s="26"/>
      <c r="C10" s="27"/>
      <c r="D10" s="28" t="s">
        <v>13</v>
      </c>
      <c r="E10" s="29">
        <v>824382292.23999965</v>
      </c>
      <c r="F10" s="29">
        <f>SUM(F11,F21,F44)</f>
        <v>4565434</v>
      </c>
      <c r="G10" s="29">
        <f>SUM(G11,G21,G44)</f>
        <v>0</v>
      </c>
      <c r="H10" s="29">
        <f t="shared" ref="H10:H12" si="0">SUM(E10+F10-G10)</f>
        <v>828947726.23999965</v>
      </c>
    </row>
    <row r="11" spans="1:8" s="17" customFormat="1" ht="16.5" customHeight="1" thickBot="1" x14ac:dyDescent="0.25">
      <c r="A11" s="26"/>
      <c r="B11" s="26"/>
      <c r="C11" s="27"/>
      <c r="D11" s="30" t="s">
        <v>14</v>
      </c>
      <c r="E11" s="31">
        <v>710885915.92999983</v>
      </c>
      <c r="F11" s="31">
        <f>SUM(F12,F17)</f>
        <v>52478</v>
      </c>
      <c r="G11" s="31">
        <f>SUM(G12,G17)</f>
        <v>0</v>
      </c>
      <c r="H11" s="31">
        <f t="shared" si="0"/>
        <v>710938393.92999983</v>
      </c>
    </row>
    <row r="12" spans="1:8" s="17" customFormat="1" ht="16.5" customHeight="1" thickTop="1" thickBot="1" x14ac:dyDescent="0.25">
      <c r="A12" s="32">
        <v>852</v>
      </c>
      <c r="B12" s="32"/>
      <c r="C12" s="33"/>
      <c r="D12" s="34" t="s">
        <v>15</v>
      </c>
      <c r="E12" s="31">
        <v>25232154.789999999</v>
      </c>
      <c r="F12" s="35">
        <f>SUM(F14)</f>
        <v>713</v>
      </c>
      <c r="G12" s="35">
        <f>SUM(G13)</f>
        <v>0</v>
      </c>
      <c r="H12" s="31">
        <f t="shared" si="0"/>
        <v>25232867.789999999</v>
      </c>
    </row>
    <row r="13" spans="1:8" s="17" customFormat="1" ht="12" customHeight="1" thickTop="1" x14ac:dyDescent="0.2">
      <c r="A13" s="32"/>
      <c r="B13" s="36">
        <v>85214</v>
      </c>
      <c r="C13" s="27"/>
      <c r="D13" s="104" t="s">
        <v>114</v>
      </c>
      <c r="E13" s="105"/>
      <c r="F13" s="106"/>
      <c r="G13" s="106"/>
      <c r="H13" s="105"/>
    </row>
    <row r="14" spans="1:8" s="17" customFormat="1" ht="12.75" customHeight="1" x14ac:dyDescent="0.2">
      <c r="A14" s="32"/>
      <c r="B14" s="36"/>
      <c r="C14" s="27"/>
      <c r="D14" s="56" t="s">
        <v>115</v>
      </c>
      <c r="E14" s="38">
        <v>7935151</v>
      </c>
      <c r="F14" s="39">
        <f t="shared" ref="F14:G14" si="1">SUM(F15)</f>
        <v>713</v>
      </c>
      <c r="G14" s="39">
        <f t="shared" si="1"/>
        <v>0</v>
      </c>
      <c r="H14" s="38">
        <f>SUM(E14+F14-G14)</f>
        <v>7935864</v>
      </c>
    </row>
    <row r="15" spans="1:8" s="17" customFormat="1" ht="12.75" customHeight="1" x14ac:dyDescent="0.2">
      <c r="A15" s="32"/>
      <c r="B15" s="32"/>
      <c r="C15" s="60"/>
      <c r="D15" s="127" t="s">
        <v>116</v>
      </c>
      <c r="E15" s="128">
        <v>717</v>
      </c>
      <c r="F15" s="129">
        <f>SUM(F16:F16)</f>
        <v>713</v>
      </c>
      <c r="G15" s="129">
        <f>SUM(G16:G16)</f>
        <v>0</v>
      </c>
      <c r="H15" s="128">
        <f t="shared" ref="H15:H16" si="2">SUM(E15+F15-G15)</f>
        <v>1430</v>
      </c>
    </row>
    <row r="16" spans="1:8" s="17" customFormat="1" ht="34.5" customHeight="1" x14ac:dyDescent="0.2">
      <c r="A16" s="32"/>
      <c r="B16" s="32"/>
      <c r="C16" s="40" t="s">
        <v>19</v>
      </c>
      <c r="D16" s="41" t="s">
        <v>20</v>
      </c>
      <c r="E16" s="42">
        <v>717</v>
      </c>
      <c r="F16" s="42">
        <v>713</v>
      </c>
      <c r="G16" s="43"/>
      <c r="H16" s="42">
        <f t="shared" si="2"/>
        <v>1430</v>
      </c>
    </row>
    <row r="17" spans="1:8" s="17" customFormat="1" ht="12" customHeight="1" thickBot="1" x14ac:dyDescent="0.25">
      <c r="A17" s="32">
        <v>855</v>
      </c>
      <c r="B17" s="32"/>
      <c r="C17" s="33"/>
      <c r="D17" s="34" t="s">
        <v>117</v>
      </c>
      <c r="E17" s="35">
        <v>2016810</v>
      </c>
      <c r="F17" s="35">
        <f>SUM(F18)</f>
        <v>51765</v>
      </c>
      <c r="G17" s="35">
        <f>SUM(G18)</f>
        <v>0</v>
      </c>
      <c r="H17" s="35">
        <f>SUM(E17+F17-G17)</f>
        <v>2068575</v>
      </c>
    </row>
    <row r="18" spans="1:8" s="17" customFormat="1" ht="32.450000000000003" customHeight="1" thickTop="1" x14ac:dyDescent="0.2">
      <c r="A18" s="47"/>
      <c r="B18" s="48">
        <v>85502</v>
      </c>
      <c r="C18" s="27"/>
      <c r="D18" s="64" t="s">
        <v>118</v>
      </c>
      <c r="E18" s="38">
        <v>462125</v>
      </c>
      <c r="F18" s="39">
        <f t="shared" ref="F18:G18" si="3">SUM(F19)</f>
        <v>51765</v>
      </c>
      <c r="G18" s="39">
        <f t="shared" si="3"/>
        <v>0</v>
      </c>
      <c r="H18" s="38">
        <f>SUM(E18+F18-G18)</f>
        <v>513890</v>
      </c>
    </row>
    <row r="19" spans="1:8" s="17" customFormat="1" ht="12" customHeight="1" x14ac:dyDescent="0.2">
      <c r="A19" s="45"/>
      <c r="B19" s="32"/>
      <c r="C19" s="60"/>
      <c r="D19" s="127" t="s">
        <v>119</v>
      </c>
      <c r="E19" s="128">
        <v>30795</v>
      </c>
      <c r="F19" s="129">
        <f>SUM(F20:F20)</f>
        <v>51765</v>
      </c>
      <c r="G19" s="129">
        <f>SUM(G20:G20)</f>
        <v>0</v>
      </c>
      <c r="H19" s="128">
        <f t="shared" ref="H19:H58" si="4">SUM(E19+F19-G19)</f>
        <v>82560</v>
      </c>
    </row>
    <row r="20" spans="1:8" s="17" customFormat="1" ht="35.25" customHeight="1" x14ac:dyDescent="0.2">
      <c r="A20" s="45"/>
      <c r="B20" s="32"/>
      <c r="C20" s="40" t="s">
        <v>19</v>
      </c>
      <c r="D20" s="41" t="s">
        <v>20</v>
      </c>
      <c r="E20" s="42">
        <v>30795</v>
      </c>
      <c r="F20" s="42">
        <v>51765</v>
      </c>
      <c r="G20" s="43"/>
      <c r="H20" s="42">
        <f t="shared" si="4"/>
        <v>82560</v>
      </c>
    </row>
    <row r="21" spans="1:8" s="17" customFormat="1" ht="17.25" customHeight="1" thickBot="1" x14ac:dyDescent="0.25">
      <c r="A21" s="26"/>
      <c r="B21" s="26"/>
      <c r="C21" s="27"/>
      <c r="D21" s="30" t="s">
        <v>17</v>
      </c>
      <c r="E21" s="31">
        <v>93142243.789999992</v>
      </c>
      <c r="F21" s="35">
        <f>SUM(F22,F26,F30)</f>
        <v>4507767</v>
      </c>
      <c r="G21" s="35">
        <f>SUM(G22,G26,G30)</f>
        <v>0</v>
      </c>
      <c r="H21" s="31">
        <f t="shared" si="4"/>
        <v>97650010.789999992</v>
      </c>
    </row>
    <row r="22" spans="1:8" s="17" customFormat="1" ht="15.75" customHeight="1" thickTop="1" thickBot="1" x14ac:dyDescent="0.25">
      <c r="A22" s="32">
        <v>754</v>
      </c>
      <c r="B22" s="32"/>
      <c r="C22" s="33"/>
      <c r="D22" s="34" t="s">
        <v>120</v>
      </c>
      <c r="E22" s="35">
        <v>2208948</v>
      </c>
      <c r="F22" s="35">
        <f>SUM(F23)</f>
        <v>655920</v>
      </c>
      <c r="G22" s="35">
        <f>SUM(G23)</f>
        <v>0</v>
      </c>
      <c r="H22" s="35">
        <f>SUM(E22+F22-G22)</f>
        <v>2864868</v>
      </c>
    </row>
    <row r="23" spans="1:8" s="17" customFormat="1" ht="12" customHeight="1" thickTop="1" x14ac:dyDescent="0.2">
      <c r="A23" s="36"/>
      <c r="B23" s="36">
        <v>75495</v>
      </c>
      <c r="C23" s="27"/>
      <c r="D23" s="37" t="s">
        <v>23</v>
      </c>
      <c r="E23" s="38">
        <v>2208948</v>
      </c>
      <c r="F23" s="39">
        <f>SUM(F24)</f>
        <v>655920</v>
      </c>
      <c r="G23" s="39">
        <f>SUM(G24)</f>
        <v>0</v>
      </c>
      <c r="H23" s="38">
        <f>SUM(E23+F23-G23)</f>
        <v>2864868</v>
      </c>
    </row>
    <row r="24" spans="1:8" s="17" customFormat="1" ht="21" customHeight="1" x14ac:dyDescent="0.2">
      <c r="A24" s="26"/>
      <c r="B24" s="26"/>
      <c r="C24" s="60"/>
      <c r="D24" s="127" t="s">
        <v>24</v>
      </c>
      <c r="E24" s="128">
        <v>1216008</v>
      </c>
      <c r="F24" s="129">
        <f>SUM(F25:F25)</f>
        <v>655920</v>
      </c>
      <c r="G24" s="129">
        <f>SUM(G25:G25)</f>
        <v>0</v>
      </c>
      <c r="H24" s="128">
        <f t="shared" ref="H24:H44" si="5">SUM(E24+F24-G24)</f>
        <v>1871928</v>
      </c>
    </row>
    <row r="25" spans="1:8" s="17" customFormat="1" ht="33.75" customHeight="1" x14ac:dyDescent="0.2">
      <c r="A25" s="26"/>
      <c r="B25" s="26"/>
      <c r="C25" s="40" t="s">
        <v>19</v>
      </c>
      <c r="D25" s="41" t="s">
        <v>20</v>
      </c>
      <c r="E25" s="42">
        <v>1216008</v>
      </c>
      <c r="F25" s="42">
        <f>171240+484680</f>
        <v>655920</v>
      </c>
      <c r="G25" s="43"/>
      <c r="H25" s="42">
        <f t="shared" si="5"/>
        <v>1871928</v>
      </c>
    </row>
    <row r="26" spans="1:8" s="17" customFormat="1" ht="12" customHeight="1" thickBot="1" x14ac:dyDescent="0.25">
      <c r="A26" s="32">
        <v>853</v>
      </c>
      <c r="B26" s="32"/>
      <c r="C26" s="33"/>
      <c r="D26" s="34" t="s">
        <v>25</v>
      </c>
      <c r="E26" s="35">
        <v>321912</v>
      </c>
      <c r="F26" s="35">
        <f>SUM(F27)</f>
        <v>18972</v>
      </c>
      <c r="G26" s="35">
        <f>SUM(G27)</f>
        <v>0</v>
      </c>
      <c r="H26" s="35">
        <f t="shared" si="5"/>
        <v>340884</v>
      </c>
    </row>
    <row r="27" spans="1:8" s="17" customFormat="1" ht="12" customHeight="1" thickTop="1" x14ac:dyDescent="0.2">
      <c r="A27" s="32"/>
      <c r="B27" s="36">
        <v>85395</v>
      </c>
      <c r="C27" s="27"/>
      <c r="D27" s="37" t="s">
        <v>23</v>
      </c>
      <c r="E27" s="38">
        <v>321912</v>
      </c>
      <c r="F27" s="39">
        <f t="shared" ref="F27:G27" si="6">SUM(F28)</f>
        <v>18972</v>
      </c>
      <c r="G27" s="39">
        <f t="shared" si="6"/>
        <v>0</v>
      </c>
      <c r="H27" s="38">
        <f t="shared" si="5"/>
        <v>340884</v>
      </c>
    </row>
    <row r="28" spans="1:8" s="17" customFormat="1" ht="19.5" customHeight="1" x14ac:dyDescent="0.2">
      <c r="A28" s="32"/>
      <c r="B28" s="36"/>
      <c r="C28" s="27"/>
      <c r="D28" s="130" t="s">
        <v>26</v>
      </c>
      <c r="E28" s="128">
        <v>321912</v>
      </c>
      <c r="F28" s="129">
        <f>SUM(F29:F29)</f>
        <v>18972</v>
      </c>
      <c r="G28" s="129">
        <f>SUM(G29:G29)</f>
        <v>0</v>
      </c>
      <c r="H28" s="128">
        <f t="shared" si="5"/>
        <v>340884</v>
      </c>
    </row>
    <row r="29" spans="1:8" s="17" customFormat="1" ht="33.75" customHeight="1" x14ac:dyDescent="0.2">
      <c r="A29" s="32"/>
      <c r="B29" s="36"/>
      <c r="C29" s="40" t="s">
        <v>19</v>
      </c>
      <c r="D29" s="41" t="s">
        <v>20</v>
      </c>
      <c r="E29" s="42">
        <v>321912</v>
      </c>
      <c r="F29" s="42">
        <v>18972</v>
      </c>
      <c r="G29" s="43"/>
      <c r="H29" s="42">
        <f t="shared" si="5"/>
        <v>340884</v>
      </c>
    </row>
    <row r="30" spans="1:8" s="17" customFormat="1" ht="12" customHeight="1" thickBot="1" x14ac:dyDescent="0.25">
      <c r="A30" s="32">
        <v>855</v>
      </c>
      <c r="B30" s="32"/>
      <c r="C30" s="33"/>
      <c r="D30" s="34" t="s">
        <v>117</v>
      </c>
      <c r="E30" s="35">
        <v>71393661</v>
      </c>
      <c r="F30" s="35">
        <f>SUM(F31,F36,F41)</f>
        <v>3832875</v>
      </c>
      <c r="G30" s="35">
        <f>SUM(G31,G36,G41)</f>
        <v>0</v>
      </c>
      <c r="H30" s="35">
        <f>SUM(E30+F30-G30)</f>
        <v>75226536</v>
      </c>
    </row>
    <row r="31" spans="1:8" s="17" customFormat="1" ht="12" customHeight="1" thickTop="1" x14ac:dyDescent="0.2">
      <c r="A31" s="32"/>
      <c r="B31" s="47">
        <v>85501</v>
      </c>
      <c r="C31" s="107"/>
      <c r="D31" s="108" t="s">
        <v>121</v>
      </c>
      <c r="E31" s="38">
        <v>36789180</v>
      </c>
      <c r="F31" s="39">
        <f t="shared" ref="F31:G31" si="7">SUM(F32)</f>
        <v>18861</v>
      </c>
      <c r="G31" s="39">
        <f t="shared" si="7"/>
        <v>0</v>
      </c>
      <c r="H31" s="38">
        <f>SUM(E31+F31-G31)</f>
        <v>36808041</v>
      </c>
    </row>
    <row r="32" spans="1:8" s="17" customFormat="1" ht="12" customHeight="1" x14ac:dyDescent="0.2">
      <c r="A32" s="32"/>
      <c r="B32" s="36"/>
      <c r="C32" s="27"/>
      <c r="D32" s="131" t="s">
        <v>16</v>
      </c>
      <c r="E32" s="128">
        <v>36789180</v>
      </c>
      <c r="F32" s="129">
        <f>SUM(F33)</f>
        <v>18861</v>
      </c>
      <c r="G32" s="129">
        <f>SUM(G33)</f>
        <v>0</v>
      </c>
      <c r="H32" s="128">
        <f>SUM(E32+F32-G32)</f>
        <v>36808041</v>
      </c>
    </row>
    <row r="33" spans="1:8" s="17" customFormat="1" ht="57" customHeight="1" x14ac:dyDescent="0.2">
      <c r="A33" s="32"/>
      <c r="B33" s="32"/>
      <c r="C33" s="48">
        <v>2060</v>
      </c>
      <c r="D33" s="109" t="s">
        <v>122</v>
      </c>
      <c r="E33" s="46">
        <v>36789180</v>
      </c>
      <c r="F33" s="43">
        <v>18861</v>
      </c>
      <c r="G33" s="110"/>
      <c r="H33" s="46">
        <f t="shared" ref="H33" si="8">SUM(E33+F33-G33)</f>
        <v>36808041</v>
      </c>
    </row>
    <row r="34" spans="1:8" s="17" customFormat="1" ht="12" customHeight="1" x14ac:dyDescent="0.2">
      <c r="A34" s="32"/>
      <c r="B34" s="58">
        <v>85502</v>
      </c>
      <c r="C34" s="60"/>
      <c r="D34" s="111" t="s">
        <v>123</v>
      </c>
      <c r="E34" s="106"/>
      <c r="F34" s="106"/>
      <c r="G34" s="106"/>
      <c r="H34" s="106"/>
    </row>
    <row r="35" spans="1:8" s="17" customFormat="1" ht="12" customHeight="1" x14ac:dyDescent="0.2">
      <c r="A35" s="32"/>
      <c r="B35" s="58"/>
      <c r="C35" s="60"/>
      <c r="D35" s="111" t="s">
        <v>124</v>
      </c>
      <c r="E35" s="106"/>
      <c r="F35" s="106"/>
      <c r="G35" s="106"/>
      <c r="H35" s="106"/>
    </row>
    <row r="36" spans="1:8" s="17" customFormat="1" ht="12" customHeight="1" x14ac:dyDescent="0.2">
      <c r="A36" s="32"/>
      <c r="B36" s="58"/>
      <c r="C36" s="60"/>
      <c r="D36" s="56" t="s">
        <v>125</v>
      </c>
      <c r="E36" s="38">
        <v>34288481</v>
      </c>
      <c r="F36" s="39">
        <f t="shared" ref="F36:G36" si="9">SUM(F37)</f>
        <v>3748439</v>
      </c>
      <c r="G36" s="39">
        <f t="shared" si="9"/>
        <v>0</v>
      </c>
      <c r="H36" s="38">
        <f>SUM(E36+F36-G36)</f>
        <v>38036920</v>
      </c>
    </row>
    <row r="37" spans="1:8" s="17" customFormat="1" ht="12" customHeight="1" x14ac:dyDescent="0.2">
      <c r="A37" s="32"/>
      <c r="B37" s="36"/>
      <c r="C37" s="27"/>
      <c r="D37" s="131" t="s">
        <v>16</v>
      </c>
      <c r="E37" s="128">
        <v>34288481</v>
      </c>
      <c r="F37" s="129">
        <f>SUM(F38)</f>
        <v>3748439</v>
      </c>
      <c r="G37" s="129">
        <f>SUM(G38)</f>
        <v>0</v>
      </c>
      <c r="H37" s="128">
        <f>SUM(E37+F37-G37)</f>
        <v>38036920</v>
      </c>
    </row>
    <row r="38" spans="1:8" s="17" customFormat="1" ht="46.5" customHeight="1" x14ac:dyDescent="0.2">
      <c r="A38" s="50"/>
      <c r="B38" s="50"/>
      <c r="C38" s="51" t="s">
        <v>126</v>
      </c>
      <c r="D38" s="112" t="s">
        <v>127</v>
      </c>
      <c r="E38" s="52">
        <v>34288481</v>
      </c>
      <c r="F38" s="38">
        <v>3748439</v>
      </c>
      <c r="G38" s="38"/>
      <c r="H38" s="52">
        <f t="shared" ref="H38" si="10">SUM(E38+F38-G38)</f>
        <v>38036920</v>
      </c>
    </row>
    <row r="39" spans="1:8" s="17" customFormat="1" ht="12" customHeight="1" x14ac:dyDescent="0.2">
      <c r="A39" s="32"/>
      <c r="B39" s="36">
        <v>85513</v>
      </c>
      <c r="C39" s="27"/>
      <c r="D39" s="58" t="s">
        <v>128</v>
      </c>
      <c r="E39" s="46"/>
      <c r="F39" s="42"/>
      <c r="G39" s="42"/>
      <c r="H39" s="46"/>
    </row>
    <row r="40" spans="1:8" s="17" customFormat="1" ht="12" customHeight="1" x14ac:dyDescent="0.2">
      <c r="A40" s="32"/>
      <c r="B40" s="26"/>
      <c r="C40" s="27"/>
      <c r="D40" s="104" t="s">
        <v>129</v>
      </c>
      <c r="E40" s="46"/>
      <c r="F40" s="42"/>
      <c r="G40" s="42"/>
      <c r="H40" s="46"/>
    </row>
    <row r="41" spans="1:8" s="17" customFormat="1" ht="12" customHeight="1" x14ac:dyDescent="0.2">
      <c r="A41" s="32"/>
      <c r="B41" s="36"/>
      <c r="C41" s="27"/>
      <c r="D41" s="37" t="s">
        <v>130</v>
      </c>
      <c r="E41" s="38">
        <v>313100</v>
      </c>
      <c r="F41" s="39">
        <f t="shared" ref="F41:G42" si="11">SUM(F42)</f>
        <v>65575</v>
      </c>
      <c r="G41" s="39">
        <f t="shared" si="11"/>
        <v>0</v>
      </c>
      <c r="H41" s="38">
        <f t="shared" ref="H41:H43" si="12">SUM(E41+F41-G41)</f>
        <v>378675</v>
      </c>
    </row>
    <row r="42" spans="1:8" s="17" customFormat="1" ht="12" customHeight="1" x14ac:dyDescent="0.2">
      <c r="A42" s="32"/>
      <c r="B42" s="36"/>
      <c r="C42" s="27"/>
      <c r="D42" s="131" t="s">
        <v>16</v>
      </c>
      <c r="E42" s="128">
        <v>313100</v>
      </c>
      <c r="F42" s="129">
        <f t="shared" si="11"/>
        <v>65575</v>
      </c>
      <c r="G42" s="129">
        <f t="shared" si="11"/>
        <v>0</v>
      </c>
      <c r="H42" s="128">
        <f t="shared" si="12"/>
        <v>378675</v>
      </c>
    </row>
    <row r="43" spans="1:8" s="17" customFormat="1" ht="46.5" customHeight="1" x14ac:dyDescent="0.2">
      <c r="A43" s="32"/>
      <c r="B43" s="32"/>
      <c r="C43" s="40" t="s">
        <v>126</v>
      </c>
      <c r="D43" s="113" t="s">
        <v>127</v>
      </c>
      <c r="E43" s="46">
        <v>313100</v>
      </c>
      <c r="F43" s="42">
        <v>65575</v>
      </c>
      <c r="G43" s="42"/>
      <c r="H43" s="46">
        <f t="shared" si="12"/>
        <v>378675</v>
      </c>
    </row>
    <row r="44" spans="1:8" s="17" customFormat="1" ht="17.25" customHeight="1" thickBot="1" x14ac:dyDescent="0.25">
      <c r="A44" s="26"/>
      <c r="B44" s="26"/>
      <c r="C44" s="27"/>
      <c r="D44" s="30" t="s">
        <v>27</v>
      </c>
      <c r="E44" s="31">
        <v>20354132.52</v>
      </c>
      <c r="F44" s="31">
        <f>SUM(F45)</f>
        <v>5189</v>
      </c>
      <c r="G44" s="31">
        <f>SUM(G45,G49)</f>
        <v>0</v>
      </c>
      <c r="H44" s="31">
        <f t="shared" si="5"/>
        <v>20359321.52</v>
      </c>
    </row>
    <row r="45" spans="1:8" s="17" customFormat="1" ht="15" customHeight="1" thickTop="1" thickBot="1" x14ac:dyDescent="0.25">
      <c r="A45" s="44">
        <v>851</v>
      </c>
      <c r="B45" s="32"/>
      <c r="C45" s="33"/>
      <c r="D45" s="34" t="s">
        <v>131</v>
      </c>
      <c r="E45" s="31">
        <v>53849</v>
      </c>
      <c r="F45" s="31">
        <f>SUM(F48)</f>
        <v>5189</v>
      </c>
      <c r="G45" s="31">
        <f>SUM(G48)</f>
        <v>0</v>
      </c>
      <c r="H45" s="31">
        <f>SUM(E45+F45-G45)</f>
        <v>59038</v>
      </c>
    </row>
    <row r="46" spans="1:8" s="17" customFormat="1" ht="12" customHeight="1" thickTop="1" x14ac:dyDescent="0.2">
      <c r="A46" s="44"/>
      <c r="B46" s="114">
        <v>85156</v>
      </c>
      <c r="C46" s="115"/>
      <c r="D46" s="58" t="s">
        <v>132</v>
      </c>
      <c r="E46" s="105"/>
      <c r="F46" s="105"/>
      <c r="G46" s="105"/>
      <c r="H46" s="105"/>
    </row>
    <row r="47" spans="1:8" s="17" customFormat="1" ht="12" customHeight="1" x14ac:dyDescent="0.2">
      <c r="A47" s="44"/>
      <c r="B47" s="114"/>
      <c r="C47" s="115"/>
      <c r="D47" s="58" t="s">
        <v>133</v>
      </c>
      <c r="E47" s="105"/>
      <c r="F47" s="105"/>
      <c r="G47" s="105"/>
      <c r="H47" s="105"/>
    </row>
    <row r="48" spans="1:8" s="17" customFormat="1" ht="11.45" customHeight="1" x14ac:dyDescent="0.2">
      <c r="A48" s="44"/>
      <c r="B48" s="114"/>
      <c r="C48" s="115"/>
      <c r="D48" s="116" t="s">
        <v>134</v>
      </c>
      <c r="E48" s="38">
        <v>53849</v>
      </c>
      <c r="F48" s="38">
        <f t="shared" ref="F48:G48" si="13">SUM(F49)</f>
        <v>5189</v>
      </c>
      <c r="G48" s="38">
        <f t="shared" si="13"/>
        <v>0</v>
      </c>
      <c r="H48" s="38">
        <f>SUM(E48+F48-G48)</f>
        <v>59038</v>
      </c>
    </row>
    <row r="49" spans="1:8" s="17" customFormat="1" ht="12.75" customHeight="1" x14ac:dyDescent="0.2">
      <c r="A49" s="45"/>
      <c r="B49" s="36"/>
      <c r="C49" s="27"/>
      <c r="D49" s="131" t="s">
        <v>16</v>
      </c>
      <c r="E49" s="128">
        <v>53849</v>
      </c>
      <c r="F49" s="129">
        <f>SUM(F50:F50)</f>
        <v>5189</v>
      </c>
      <c r="G49" s="129">
        <f>SUM(G50:G50)</f>
        <v>0</v>
      </c>
      <c r="H49" s="128">
        <f>SUM(E49+F49-G49)</f>
        <v>59038</v>
      </c>
    </row>
    <row r="50" spans="1:8" s="17" customFormat="1" ht="32.25" customHeight="1" x14ac:dyDescent="0.2">
      <c r="A50" s="44"/>
      <c r="B50" s="26"/>
      <c r="C50" s="48">
        <v>2110</v>
      </c>
      <c r="D50" s="49" t="s">
        <v>28</v>
      </c>
      <c r="E50" s="42">
        <v>53849</v>
      </c>
      <c r="F50" s="43">
        <v>5189</v>
      </c>
      <c r="G50" s="43"/>
      <c r="H50" s="42">
        <f>SUM(E50+F50-G50)</f>
        <v>59038</v>
      </c>
    </row>
    <row r="51" spans="1:8" s="17" customFormat="1" ht="21.75" customHeight="1" thickBot="1" x14ac:dyDescent="0.25">
      <c r="A51" s="36"/>
      <c r="B51" s="36"/>
      <c r="C51" s="27"/>
      <c r="D51" s="28" t="s">
        <v>30</v>
      </c>
      <c r="E51" s="29">
        <v>957647303.47000027</v>
      </c>
      <c r="F51" s="29">
        <f>SUM(F52,F128,F157)</f>
        <v>4993997</v>
      </c>
      <c r="G51" s="29">
        <f>SUM(G52,G128,G157)</f>
        <v>428563</v>
      </c>
      <c r="H51" s="29">
        <f t="shared" si="4"/>
        <v>962212737.47000027</v>
      </c>
    </row>
    <row r="52" spans="1:8" s="17" customFormat="1" ht="14.25" customHeight="1" thickBot="1" x14ac:dyDescent="0.25">
      <c r="A52" s="36"/>
      <c r="B52" s="36"/>
      <c r="C52" s="27"/>
      <c r="D52" s="30" t="s">
        <v>31</v>
      </c>
      <c r="E52" s="31">
        <v>844150927.16000009</v>
      </c>
      <c r="F52" s="31">
        <f>SUM(F53,F59,F104,F109,F116,F122)</f>
        <v>478341</v>
      </c>
      <c r="G52" s="31">
        <f>SUM(G53,G59,G104,G109,G116,G122)</f>
        <v>425863</v>
      </c>
      <c r="H52" s="31">
        <f t="shared" si="4"/>
        <v>844203405.16000009</v>
      </c>
    </row>
    <row r="53" spans="1:8" s="17" customFormat="1" ht="15" customHeight="1" thickTop="1" thickBot="1" x14ac:dyDescent="0.25">
      <c r="A53" s="44">
        <v>750</v>
      </c>
      <c r="B53" s="32"/>
      <c r="C53" s="33"/>
      <c r="D53" s="34" t="s">
        <v>18</v>
      </c>
      <c r="E53" s="31">
        <v>83295005.080000013</v>
      </c>
      <c r="F53" s="35">
        <f>SUM(F54)</f>
        <v>3245</v>
      </c>
      <c r="G53" s="35">
        <f>SUM(G54)</f>
        <v>3245</v>
      </c>
      <c r="H53" s="31">
        <f t="shared" si="4"/>
        <v>83295005.080000013</v>
      </c>
    </row>
    <row r="54" spans="1:8" s="17" customFormat="1" ht="12" customHeight="1" thickTop="1" x14ac:dyDescent="0.2">
      <c r="A54" s="44"/>
      <c r="B54" s="27" t="s">
        <v>135</v>
      </c>
      <c r="C54" s="47"/>
      <c r="D54" s="37" t="s">
        <v>136</v>
      </c>
      <c r="E54" s="38">
        <v>6624523</v>
      </c>
      <c r="F54" s="38">
        <f>SUM(F55)</f>
        <v>3245</v>
      </c>
      <c r="G54" s="38">
        <f>SUM(G55)</f>
        <v>3245</v>
      </c>
      <c r="H54" s="38">
        <f t="shared" si="4"/>
        <v>6624523</v>
      </c>
    </row>
    <row r="55" spans="1:8" s="17" customFormat="1" ht="12" customHeight="1" x14ac:dyDescent="0.2">
      <c r="A55" s="44"/>
      <c r="B55" s="47"/>
      <c r="C55" s="47"/>
      <c r="D55" s="132" t="s">
        <v>137</v>
      </c>
      <c r="E55" s="128">
        <v>5411523</v>
      </c>
      <c r="F55" s="133">
        <f>SUM(F56:F58)</f>
        <v>3245</v>
      </c>
      <c r="G55" s="133">
        <f>SUM(G56:G58)</f>
        <v>3245</v>
      </c>
      <c r="H55" s="133">
        <f t="shared" si="4"/>
        <v>5411523</v>
      </c>
    </row>
    <row r="56" spans="1:8" s="17" customFormat="1" ht="12" customHeight="1" x14ac:dyDescent="0.2">
      <c r="A56" s="44"/>
      <c r="B56" s="47"/>
      <c r="C56" s="47">
        <v>4010</v>
      </c>
      <c r="D56" s="54" t="s">
        <v>34</v>
      </c>
      <c r="E56" s="43">
        <v>4108727</v>
      </c>
      <c r="F56" s="43">
        <v>3245</v>
      </c>
      <c r="G56" s="43"/>
      <c r="H56" s="43">
        <f t="shared" si="4"/>
        <v>4111972</v>
      </c>
    </row>
    <row r="57" spans="1:8" s="17" customFormat="1" ht="12" customHeight="1" x14ac:dyDescent="0.2">
      <c r="A57" s="44"/>
      <c r="B57" s="47"/>
      <c r="C57" s="47">
        <v>4110</v>
      </c>
      <c r="D57" s="54" t="s">
        <v>35</v>
      </c>
      <c r="E57" s="43">
        <v>761585</v>
      </c>
      <c r="F57" s="43"/>
      <c r="G57" s="43">
        <v>2840</v>
      </c>
      <c r="H57" s="43">
        <f t="shared" si="4"/>
        <v>758745</v>
      </c>
    </row>
    <row r="58" spans="1:8" s="17" customFormat="1" ht="12" customHeight="1" x14ac:dyDescent="0.2">
      <c r="A58" s="44"/>
      <c r="B58" s="47"/>
      <c r="C58" s="47">
        <v>4120</v>
      </c>
      <c r="D58" s="54" t="s">
        <v>36</v>
      </c>
      <c r="E58" s="43">
        <v>108545</v>
      </c>
      <c r="F58" s="43"/>
      <c r="G58" s="43">
        <v>405</v>
      </c>
      <c r="H58" s="43">
        <f t="shared" si="4"/>
        <v>108140</v>
      </c>
    </row>
    <row r="59" spans="1:8" s="17" customFormat="1" ht="12" customHeight="1" thickBot="1" x14ac:dyDescent="0.25">
      <c r="A59" s="44">
        <v>801</v>
      </c>
      <c r="B59" s="32"/>
      <c r="C59" s="33"/>
      <c r="D59" s="34" t="s">
        <v>138</v>
      </c>
      <c r="E59" s="31">
        <v>305071888.36999995</v>
      </c>
      <c r="F59" s="35">
        <f>SUM(F60,F64,F68,F72,F75,F78,F82,F85,F89,F94,F98,F101)</f>
        <v>416000</v>
      </c>
      <c r="G59" s="35">
        <f>SUM(G60,G64,G68,G72,G75,G78,G82,G85,G89,G94,G98,G101)</f>
        <v>416000</v>
      </c>
      <c r="H59" s="31">
        <f>SUM(E59+F59-G59)</f>
        <v>305071888.36999995</v>
      </c>
    </row>
    <row r="60" spans="1:8" s="17" customFormat="1" ht="12" customHeight="1" thickTop="1" x14ac:dyDescent="0.2">
      <c r="A60" s="44"/>
      <c r="B60" s="36">
        <v>80101</v>
      </c>
      <c r="C60" s="27"/>
      <c r="D60" s="37" t="s">
        <v>139</v>
      </c>
      <c r="E60" s="38">
        <v>84565638.220000014</v>
      </c>
      <c r="F60" s="39">
        <f>SUM(F61)</f>
        <v>124000</v>
      </c>
      <c r="G60" s="39">
        <f>SUM(G61)</f>
        <v>0</v>
      </c>
      <c r="H60" s="38">
        <f t="shared" ref="H60" si="14">SUM(E60+F60-G60)</f>
        <v>84689638.220000014</v>
      </c>
    </row>
    <row r="61" spans="1:8" s="17" customFormat="1" ht="12" customHeight="1" x14ac:dyDescent="0.2">
      <c r="A61" s="44"/>
      <c r="B61" s="36"/>
      <c r="C61" s="27"/>
      <c r="D61" s="132" t="s">
        <v>37</v>
      </c>
      <c r="E61" s="133">
        <v>74276012.879999995</v>
      </c>
      <c r="F61" s="133">
        <f>SUM(F62:F63)</f>
        <v>124000</v>
      </c>
      <c r="G61" s="133">
        <f>SUM(G62:G63)</f>
        <v>0</v>
      </c>
      <c r="H61" s="128">
        <f>SUM(E61+F61-G61)</f>
        <v>74400012.879999995</v>
      </c>
    </row>
    <row r="62" spans="1:8" s="17" customFormat="1" ht="12" customHeight="1" x14ac:dyDescent="0.2">
      <c r="A62" s="44"/>
      <c r="B62" s="36"/>
      <c r="C62" s="47">
        <v>4010</v>
      </c>
      <c r="D62" s="54" t="s">
        <v>34</v>
      </c>
      <c r="E62" s="55">
        <v>8915240</v>
      </c>
      <c r="F62" s="55">
        <v>20000</v>
      </c>
      <c r="G62" s="55"/>
      <c r="H62" s="42">
        <f t="shared" ref="H62:H63" si="15">SUM(E62+F62-G62)</f>
        <v>8935240</v>
      </c>
    </row>
    <row r="63" spans="1:8" s="17" customFormat="1" ht="12" customHeight="1" x14ac:dyDescent="0.2">
      <c r="A63" s="44"/>
      <c r="B63" s="32"/>
      <c r="C63" s="53">
        <v>4790</v>
      </c>
      <c r="D63" s="117" t="s">
        <v>140</v>
      </c>
      <c r="E63" s="55">
        <v>41675828.350000001</v>
      </c>
      <c r="F63" s="55">
        <v>104000</v>
      </c>
      <c r="G63" s="55"/>
      <c r="H63" s="42">
        <f t="shared" si="15"/>
        <v>41779828.350000001</v>
      </c>
    </row>
    <row r="64" spans="1:8" s="17" customFormat="1" ht="12" customHeight="1" x14ac:dyDescent="0.2">
      <c r="A64" s="44"/>
      <c r="B64" s="36">
        <v>80102</v>
      </c>
      <c r="C64" s="27"/>
      <c r="D64" s="37" t="s">
        <v>141</v>
      </c>
      <c r="E64" s="38">
        <v>10477116.02</v>
      </c>
      <c r="F64" s="39">
        <f>SUM(F65)</f>
        <v>16000</v>
      </c>
      <c r="G64" s="39">
        <f>SUM(G65)</f>
        <v>0</v>
      </c>
      <c r="H64" s="38">
        <f>SUM(E64+F64-G64)</f>
        <v>10493116.02</v>
      </c>
    </row>
    <row r="65" spans="1:8" s="17" customFormat="1" ht="12" customHeight="1" x14ac:dyDescent="0.2">
      <c r="A65" s="44"/>
      <c r="B65" s="32"/>
      <c r="C65" s="27"/>
      <c r="D65" s="132" t="s">
        <v>37</v>
      </c>
      <c r="E65" s="133">
        <v>10456370.01</v>
      </c>
      <c r="F65" s="133">
        <f>SUM(F66:F67)</f>
        <v>16000</v>
      </c>
      <c r="G65" s="133">
        <f>SUM(G66:G67)</f>
        <v>0</v>
      </c>
      <c r="H65" s="128">
        <f>SUM(E65+F65-G65)</f>
        <v>10472370.01</v>
      </c>
    </row>
    <row r="66" spans="1:8" s="17" customFormat="1" ht="12" customHeight="1" x14ac:dyDescent="0.2">
      <c r="A66" s="44"/>
      <c r="B66" s="32"/>
      <c r="C66" s="47">
        <v>4010</v>
      </c>
      <c r="D66" s="54" t="s">
        <v>34</v>
      </c>
      <c r="E66" s="55">
        <v>1188231</v>
      </c>
      <c r="F66" s="55">
        <v>4000</v>
      </c>
      <c r="G66" s="55"/>
      <c r="H66" s="42">
        <f t="shared" ref="H66:H67" si="16">SUM(E66+F66-G66)</f>
        <v>1192231</v>
      </c>
    </row>
    <row r="67" spans="1:8" s="17" customFormat="1" ht="12" customHeight="1" x14ac:dyDescent="0.2">
      <c r="A67" s="44"/>
      <c r="B67" s="32"/>
      <c r="C67" s="53">
        <v>4790</v>
      </c>
      <c r="D67" s="117" t="s">
        <v>140</v>
      </c>
      <c r="E67" s="55">
        <v>6402779.0099999998</v>
      </c>
      <c r="F67" s="55">
        <v>12000</v>
      </c>
      <c r="G67" s="55"/>
      <c r="H67" s="42">
        <f t="shared" si="16"/>
        <v>6414779.0099999998</v>
      </c>
    </row>
    <row r="68" spans="1:8" s="17" customFormat="1" ht="12" customHeight="1" x14ac:dyDescent="0.2">
      <c r="A68" s="44"/>
      <c r="B68" s="36">
        <v>80104</v>
      </c>
      <c r="C68" s="27"/>
      <c r="D68" s="37" t="s">
        <v>142</v>
      </c>
      <c r="E68" s="39">
        <v>39488264.900000006</v>
      </c>
      <c r="F68" s="39">
        <f>SUM(F69)</f>
        <v>114000</v>
      </c>
      <c r="G68" s="39">
        <f>SUM(G69)</f>
        <v>0</v>
      </c>
      <c r="H68" s="38">
        <f>SUM(E68+F68-G68)</f>
        <v>39602264.900000006</v>
      </c>
    </row>
    <row r="69" spans="1:8" s="17" customFormat="1" ht="12" customHeight="1" x14ac:dyDescent="0.2">
      <c r="A69" s="44"/>
      <c r="B69" s="36"/>
      <c r="C69" s="27"/>
      <c r="D69" s="132" t="s">
        <v>37</v>
      </c>
      <c r="E69" s="133">
        <v>28923562.25</v>
      </c>
      <c r="F69" s="133">
        <f>SUM(F70:F71)</f>
        <v>114000</v>
      </c>
      <c r="G69" s="133">
        <f>SUM(G70:G71)</f>
        <v>0</v>
      </c>
      <c r="H69" s="128">
        <f>SUM(E69+F69-G69)</f>
        <v>29037562.25</v>
      </c>
    </row>
    <row r="70" spans="1:8" s="17" customFormat="1" ht="12" customHeight="1" x14ac:dyDescent="0.2">
      <c r="A70" s="44"/>
      <c r="B70" s="36"/>
      <c r="C70" s="47">
        <v>4010</v>
      </c>
      <c r="D70" s="54" t="s">
        <v>34</v>
      </c>
      <c r="E70" s="42">
        <v>8168785</v>
      </c>
      <c r="F70" s="43">
        <v>38000</v>
      </c>
      <c r="G70" s="43"/>
      <c r="H70" s="43">
        <f t="shared" ref="H70:H71" si="17">SUM(E70+F70-G70)</f>
        <v>8206785</v>
      </c>
    </row>
    <row r="71" spans="1:8" s="17" customFormat="1" ht="12" customHeight="1" x14ac:dyDescent="0.2">
      <c r="A71" s="44"/>
      <c r="B71" s="36"/>
      <c r="C71" s="53">
        <v>4790</v>
      </c>
      <c r="D71" s="117" t="s">
        <v>140</v>
      </c>
      <c r="E71" s="42">
        <v>10951279.25</v>
      </c>
      <c r="F71" s="43">
        <v>76000</v>
      </c>
      <c r="G71" s="43"/>
      <c r="H71" s="43">
        <f t="shared" si="17"/>
        <v>11027279.25</v>
      </c>
    </row>
    <row r="72" spans="1:8" s="17" customFormat="1" ht="12" customHeight="1" x14ac:dyDescent="0.2">
      <c r="A72" s="44"/>
      <c r="B72" s="36">
        <v>80105</v>
      </c>
      <c r="C72" s="27"/>
      <c r="D72" s="37" t="s">
        <v>143</v>
      </c>
      <c r="E72" s="38">
        <v>759250.15999999992</v>
      </c>
      <c r="F72" s="39">
        <f>SUM(F73)</f>
        <v>4000</v>
      </c>
      <c r="G72" s="39">
        <f>SUM(G73)</f>
        <v>0</v>
      </c>
      <c r="H72" s="38">
        <f>SUM(E72+F72-G72)</f>
        <v>763250.15999999992</v>
      </c>
    </row>
    <row r="73" spans="1:8" s="17" customFormat="1" ht="12" customHeight="1" x14ac:dyDescent="0.2">
      <c r="A73" s="44"/>
      <c r="B73" s="36"/>
      <c r="C73" s="27"/>
      <c r="D73" s="132" t="s">
        <v>37</v>
      </c>
      <c r="E73" s="133">
        <v>750660.96</v>
      </c>
      <c r="F73" s="133">
        <f>SUM(F74:F74)</f>
        <v>4000</v>
      </c>
      <c r="G73" s="133">
        <f>SUM(G74:G74)</f>
        <v>0</v>
      </c>
      <c r="H73" s="128">
        <f>SUM(E73+F73-G73)</f>
        <v>754660.96</v>
      </c>
    </row>
    <row r="74" spans="1:8" s="17" customFormat="1" ht="12" customHeight="1" x14ac:dyDescent="0.2">
      <c r="A74" s="44"/>
      <c r="B74" s="36"/>
      <c r="C74" s="53">
        <v>4790</v>
      </c>
      <c r="D74" s="117" t="s">
        <v>140</v>
      </c>
      <c r="E74" s="55">
        <v>422520.96</v>
      </c>
      <c r="F74" s="55">
        <v>4000</v>
      </c>
      <c r="G74" s="55"/>
      <c r="H74" s="42">
        <f t="shared" ref="H74" si="18">SUM(E74+F74-G74)</f>
        <v>426520.96</v>
      </c>
    </row>
    <row r="75" spans="1:8" s="17" customFormat="1" ht="12" customHeight="1" x14ac:dyDescent="0.2">
      <c r="A75" s="44"/>
      <c r="B75" s="36">
        <v>80107</v>
      </c>
      <c r="C75" s="27"/>
      <c r="D75" s="116" t="s">
        <v>144</v>
      </c>
      <c r="E75" s="38">
        <v>5634751</v>
      </c>
      <c r="F75" s="39">
        <f>SUM(F76)</f>
        <v>4000</v>
      </c>
      <c r="G75" s="39">
        <f>SUM(G76)</f>
        <v>0</v>
      </c>
      <c r="H75" s="38">
        <f>SUM(E75+F75-G75)</f>
        <v>5638751</v>
      </c>
    </row>
    <row r="76" spans="1:8" s="17" customFormat="1" ht="12" customHeight="1" x14ac:dyDescent="0.2">
      <c r="A76" s="44"/>
      <c r="B76" s="36"/>
      <c r="C76" s="27"/>
      <c r="D76" s="132" t="s">
        <v>37</v>
      </c>
      <c r="E76" s="133">
        <v>5634751</v>
      </c>
      <c r="F76" s="133">
        <f>SUM(F77:F77)</f>
        <v>4000</v>
      </c>
      <c r="G76" s="133">
        <f>SUM(G77:G77)</f>
        <v>0</v>
      </c>
      <c r="H76" s="128">
        <f>SUM(E76+F76-G76)</f>
        <v>5638751</v>
      </c>
    </row>
    <row r="77" spans="1:8" s="17" customFormat="1" ht="12" customHeight="1" x14ac:dyDescent="0.2">
      <c r="A77" s="44"/>
      <c r="B77" s="36"/>
      <c r="C77" s="53">
        <v>4790</v>
      </c>
      <c r="D77" s="117" t="s">
        <v>140</v>
      </c>
      <c r="E77" s="55">
        <v>4087696</v>
      </c>
      <c r="F77" s="55">
        <v>4000</v>
      </c>
      <c r="G77" s="55"/>
      <c r="H77" s="42">
        <f t="shared" ref="H77" si="19">SUM(E77+F77-G77)</f>
        <v>4091696</v>
      </c>
    </row>
    <row r="78" spans="1:8" s="17" customFormat="1" ht="12" customHeight="1" x14ac:dyDescent="0.2">
      <c r="A78" s="44"/>
      <c r="B78" s="36">
        <v>80115</v>
      </c>
      <c r="C78" s="27"/>
      <c r="D78" s="37" t="s">
        <v>145</v>
      </c>
      <c r="E78" s="38">
        <v>42241070.469999999</v>
      </c>
      <c r="F78" s="39">
        <f>SUM(F79)</f>
        <v>92000</v>
      </c>
      <c r="G78" s="39">
        <f>SUM(G79)</f>
        <v>0</v>
      </c>
      <c r="H78" s="38">
        <f>SUM(E78+F78-G78)</f>
        <v>42333070.469999999</v>
      </c>
    </row>
    <row r="79" spans="1:8" s="17" customFormat="1" ht="12" customHeight="1" x14ac:dyDescent="0.2">
      <c r="A79" s="44"/>
      <c r="B79" s="36"/>
      <c r="C79" s="27"/>
      <c r="D79" s="132" t="s">
        <v>37</v>
      </c>
      <c r="E79" s="133">
        <v>38629539.960000001</v>
      </c>
      <c r="F79" s="133">
        <f>SUM(F80:F81)</f>
        <v>92000</v>
      </c>
      <c r="G79" s="133">
        <f>SUM(G80:G81)</f>
        <v>0</v>
      </c>
      <c r="H79" s="128">
        <f>SUM(E79+F79-G79)</f>
        <v>38721539.960000001</v>
      </c>
    </row>
    <row r="80" spans="1:8" s="17" customFormat="1" ht="12" customHeight="1" x14ac:dyDescent="0.2">
      <c r="A80" s="44"/>
      <c r="B80" s="36"/>
      <c r="C80" s="47">
        <v>4010</v>
      </c>
      <c r="D80" s="54" t="s">
        <v>34</v>
      </c>
      <c r="E80" s="55">
        <v>4670507</v>
      </c>
      <c r="F80" s="55">
        <v>12000</v>
      </c>
      <c r="G80" s="55"/>
      <c r="H80" s="46">
        <f t="shared" ref="H80:H81" si="20">SUM(E80+F80-G80)</f>
        <v>4682507</v>
      </c>
    </row>
    <row r="81" spans="1:8" s="17" customFormat="1" ht="12" customHeight="1" x14ac:dyDescent="0.2">
      <c r="A81" s="44"/>
      <c r="B81" s="36"/>
      <c r="C81" s="53">
        <v>4790</v>
      </c>
      <c r="D81" s="117" t="s">
        <v>140</v>
      </c>
      <c r="E81" s="55">
        <v>21756148.620000001</v>
      </c>
      <c r="F81" s="55">
        <v>80000</v>
      </c>
      <c r="G81" s="55"/>
      <c r="H81" s="46">
        <f t="shared" si="20"/>
        <v>21836148.620000001</v>
      </c>
    </row>
    <row r="82" spans="1:8" s="17" customFormat="1" ht="12" customHeight="1" x14ac:dyDescent="0.2">
      <c r="A82" s="44"/>
      <c r="B82" s="36">
        <v>80116</v>
      </c>
      <c r="C82" s="27"/>
      <c r="D82" s="37" t="s">
        <v>146</v>
      </c>
      <c r="E82" s="38">
        <v>5689682.5800000001</v>
      </c>
      <c r="F82" s="39">
        <f>SUM(F83)</f>
        <v>4000</v>
      </c>
      <c r="G82" s="39">
        <f>SUM(G83)</f>
        <v>0</v>
      </c>
      <c r="H82" s="38">
        <f>SUM(E82+F82-G82)</f>
        <v>5693682.5800000001</v>
      </c>
    </row>
    <row r="83" spans="1:8" s="17" customFormat="1" ht="12" customHeight="1" x14ac:dyDescent="0.2">
      <c r="A83" s="44"/>
      <c r="B83" s="36"/>
      <c r="C83" s="27"/>
      <c r="D83" s="132" t="s">
        <v>37</v>
      </c>
      <c r="E83" s="133">
        <v>783132.66999999993</v>
      </c>
      <c r="F83" s="133">
        <f>SUM(F84:F84)</f>
        <v>4000</v>
      </c>
      <c r="G83" s="133">
        <f>SUM(G84:G84)</f>
        <v>0</v>
      </c>
      <c r="H83" s="128">
        <f>SUM(E83+F83-G83)</f>
        <v>787132.66999999993</v>
      </c>
    </row>
    <row r="84" spans="1:8" s="17" customFormat="1" ht="12" customHeight="1" x14ac:dyDescent="0.2">
      <c r="A84" s="44"/>
      <c r="B84" s="36"/>
      <c r="C84" s="53">
        <v>4790</v>
      </c>
      <c r="D84" s="117" t="s">
        <v>140</v>
      </c>
      <c r="E84" s="55">
        <v>444179.67</v>
      </c>
      <c r="F84" s="55">
        <v>4000</v>
      </c>
      <c r="G84" s="55"/>
      <c r="H84" s="46">
        <f t="shared" ref="H84" si="21">SUM(E84+F84-G84)</f>
        <v>448179.67</v>
      </c>
    </row>
    <row r="85" spans="1:8" s="17" customFormat="1" ht="12" customHeight="1" x14ac:dyDescent="0.2">
      <c r="A85" s="44"/>
      <c r="B85" s="36">
        <v>80120</v>
      </c>
      <c r="C85" s="27"/>
      <c r="D85" s="37" t="s">
        <v>147</v>
      </c>
      <c r="E85" s="38">
        <v>29226642.66</v>
      </c>
      <c r="F85" s="39">
        <f>SUM(F86)</f>
        <v>36000</v>
      </c>
      <c r="G85" s="39">
        <f>SUM(G86)</f>
        <v>0</v>
      </c>
      <c r="H85" s="38">
        <f>SUM(E85+F85-G85)</f>
        <v>29262642.66</v>
      </c>
    </row>
    <row r="86" spans="1:8" s="17" customFormat="1" ht="12" customHeight="1" x14ac:dyDescent="0.2">
      <c r="A86" s="44"/>
      <c r="B86" s="36"/>
      <c r="C86" s="27"/>
      <c r="D86" s="132" t="s">
        <v>37</v>
      </c>
      <c r="E86" s="133">
        <v>22365069.57</v>
      </c>
      <c r="F86" s="133">
        <f>SUM(F87:F88)</f>
        <v>36000</v>
      </c>
      <c r="G86" s="133">
        <f>SUM(G87:G88)</f>
        <v>0</v>
      </c>
      <c r="H86" s="128">
        <f>SUM(E86+F86-G86)</f>
        <v>22401069.57</v>
      </c>
    </row>
    <row r="87" spans="1:8" s="17" customFormat="1" ht="12" customHeight="1" x14ac:dyDescent="0.2">
      <c r="A87" s="44"/>
      <c r="B87" s="36"/>
      <c r="C87" s="47">
        <v>4010</v>
      </c>
      <c r="D87" s="54" t="s">
        <v>34</v>
      </c>
      <c r="E87" s="55">
        <v>2284348</v>
      </c>
      <c r="F87" s="55">
        <v>8000</v>
      </c>
      <c r="G87" s="55"/>
      <c r="H87" s="42">
        <f t="shared" ref="H87:H88" si="22">SUM(E87+F87-G87)</f>
        <v>2292348</v>
      </c>
    </row>
    <row r="88" spans="1:8" s="17" customFormat="1" ht="12" customHeight="1" x14ac:dyDescent="0.2">
      <c r="A88" s="44"/>
      <c r="B88" s="36"/>
      <c r="C88" s="53">
        <v>4790</v>
      </c>
      <c r="D88" s="117" t="s">
        <v>140</v>
      </c>
      <c r="E88" s="55">
        <v>12693650.880000001</v>
      </c>
      <c r="F88" s="55">
        <v>28000</v>
      </c>
      <c r="G88" s="55"/>
      <c r="H88" s="42">
        <f t="shared" si="22"/>
        <v>12721650.880000001</v>
      </c>
    </row>
    <row r="89" spans="1:8" s="17" customFormat="1" ht="12" customHeight="1" x14ac:dyDescent="0.2">
      <c r="A89" s="44"/>
      <c r="B89" s="36">
        <v>80132</v>
      </c>
      <c r="C89" s="27"/>
      <c r="D89" s="37" t="s">
        <v>148</v>
      </c>
      <c r="E89" s="38">
        <v>14468849.199999999</v>
      </c>
      <c r="F89" s="39">
        <f>SUM(F90)</f>
        <v>6000</v>
      </c>
      <c r="G89" s="39">
        <f>SUM(G90)</f>
        <v>0</v>
      </c>
      <c r="H89" s="38">
        <f>SUM(E89+F89-G89)</f>
        <v>14474849.199999999</v>
      </c>
    </row>
    <row r="90" spans="1:8" s="17" customFormat="1" ht="12" customHeight="1" x14ac:dyDescent="0.2">
      <c r="A90" s="44"/>
      <c r="B90" s="32"/>
      <c r="C90" s="27"/>
      <c r="D90" s="132" t="s">
        <v>37</v>
      </c>
      <c r="E90" s="133">
        <v>5808820.6699999999</v>
      </c>
      <c r="F90" s="133">
        <f>SUM(F91:F92)</f>
        <v>6000</v>
      </c>
      <c r="G90" s="133">
        <f>SUM(G91:G92)</f>
        <v>0</v>
      </c>
      <c r="H90" s="128">
        <f>SUM(E90+F90-G90)</f>
        <v>5814820.6699999999</v>
      </c>
    </row>
    <row r="91" spans="1:8" s="17" customFormat="1" ht="12" customHeight="1" x14ac:dyDescent="0.2">
      <c r="A91" s="44"/>
      <c r="B91" s="32"/>
      <c r="C91" s="47">
        <v>4010</v>
      </c>
      <c r="D91" s="54" t="s">
        <v>34</v>
      </c>
      <c r="E91" s="55">
        <v>537426</v>
      </c>
      <c r="F91" s="55">
        <v>2000</v>
      </c>
      <c r="G91" s="55"/>
      <c r="H91" s="42">
        <f t="shared" ref="H91:H92" si="23">SUM(E91+F91-G91)</f>
        <v>539426</v>
      </c>
    </row>
    <row r="92" spans="1:8" s="17" customFormat="1" ht="12" customHeight="1" x14ac:dyDescent="0.2">
      <c r="A92" s="118"/>
      <c r="B92" s="50"/>
      <c r="C92" s="119">
        <v>4790</v>
      </c>
      <c r="D92" s="120" t="s">
        <v>140</v>
      </c>
      <c r="E92" s="57">
        <v>3613827.15</v>
      </c>
      <c r="F92" s="57">
        <v>4000</v>
      </c>
      <c r="G92" s="57"/>
      <c r="H92" s="38">
        <f t="shared" si="23"/>
        <v>3617827.15</v>
      </c>
    </row>
    <row r="93" spans="1:8" s="17" customFormat="1" ht="12" customHeight="1" x14ac:dyDescent="0.2">
      <c r="A93" s="44"/>
      <c r="B93" s="36">
        <v>80140</v>
      </c>
      <c r="C93" s="60"/>
      <c r="D93" s="111" t="s">
        <v>149</v>
      </c>
      <c r="E93" s="42"/>
      <c r="F93" s="42"/>
      <c r="G93" s="43"/>
      <c r="H93" s="43"/>
    </row>
    <row r="94" spans="1:8" s="17" customFormat="1" ht="12" customHeight="1" x14ac:dyDescent="0.2">
      <c r="A94" s="44"/>
      <c r="B94" s="36"/>
      <c r="C94" s="27"/>
      <c r="D94" s="37" t="s">
        <v>150</v>
      </c>
      <c r="E94" s="38">
        <v>3275549.12</v>
      </c>
      <c r="F94" s="39">
        <f>SUM(F95)</f>
        <v>10000</v>
      </c>
      <c r="G94" s="39">
        <f>SUM(G95)</f>
        <v>0</v>
      </c>
      <c r="H94" s="38">
        <f>SUM(E94+F94-G94)</f>
        <v>3285549.12</v>
      </c>
    </row>
    <row r="95" spans="1:8" s="17" customFormat="1" ht="12" customHeight="1" x14ac:dyDescent="0.2">
      <c r="A95" s="44"/>
      <c r="B95" s="32"/>
      <c r="C95" s="27"/>
      <c r="D95" s="132" t="s">
        <v>37</v>
      </c>
      <c r="E95" s="133">
        <v>3275549.12</v>
      </c>
      <c r="F95" s="133">
        <f>SUM(F96:F97)</f>
        <v>10000</v>
      </c>
      <c r="G95" s="133">
        <f>SUM(G96:G97)</f>
        <v>0</v>
      </c>
      <c r="H95" s="128">
        <f>SUM(E95+F95-G95)</f>
        <v>3285549.12</v>
      </c>
    </row>
    <row r="96" spans="1:8" s="17" customFormat="1" ht="12" customHeight="1" x14ac:dyDescent="0.2">
      <c r="A96" s="44"/>
      <c r="B96" s="32"/>
      <c r="C96" s="47">
        <v>4010</v>
      </c>
      <c r="D96" s="54" t="s">
        <v>34</v>
      </c>
      <c r="E96" s="55">
        <v>281593</v>
      </c>
      <c r="F96" s="55">
        <v>2000</v>
      </c>
      <c r="G96" s="55"/>
      <c r="H96" s="42">
        <f t="shared" ref="H96:H97" si="24">SUM(E96+F96-G96)</f>
        <v>283593</v>
      </c>
    </row>
    <row r="97" spans="1:8" s="17" customFormat="1" ht="12" customHeight="1" x14ac:dyDescent="0.2">
      <c r="A97" s="44"/>
      <c r="B97" s="32"/>
      <c r="C97" s="53">
        <v>4790</v>
      </c>
      <c r="D97" s="117" t="s">
        <v>140</v>
      </c>
      <c r="E97" s="55">
        <v>1472971.12</v>
      </c>
      <c r="F97" s="55">
        <v>8000</v>
      </c>
      <c r="G97" s="55"/>
      <c r="H97" s="42">
        <f t="shared" si="24"/>
        <v>1480971.12</v>
      </c>
    </row>
    <row r="98" spans="1:8" s="17" customFormat="1" ht="12" customHeight="1" x14ac:dyDescent="0.2">
      <c r="A98" s="44"/>
      <c r="B98" s="36">
        <v>80148</v>
      </c>
      <c r="C98" s="27"/>
      <c r="D98" s="37" t="s">
        <v>151</v>
      </c>
      <c r="E98" s="38">
        <v>3297521</v>
      </c>
      <c r="F98" s="39">
        <f>SUM(F99)</f>
        <v>6000</v>
      </c>
      <c r="G98" s="39">
        <f>SUM(G99)</f>
        <v>0</v>
      </c>
      <c r="H98" s="38">
        <f>SUM(E98+F98-G98)</f>
        <v>3303521</v>
      </c>
    </row>
    <row r="99" spans="1:8" s="17" customFormat="1" ht="12" customHeight="1" x14ac:dyDescent="0.2">
      <c r="A99" s="44"/>
      <c r="B99" s="32"/>
      <c r="C99" s="27"/>
      <c r="D99" s="132" t="s">
        <v>37</v>
      </c>
      <c r="E99" s="133">
        <v>3297521</v>
      </c>
      <c r="F99" s="133">
        <f>SUM(F100)</f>
        <v>6000</v>
      </c>
      <c r="G99" s="133">
        <f>SUM(G100)</f>
        <v>0</v>
      </c>
      <c r="H99" s="133">
        <f t="shared" ref="H99:H100" si="25">SUM(E99+F99-G99)</f>
        <v>3303521</v>
      </c>
    </row>
    <row r="100" spans="1:8" s="17" customFormat="1" ht="12" customHeight="1" x14ac:dyDescent="0.2">
      <c r="A100" s="44"/>
      <c r="B100" s="32"/>
      <c r="C100" s="47">
        <v>4010</v>
      </c>
      <c r="D100" s="54" t="s">
        <v>34</v>
      </c>
      <c r="E100" s="55">
        <v>2292047</v>
      </c>
      <c r="F100" s="55">
        <v>6000</v>
      </c>
      <c r="G100" s="55"/>
      <c r="H100" s="46">
        <f t="shared" si="25"/>
        <v>2298047</v>
      </c>
    </row>
    <row r="101" spans="1:8" s="17" customFormat="1" ht="12" customHeight="1" x14ac:dyDescent="0.2">
      <c r="A101" s="44"/>
      <c r="B101" s="36">
        <v>80195</v>
      </c>
      <c r="C101" s="27"/>
      <c r="D101" s="37" t="s">
        <v>23</v>
      </c>
      <c r="E101" s="38">
        <v>27160911.769999992</v>
      </c>
      <c r="F101" s="39">
        <f>SUM(F102)</f>
        <v>0</v>
      </c>
      <c r="G101" s="39">
        <f>SUM(G102)</f>
        <v>416000</v>
      </c>
      <c r="H101" s="38">
        <f>SUM(E101+F101-G101)</f>
        <v>26744911.769999992</v>
      </c>
    </row>
    <row r="102" spans="1:8" s="17" customFormat="1" ht="12" customHeight="1" x14ac:dyDescent="0.2">
      <c r="A102" s="44"/>
      <c r="B102" s="36"/>
      <c r="C102" s="121"/>
      <c r="D102" s="134" t="s">
        <v>38</v>
      </c>
      <c r="E102" s="133">
        <v>1418214</v>
      </c>
      <c r="F102" s="133">
        <f>SUM(F103:F103)</f>
        <v>0</v>
      </c>
      <c r="G102" s="133">
        <f>SUM(G103:G103)</f>
        <v>416000</v>
      </c>
      <c r="H102" s="133">
        <f t="shared" ref="H102:H104" si="26">SUM(E102+F102-G102)</f>
        <v>1002214</v>
      </c>
    </row>
    <row r="103" spans="1:8" s="17" customFormat="1" ht="12" customHeight="1" x14ac:dyDescent="0.2">
      <c r="A103" s="44"/>
      <c r="B103" s="36"/>
      <c r="C103" s="47">
        <v>4010</v>
      </c>
      <c r="D103" s="54" t="s">
        <v>34</v>
      </c>
      <c r="E103" s="55">
        <v>443830</v>
      </c>
      <c r="F103" s="55"/>
      <c r="G103" s="55">
        <v>416000</v>
      </c>
      <c r="H103" s="46">
        <f t="shared" si="26"/>
        <v>27830</v>
      </c>
    </row>
    <row r="104" spans="1:8" s="17" customFormat="1" ht="12" customHeight="1" thickBot="1" x14ac:dyDescent="0.25">
      <c r="A104" s="33" t="s">
        <v>32</v>
      </c>
      <c r="B104" s="32"/>
      <c r="C104" s="33"/>
      <c r="D104" s="34" t="s">
        <v>15</v>
      </c>
      <c r="E104" s="31">
        <v>67281109.840000004</v>
      </c>
      <c r="F104" s="35">
        <f>SUM(F106)</f>
        <v>713</v>
      </c>
      <c r="G104" s="35">
        <f>SUM(G106)</f>
        <v>0</v>
      </c>
      <c r="H104" s="31">
        <f t="shared" si="26"/>
        <v>67281822.840000004</v>
      </c>
    </row>
    <row r="105" spans="1:8" s="17" customFormat="1" ht="12" customHeight="1" thickTop="1" x14ac:dyDescent="0.2">
      <c r="A105" s="33"/>
      <c r="B105" s="36">
        <v>85214</v>
      </c>
      <c r="C105" s="27"/>
      <c r="D105" s="104" t="s">
        <v>114</v>
      </c>
      <c r="E105" s="105"/>
      <c r="F105" s="106"/>
      <c r="G105" s="106"/>
      <c r="H105" s="105"/>
    </row>
    <row r="106" spans="1:8" s="17" customFormat="1" ht="12" customHeight="1" x14ac:dyDescent="0.2">
      <c r="A106" s="33"/>
      <c r="B106" s="36"/>
      <c r="C106" s="27"/>
      <c r="D106" s="56" t="s">
        <v>115</v>
      </c>
      <c r="E106" s="38">
        <v>9512461.1400000006</v>
      </c>
      <c r="F106" s="39">
        <f t="shared" ref="F106:G106" si="27">SUM(F107)</f>
        <v>713</v>
      </c>
      <c r="G106" s="39">
        <f t="shared" si="27"/>
        <v>0</v>
      </c>
      <c r="H106" s="38">
        <f>SUM(E106+F106-G106)</f>
        <v>9513174.1400000006</v>
      </c>
    </row>
    <row r="107" spans="1:8" s="17" customFormat="1" ht="19.5" customHeight="1" x14ac:dyDescent="0.2">
      <c r="A107" s="33"/>
      <c r="B107" s="32"/>
      <c r="C107" s="60"/>
      <c r="D107" s="127" t="s">
        <v>152</v>
      </c>
      <c r="E107" s="128">
        <v>717</v>
      </c>
      <c r="F107" s="129">
        <f>SUM(F108:F108)</f>
        <v>713</v>
      </c>
      <c r="G107" s="129">
        <f>SUM(G108:G108)</f>
        <v>0</v>
      </c>
      <c r="H107" s="128">
        <f t="shared" ref="H107:H115" si="28">SUM(E107+F107-G107)</f>
        <v>1430</v>
      </c>
    </row>
    <row r="108" spans="1:8" s="17" customFormat="1" ht="21.75" customHeight="1" x14ac:dyDescent="0.2">
      <c r="A108" s="33"/>
      <c r="B108" s="32"/>
      <c r="C108" s="48">
        <v>3290</v>
      </c>
      <c r="D108" s="49" t="s">
        <v>46</v>
      </c>
      <c r="E108" s="42">
        <v>717</v>
      </c>
      <c r="F108" s="42">
        <v>713</v>
      </c>
      <c r="G108" s="43"/>
      <c r="H108" s="42">
        <f t="shared" si="28"/>
        <v>1430</v>
      </c>
    </row>
    <row r="109" spans="1:8" s="17" customFormat="1" ht="12" customHeight="1" thickBot="1" x14ac:dyDescent="0.25">
      <c r="A109" s="44">
        <v>853</v>
      </c>
      <c r="B109" s="32"/>
      <c r="C109" s="33"/>
      <c r="D109" s="34" t="s">
        <v>25</v>
      </c>
      <c r="E109" s="31">
        <v>10282887.9</v>
      </c>
      <c r="F109" s="31">
        <f>SUM(F110)</f>
        <v>6000</v>
      </c>
      <c r="G109" s="31">
        <f>SUM(G110)</f>
        <v>6000</v>
      </c>
      <c r="H109" s="31">
        <f t="shared" si="28"/>
        <v>10282887.9</v>
      </c>
    </row>
    <row r="110" spans="1:8" s="17" customFormat="1" ht="12" customHeight="1" thickTop="1" x14ac:dyDescent="0.2">
      <c r="A110" s="44"/>
      <c r="B110" s="36">
        <v>85321</v>
      </c>
      <c r="C110" s="27"/>
      <c r="D110" s="37" t="s">
        <v>29</v>
      </c>
      <c r="E110" s="57">
        <v>336503</v>
      </c>
      <c r="F110" s="39">
        <f>SUM(F111)</f>
        <v>6000</v>
      </c>
      <c r="G110" s="39">
        <f>SUM(G111)</f>
        <v>6000</v>
      </c>
      <c r="H110" s="38">
        <f t="shared" si="28"/>
        <v>336503</v>
      </c>
    </row>
    <row r="111" spans="1:8" s="17" customFormat="1" ht="12" customHeight="1" x14ac:dyDescent="0.2">
      <c r="A111" s="33"/>
      <c r="B111" s="36"/>
      <c r="C111" s="27"/>
      <c r="D111" s="134" t="s">
        <v>48</v>
      </c>
      <c r="E111" s="135">
        <v>265982</v>
      </c>
      <c r="F111" s="136">
        <f>SUM(F112:F115)</f>
        <v>6000</v>
      </c>
      <c r="G111" s="136">
        <f>SUM(G112:G115)</f>
        <v>6000</v>
      </c>
      <c r="H111" s="133">
        <f t="shared" si="28"/>
        <v>265982</v>
      </c>
    </row>
    <row r="112" spans="1:8" s="17" customFormat="1" ht="12" customHeight="1" x14ac:dyDescent="0.2">
      <c r="A112" s="33"/>
      <c r="B112" s="32"/>
      <c r="C112" s="47">
        <v>4010</v>
      </c>
      <c r="D112" s="54" t="s">
        <v>34</v>
      </c>
      <c r="E112" s="46">
        <v>164195</v>
      </c>
      <c r="F112" s="46"/>
      <c r="G112" s="46">
        <v>2600</v>
      </c>
      <c r="H112" s="43">
        <f t="shared" si="28"/>
        <v>161595</v>
      </c>
    </row>
    <row r="113" spans="1:8" s="17" customFormat="1" ht="12" customHeight="1" x14ac:dyDescent="0.2">
      <c r="A113" s="33"/>
      <c r="B113" s="32"/>
      <c r="C113" s="47">
        <v>4040</v>
      </c>
      <c r="D113" s="54" t="s">
        <v>153</v>
      </c>
      <c r="E113" s="46">
        <v>10674</v>
      </c>
      <c r="F113" s="46"/>
      <c r="G113" s="46">
        <v>3000</v>
      </c>
      <c r="H113" s="43">
        <f t="shared" si="28"/>
        <v>7674</v>
      </c>
    </row>
    <row r="114" spans="1:8" s="17" customFormat="1" ht="12" customHeight="1" x14ac:dyDescent="0.2">
      <c r="A114" s="33"/>
      <c r="B114" s="32"/>
      <c r="C114" s="47">
        <v>4110</v>
      </c>
      <c r="D114" s="54" t="s">
        <v>35</v>
      </c>
      <c r="E114" s="46">
        <v>23785</v>
      </c>
      <c r="F114" s="46">
        <v>6000</v>
      </c>
      <c r="G114" s="46"/>
      <c r="H114" s="43">
        <f t="shared" si="28"/>
        <v>29785</v>
      </c>
    </row>
    <row r="115" spans="1:8" s="17" customFormat="1" ht="12" customHeight="1" x14ac:dyDescent="0.2">
      <c r="A115" s="33"/>
      <c r="B115" s="32"/>
      <c r="C115" s="47">
        <v>4120</v>
      </c>
      <c r="D115" s="54" t="s">
        <v>49</v>
      </c>
      <c r="E115" s="46">
        <v>3390</v>
      </c>
      <c r="F115" s="46"/>
      <c r="G115" s="46">
        <v>400</v>
      </c>
      <c r="H115" s="43">
        <f t="shared" si="28"/>
        <v>2990</v>
      </c>
    </row>
    <row r="116" spans="1:8" s="17" customFormat="1" ht="12" customHeight="1" thickBot="1" x14ac:dyDescent="0.25">
      <c r="A116" s="32">
        <v>855</v>
      </c>
      <c r="B116" s="32"/>
      <c r="C116" s="33"/>
      <c r="D116" s="34" t="s">
        <v>117</v>
      </c>
      <c r="E116" s="35">
        <v>22370048.129999999</v>
      </c>
      <c r="F116" s="35">
        <f>SUM(F117)</f>
        <v>51765</v>
      </c>
      <c r="G116" s="35">
        <f>SUM(G117)</f>
        <v>0</v>
      </c>
      <c r="H116" s="35">
        <f>SUM(E116+F116-G116)</f>
        <v>22421813.129999999</v>
      </c>
    </row>
    <row r="117" spans="1:8" s="17" customFormat="1" ht="33" customHeight="1" thickTop="1" x14ac:dyDescent="0.2">
      <c r="A117" s="32"/>
      <c r="B117" s="48">
        <v>85502</v>
      </c>
      <c r="C117" s="27"/>
      <c r="D117" s="64" t="s">
        <v>118</v>
      </c>
      <c r="E117" s="38">
        <v>1089124</v>
      </c>
      <c r="F117" s="39">
        <f>SUM(F118)</f>
        <v>51765</v>
      </c>
      <c r="G117" s="39">
        <f>SUM(G118)</f>
        <v>0</v>
      </c>
      <c r="H117" s="38">
        <f>SUM(E117+F117-G117)</f>
        <v>1140889</v>
      </c>
    </row>
    <row r="118" spans="1:8" s="17" customFormat="1" ht="19.5" customHeight="1" x14ac:dyDescent="0.2">
      <c r="A118" s="33"/>
      <c r="B118" s="36"/>
      <c r="C118" s="60"/>
      <c r="D118" s="127" t="s">
        <v>154</v>
      </c>
      <c r="E118" s="128">
        <v>30795</v>
      </c>
      <c r="F118" s="129">
        <f>SUM(F119:F121)</f>
        <v>51765</v>
      </c>
      <c r="G118" s="129">
        <f>SUM(G119:G121)</f>
        <v>0</v>
      </c>
      <c r="H118" s="128">
        <f t="shared" ref="H118:H128" si="29">SUM(E118+F118-G118)</f>
        <v>82560</v>
      </c>
    </row>
    <row r="119" spans="1:8" s="17" customFormat="1" ht="21.75" customHeight="1" x14ac:dyDescent="0.2">
      <c r="A119" s="33"/>
      <c r="B119" s="36"/>
      <c r="C119" s="48">
        <v>3290</v>
      </c>
      <c r="D119" s="49" t="s">
        <v>46</v>
      </c>
      <c r="E119" s="42">
        <v>30065</v>
      </c>
      <c r="F119" s="42">
        <v>50257</v>
      </c>
      <c r="G119" s="43"/>
      <c r="H119" s="42">
        <f t="shared" si="29"/>
        <v>80322</v>
      </c>
    </row>
    <row r="120" spans="1:8" s="17" customFormat="1" ht="21.75" customHeight="1" x14ac:dyDescent="0.2">
      <c r="A120" s="33"/>
      <c r="B120" s="36"/>
      <c r="C120" s="48">
        <v>4740</v>
      </c>
      <c r="D120" s="49" t="s">
        <v>41</v>
      </c>
      <c r="E120" s="46">
        <v>583</v>
      </c>
      <c r="F120" s="55">
        <v>1258</v>
      </c>
      <c r="G120" s="46"/>
      <c r="H120" s="42">
        <f t="shared" si="29"/>
        <v>1841</v>
      </c>
    </row>
    <row r="121" spans="1:8" s="17" customFormat="1" ht="21.75" customHeight="1" x14ac:dyDescent="0.2">
      <c r="A121" s="33"/>
      <c r="B121" s="36"/>
      <c r="C121" s="48">
        <v>4850</v>
      </c>
      <c r="D121" s="49" t="s">
        <v>42</v>
      </c>
      <c r="E121" s="46">
        <v>117</v>
      </c>
      <c r="F121" s="55">
        <v>250</v>
      </c>
      <c r="G121" s="46"/>
      <c r="H121" s="42">
        <f t="shared" si="29"/>
        <v>367</v>
      </c>
    </row>
    <row r="122" spans="1:8" s="17" customFormat="1" ht="12" customHeight="1" thickBot="1" x14ac:dyDescent="0.25">
      <c r="A122" s="44">
        <v>900</v>
      </c>
      <c r="B122" s="44"/>
      <c r="C122" s="33"/>
      <c r="D122" s="34" t="s">
        <v>155</v>
      </c>
      <c r="E122" s="31">
        <v>75249267.879999995</v>
      </c>
      <c r="F122" s="35">
        <f>SUM(F123)</f>
        <v>618</v>
      </c>
      <c r="G122" s="35">
        <f>SUM(G123)</f>
        <v>618</v>
      </c>
      <c r="H122" s="31">
        <f t="shared" si="29"/>
        <v>75249267.879999995</v>
      </c>
    </row>
    <row r="123" spans="1:8" s="17" customFormat="1" ht="12" customHeight="1" thickTop="1" x14ac:dyDescent="0.2">
      <c r="A123" s="44"/>
      <c r="B123" s="47">
        <v>90002</v>
      </c>
      <c r="C123" s="107"/>
      <c r="D123" s="108" t="s">
        <v>156</v>
      </c>
      <c r="E123" s="57">
        <v>30262733</v>
      </c>
      <c r="F123" s="39">
        <f>SUM(F124)</f>
        <v>618</v>
      </c>
      <c r="G123" s="39">
        <f>SUM(G124)</f>
        <v>618</v>
      </c>
      <c r="H123" s="38">
        <f t="shared" si="29"/>
        <v>30262733</v>
      </c>
    </row>
    <row r="124" spans="1:8" s="17" customFormat="1" ht="12" customHeight="1" x14ac:dyDescent="0.2">
      <c r="A124" s="44"/>
      <c r="B124" s="47"/>
      <c r="C124" s="27"/>
      <c r="D124" s="134" t="s">
        <v>48</v>
      </c>
      <c r="E124" s="135">
        <v>1074733</v>
      </c>
      <c r="F124" s="136">
        <f>SUM(F125:F127)</f>
        <v>618</v>
      </c>
      <c r="G124" s="136">
        <f>SUM(G125:G127)</f>
        <v>618</v>
      </c>
      <c r="H124" s="133">
        <f t="shared" si="29"/>
        <v>1074733</v>
      </c>
    </row>
    <row r="125" spans="1:8" s="17" customFormat="1" ht="12" customHeight="1" x14ac:dyDescent="0.2">
      <c r="A125" s="44"/>
      <c r="B125" s="44"/>
      <c r="C125" s="47">
        <v>4010</v>
      </c>
      <c r="D125" s="54" t="s">
        <v>34</v>
      </c>
      <c r="E125" s="46">
        <v>784768</v>
      </c>
      <c r="F125" s="46">
        <v>618</v>
      </c>
      <c r="G125" s="46"/>
      <c r="H125" s="43">
        <f t="shared" si="29"/>
        <v>785386</v>
      </c>
    </row>
    <row r="126" spans="1:8" s="17" customFormat="1" ht="12" customHeight="1" x14ac:dyDescent="0.2">
      <c r="A126" s="44"/>
      <c r="B126" s="44"/>
      <c r="C126" s="47">
        <v>4110</v>
      </c>
      <c r="D126" s="54" t="s">
        <v>35</v>
      </c>
      <c r="E126" s="46">
        <v>146948</v>
      </c>
      <c r="F126" s="46"/>
      <c r="G126" s="46">
        <v>541</v>
      </c>
      <c r="H126" s="43">
        <f t="shared" si="29"/>
        <v>146407</v>
      </c>
    </row>
    <row r="127" spans="1:8" s="17" customFormat="1" ht="12" customHeight="1" x14ac:dyDescent="0.2">
      <c r="A127" s="44"/>
      <c r="B127" s="44"/>
      <c r="C127" s="47">
        <v>4120</v>
      </c>
      <c r="D127" s="54" t="s">
        <v>49</v>
      </c>
      <c r="E127" s="46">
        <v>20944</v>
      </c>
      <c r="F127" s="46"/>
      <c r="G127" s="46">
        <v>77</v>
      </c>
      <c r="H127" s="43">
        <f t="shared" si="29"/>
        <v>20867</v>
      </c>
    </row>
    <row r="128" spans="1:8" s="17" customFormat="1" ht="18.600000000000001" customHeight="1" thickBot="1" x14ac:dyDescent="0.25">
      <c r="A128" s="59"/>
      <c r="B128" s="36"/>
      <c r="C128" s="47"/>
      <c r="D128" s="30" t="s">
        <v>39</v>
      </c>
      <c r="E128" s="31">
        <v>93142243.789999992</v>
      </c>
      <c r="F128" s="31">
        <f>SUM(F130,F134,F140)</f>
        <v>4507767</v>
      </c>
      <c r="G128" s="31">
        <f>SUM(G130,G134,G140)</f>
        <v>0</v>
      </c>
      <c r="H128" s="31">
        <f t="shared" si="29"/>
        <v>97650010.789999992</v>
      </c>
    </row>
    <row r="129" spans="1:8" s="17" customFormat="1" ht="16.899999999999999" customHeight="1" thickTop="1" x14ac:dyDescent="0.2">
      <c r="A129" s="32">
        <v>754</v>
      </c>
      <c r="B129" s="32"/>
      <c r="C129" s="33"/>
      <c r="D129" s="34" t="s">
        <v>21</v>
      </c>
      <c r="E129" s="46"/>
      <c r="F129" s="42"/>
      <c r="G129" s="42"/>
      <c r="H129" s="46"/>
    </row>
    <row r="130" spans="1:8" s="17" customFormat="1" ht="12" customHeight="1" thickBot="1" x14ac:dyDescent="0.25">
      <c r="A130" s="32"/>
      <c r="B130" s="32"/>
      <c r="C130" s="33"/>
      <c r="D130" s="34" t="s">
        <v>22</v>
      </c>
      <c r="E130" s="35">
        <v>2208948</v>
      </c>
      <c r="F130" s="35">
        <f>SUM(F131)</f>
        <v>655920</v>
      </c>
      <c r="G130" s="35">
        <f>SUM(G131)</f>
        <v>0</v>
      </c>
      <c r="H130" s="35">
        <f>SUM(E130+F130-G130)</f>
        <v>2864868</v>
      </c>
    </row>
    <row r="131" spans="1:8" s="17" customFormat="1" ht="12" customHeight="1" thickTop="1" x14ac:dyDescent="0.2">
      <c r="A131" s="36"/>
      <c r="B131" s="36">
        <v>75495</v>
      </c>
      <c r="C131" s="27"/>
      <c r="D131" s="37" t="s">
        <v>23</v>
      </c>
      <c r="E131" s="38">
        <v>2208948</v>
      </c>
      <c r="F131" s="39">
        <f>SUM(F132)</f>
        <v>655920</v>
      </c>
      <c r="G131" s="39">
        <f>SUM(G132)</f>
        <v>0</v>
      </c>
      <c r="H131" s="38">
        <f>SUM(E131+F131-G131)</f>
        <v>2864868</v>
      </c>
    </row>
    <row r="132" spans="1:8" s="17" customFormat="1" ht="21.6" customHeight="1" x14ac:dyDescent="0.2">
      <c r="A132" s="36"/>
      <c r="B132" s="36"/>
      <c r="C132" s="60"/>
      <c r="D132" s="127" t="s">
        <v>43</v>
      </c>
      <c r="E132" s="128">
        <v>1216008</v>
      </c>
      <c r="F132" s="129">
        <f>SUM(F133:F133)</f>
        <v>655920</v>
      </c>
      <c r="G132" s="129">
        <f>SUM(G133:G133)</f>
        <v>0</v>
      </c>
      <c r="H132" s="128">
        <f t="shared" ref="H132:H135" si="30">SUM(E132+F132-G132)</f>
        <v>1871928</v>
      </c>
    </row>
    <row r="133" spans="1:8" s="17" customFormat="1" ht="22.5" x14ac:dyDescent="0.2">
      <c r="A133" s="36"/>
      <c r="B133" s="36"/>
      <c r="C133" s="48">
        <v>3280</v>
      </c>
      <c r="D133" s="49" t="s">
        <v>44</v>
      </c>
      <c r="E133" s="55">
        <v>1205480</v>
      </c>
      <c r="F133" s="46">
        <v>655920</v>
      </c>
      <c r="G133" s="46"/>
      <c r="H133" s="55">
        <f t="shared" si="30"/>
        <v>1861400</v>
      </c>
    </row>
    <row r="134" spans="1:8" s="17" customFormat="1" ht="12" customHeight="1" thickBot="1" x14ac:dyDescent="0.25">
      <c r="A134" s="44">
        <v>853</v>
      </c>
      <c r="B134" s="32"/>
      <c r="C134" s="33"/>
      <c r="D134" s="34" t="s">
        <v>25</v>
      </c>
      <c r="E134" s="31">
        <v>321912</v>
      </c>
      <c r="F134" s="35">
        <f>SUM(F135)</f>
        <v>18972</v>
      </c>
      <c r="G134" s="35">
        <f>SUM(G135)</f>
        <v>0</v>
      </c>
      <c r="H134" s="31">
        <f t="shared" si="30"/>
        <v>340884</v>
      </c>
    </row>
    <row r="135" spans="1:8" s="17" customFormat="1" ht="12" customHeight="1" thickTop="1" x14ac:dyDescent="0.2">
      <c r="A135" s="33"/>
      <c r="B135" s="36">
        <v>85395</v>
      </c>
      <c r="C135" s="27"/>
      <c r="D135" s="37" t="s">
        <v>23</v>
      </c>
      <c r="E135" s="57">
        <v>321912</v>
      </c>
      <c r="F135" s="38">
        <f>SUM(F136)</f>
        <v>18972</v>
      </c>
      <c r="G135" s="38">
        <f>SUM(G136)</f>
        <v>0</v>
      </c>
      <c r="H135" s="38">
        <f t="shared" si="30"/>
        <v>340884</v>
      </c>
    </row>
    <row r="136" spans="1:8" s="17" customFormat="1" ht="21.6" customHeight="1" x14ac:dyDescent="0.2">
      <c r="A136" s="33"/>
      <c r="B136" s="36"/>
      <c r="C136" s="60"/>
      <c r="D136" s="137" t="s">
        <v>45</v>
      </c>
      <c r="E136" s="128">
        <v>321912</v>
      </c>
      <c r="F136" s="129">
        <f>SUM(F137:F139)</f>
        <v>18972</v>
      </c>
      <c r="G136" s="129">
        <f>SUM(G137:G139)</f>
        <v>0</v>
      </c>
      <c r="H136" s="128">
        <f>SUM(E136+F136-G136)</f>
        <v>340884</v>
      </c>
    </row>
    <row r="137" spans="1:8" s="17" customFormat="1" ht="21.75" customHeight="1" x14ac:dyDescent="0.2">
      <c r="A137" s="33"/>
      <c r="B137" s="36"/>
      <c r="C137" s="48">
        <v>3290</v>
      </c>
      <c r="D137" s="49" t="s">
        <v>46</v>
      </c>
      <c r="E137" s="42">
        <v>315600</v>
      </c>
      <c r="F137" s="43">
        <v>18600</v>
      </c>
      <c r="G137" s="43"/>
      <c r="H137" s="43">
        <f>SUM(E137+F137-G137)</f>
        <v>334200</v>
      </c>
    </row>
    <row r="138" spans="1:8" s="17" customFormat="1" ht="20.25" customHeight="1" x14ac:dyDescent="0.2">
      <c r="A138" s="33"/>
      <c r="B138" s="36"/>
      <c r="C138" s="48">
        <v>4740</v>
      </c>
      <c r="D138" s="49" t="s">
        <v>41</v>
      </c>
      <c r="E138" s="46">
        <v>5248</v>
      </c>
      <c r="F138" s="43">
        <v>310</v>
      </c>
      <c r="G138" s="43"/>
      <c r="H138" s="43">
        <f t="shared" ref="H138:H143" si="31">SUM(E138+F138-G138)</f>
        <v>5558</v>
      </c>
    </row>
    <row r="139" spans="1:8" s="17" customFormat="1" ht="21.6" customHeight="1" x14ac:dyDescent="0.2">
      <c r="A139" s="61"/>
      <c r="B139" s="62"/>
      <c r="C139" s="63">
        <v>4850</v>
      </c>
      <c r="D139" s="64" t="s">
        <v>42</v>
      </c>
      <c r="E139" s="52">
        <v>1064</v>
      </c>
      <c r="F139" s="39">
        <v>62</v>
      </c>
      <c r="G139" s="39"/>
      <c r="H139" s="39">
        <f t="shared" si="31"/>
        <v>1126</v>
      </c>
    </row>
    <row r="140" spans="1:8" s="17" customFormat="1" ht="12" customHeight="1" thickBot="1" x14ac:dyDescent="0.25">
      <c r="A140" s="32">
        <v>855</v>
      </c>
      <c r="B140" s="32"/>
      <c r="C140" s="33"/>
      <c r="D140" s="34" t="s">
        <v>117</v>
      </c>
      <c r="E140" s="35">
        <v>71393661</v>
      </c>
      <c r="F140" s="31">
        <f>SUM(F141,F146,F154)</f>
        <v>3832875</v>
      </c>
      <c r="G140" s="31">
        <f>SUM(G141,G146,G154)</f>
        <v>0</v>
      </c>
      <c r="H140" s="31">
        <f t="shared" si="31"/>
        <v>75226536</v>
      </c>
    </row>
    <row r="141" spans="1:8" s="17" customFormat="1" ht="12" customHeight="1" thickTop="1" x14ac:dyDescent="0.2">
      <c r="A141" s="32"/>
      <c r="B141" s="47">
        <v>85501</v>
      </c>
      <c r="C141" s="107"/>
      <c r="D141" s="108" t="s">
        <v>121</v>
      </c>
      <c r="E141" s="39">
        <v>36789180</v>
      </c>
      <c r="F141" s="39">
        <f t="shared" ref="F141:G141" si="32">SUM(F142)</f>
        <v>18861</v>
      </c>
      <c r="G141" s="39">
        <f t="shared" si="32"/>
        <v>0</v>
      </c>
      <c r="H141" s="38">
        <f t="shared" si="31"/>
        <v>36808041</v>
      </c>
    </row>
    <row r="142" spans="1:8" s="17" customFormat="1" ht="12" customHeight="1" x14ac:dyDescent="0.2">
      <c r="A142" s="32"/>
      <c r="B142" s="36"/>
      <c r="C142" s="27"/>
      <c r="D142" s="132" t="s">
        <v>33</v>
      </c>
      <c r="E142" s="136">
        <v>36789180</v>
      </c>
      <c r="F142" s="136">
        <f>SUM(F143:F143)</f>
        <v>18861</v>
      </c>
      <c r="G142" s="136">
        <f>SUM(G143:G143)</f>
        <v>0</v>
      </c>
      <c r="H142" s="133">
        <f t="shared" si="31"/>
        <v>36808041</v>
      </c>
    </row>
    <row r="143" spans="1:8" s="17" customFormat="1" ht="12" customHeight="1" x14ac:dyDescent="0.2">
      <c r="A143" s="32"/>
      <c r="B143" s="32"/>
      <c r="C143" s="47">
        <v>3110</v>
      </c>
      <c r="D143" s="54" t="s">
        <v>157</v>
      </c>
      <c r="E143" s="46">
        <v>36668896</v>
      </c>
      <c r="F143" s="55">
        <v>18861</v>
      </c>
      <c r="G143" s="55"/>
      <c r="H143" s="43">
        <f t="shared" si="31"/>
        <v>36687757</v>
      </c>
    </row>
    <row r="144" spans="1:8" s="17" customFormat="1" ht="12" customHeight="1" x14ac:dyDescent="0.2">
      <c r="A144" s="32"/>
      <c r="B144" s="58">
        <v>85502</v>
      </c>
      <c r="C144" s="60"/>
      <c r="D144" s="111" t="s">
        <v>123</v>
      </c>
      <c r="E144" s="46"/>
      <c r="F144" s="46"/>
      <c r="G144" s="122"/>
      <c r="H144" s="43"/>
    </row>
    <row r="145" spans="1:8" s="17" customFormat="1" ht="12" customHeight="1" x14ac:dyDescent="0.2">
      <c r="A145" s="32"/>
      <c r="B145" s="58"/>
      <c r="C145" s="60"/>
      <c r="D145" s="111" t="s">
        <v>124</v>
      </c>
      <c r="E145" s="46"/>
      <c r="F145" s="46"/>
      <c r="G145" s="122"/>
      <c r="H145" s="43"/>
    </row>
    <row r="146" spans="1:8" s="17" customFormat="1" ht="12" customHeight="1" x14ac:dyDescent="0.2">
      <c r="A146" s="32"/>
      <c r="B146" s="58"/>
      <c r="C146" s="60"/>
      <c r="D146" s="56" t="s">
        <v>125</v>
      </c>
      <c r="E146" s="39">
        <v>34288481</v>
      </c>
      <c r="F146" s="39">
        <f t="shared" ref="F146:G146" si="33">SUM(F147)</f>
        <v>3748439</v>
      </c>
      <c r="G146" s="39">
        <f t="shared" si="33"/>
        <v>0</v>
      </c>
      <c r="H146" s="38">
        <f t="shared" ref="H146:H151" si="34">SUM(E146+F146-G146)</f>
        <v>38036920</v>
      </c>
    </row>
    <row r="147" spans="1:8" s="17" customFormat="1" ht="12" customHeight="1" x14ac:dyDescent="0.2">
      <c r="A147" s="32"/>
      <c r="B147" s="36"/>
      <c r="C147" s="27"/>
      <c r="D147" s="132" t="s">
        <v>33</v>
      </c>
      <c r="E147" s="136">
        <v>34288481</v>
      </c>
      <c r="F147" s="136">
        <f>SUM(F148:F151)</f>
        <v>3748439</v>
      </c>
      <c r="G147" s="136">
        <f>SUM(G148:G151)</f>
        <v>0</v>
      </c>
      <c r="H147" s="133">
        <f t="shared" si="34"/>
        <v>38036920</v>
      </c>
    </row>
    <row r="148" spans="1:8" s="17" customFormat="1" ht="12" customHeight="1" x14ac:dyDescent="0.2">
      <c r="A148" s="32"/>
      <c r="B148" s="32"/>
      <c r="C148" s="47">
        <v>3110</v>
      </c>
      <c r="D148" s="54" t="s">
        <v>157</v>
      </c>
      <c r="E148" s="46">
        <v>30516032</v>
      </c>
      <c r="F148" s="55">
        <v>3309386</v>
      </c>
      <c r="G148" s="55"/>
      <c r="H148" s="43">
        <f t="shared" si="34"/>
        <v>33825418</v>
      </c>
    </row>
    <row r="149" spans="1:8" s="17" customFormat="1" ht="12" customHeight="1" x14ac:dyDescent="0.2">
      <c r="A149" s="32"/>
      <c r="B149" s="32"/>
      <c r="C149" s="47">
        <v>4010</v>
      </c>
      <c r="D149" s="54" t="s">
        <v>34</v>
      </c>
      <c r="E149" s="46">
        <v>715596</v>
      </c>
      <c r="F149" s="55">
        <v>98786</v>
      </c>
      <c r="G149" s="55"/>
      <c r="H149" s="43">
        <f t="shared" si="34"/>
        <v>814382</v>
      </c>
    </row>
    <row r="150" spans="1:8" s="17" customFormat="1" ht="12" customHeight="1" x14ac:dyDescent="0.2">
      <c r="A150" s="32"/>
      <c r="B150" s="32"/>
      <c r="C150" s="47">
        <v>4110</v>
      </c>
      <c r="D150" s="54" t="s">
        <v>35</v>
      </c>
      <c r="E150" s="46">
        <v>2931485</v>
      </c>
      <c r="F150" s="55">
        <v>337847</v>
      </c>
      <c r="G150" s="55"/>
      <c r="H150" s="43">
        <f t="shared" si="34"/>
        <v>3269332</v>
      </c>
    </row>
    <row r="151" spans="1:8" s="17" customFormat="1" ht="12" customHeight="1" x14ac:dyDescent="0.2">
      <c r="A151" s="32"/>
      <c r="B151" s="32"/>
      <c r="C151" s="47">
        <v>4120</v>
      </c>
      <c r="D151" s="54" t="s">
        <v>49</v>
      </c>
      <c r="E151" s="46">
        <v>19050</v>
      </c>
      <c r="F151" s="55">
        <v>2420</v>
      </c>
      <c r="G151" s="55"/>
      <c r="H151" s="43">
        <f t="shared" si="34"/>
        <v>21470</v>
      </c>
    </row>
    <row r="152" spans="1:8" s="17" customFormat="1" ht="12" customHeight="1" x14ac:dyDescent="0.2">
      <c r="A152" s="26"/>
      <c r="B152" s="36">
        <v>85513</v>
      </c>
      <c r="C152" s="27"/>
      <c r="D152" s="58" t="s">
        <v>128</v>
      </c>
      <c r="E152" s="43"/>
      <c r="F152" s="43"/>
      <c r="G152" s="43"/>
      <c r="H152" s="43"/>
    </row>
    <row r="153" spans="1:8" s="17" customFormat="1" ht="12" customHeight="1" x14ac:dyDescent="0.2">
      <c r="A153" s="26"/>
      <c r="B153" s="26"/>
      <c r="C153" s="27"/>
      <c r="D153" s="104" t="s">
        <v>129</v>
      </c>
      <c r="E153" s="43"/>
      <c r="F153" s="43"/>
      <c r="G153" s="43"/>
      <c r="H153" s="43"/>
    </row>
    <row r="154" spans="1:8" s="17" customFormat="1" ht="12" customHeight="1" x14ac:dyDescent="0.2">
      <c r="A154" s="26"/>
      <c r="B154" s="36"/>
      <c r="C154" s="27"/>
      <c r="D154" s="37" t="s">
        <v>130</v>
      </c>
      <c r="E154" s="38">
        <v>313100</v>
      </c>
      <c r="F154" s="39">
        <f t="shared" ref="F154:G154" si="35">SUM(F155)</f>
        <v>65575</v>
      </c>
      <c r="G154" s="39">
        <f t="shared" si="35"/>
        <v>0</v>
      </c>
      <c r="H154" s="38">
        <f>SUM(E154+F154-G154)</f>
        <v>378675</v>
      </c>
    </row>
    <row r="155" spans="1:8" s="17" customFormat="1" ht="12" customHeight="1" x14ac:dyDescent="0.2">
      <c r="A155" s="26"/>
      <c r="B155" s="36"/>
      <c r="C155" s="27"/>
      <c r="D155" s="132" t="s">
        <v>33</v>
      </c>
      <c r="E155" s="128">
        <v>313100</v>
      </c>
      <c r="F155" s="129">
        <f>SUM(F156)</f>
        <v>65575</v>
      </c>
      <c r="G155" s="129">
        <f>SUM(G156)</f>
        <v>0</v>
      </c>
      <c r="H155" s="128">
        <f>SUM(E155+F155-G155)</f>
        <v>378675</v>
      </c>
    </row>
    <row r="156" spans="1:8" s="17" customFormat="1" ht="12" customHeight="1" x14ac:dyDescent="0.2">
      <c r="A156" s="26"/>
      <c r="B156" s="32"/>
      <c r="C156" s="47">
        <v>4130</v>
      </c>
      <c r="D156" s="54" t="s">
        <v>158</v>
      </c>
      <c r="E156" s="46">
        <v>313100</v>
      </c>
      <c r="F156" s="43">
        <v>65575</v>
      </c>
      <c r="G156" s="43"/>
      <c r="H156" s="46">
        <f>SUM(E156+F156-G156)</f>
        <v>378675</v>
      </c>
    </row>
    <row r="157" spans="1:8" s="17" customFormat="1" ht="18" customHeight="1" thickBot="1" x14ac:dyDescent="0.25">
      <c r="A157" s="65"/>
      <c r="B157" s="36"/>
      <c r="C157" s="47"/>
      <c r="D157" s="30" t="s">
        <v>47</v>
      </c>
      <c r="E157" s="31">
        <v>20354132.52</v>
      </c>
      <c r="F157" s="31">
        <f>SUM(F158,F164)</f>
        <v>7889</v>
      </c>
      <c r="G157" s="31">
        <f>SUM(G158,G164)</f>
        <v>2700</v>
      </c>
      <c r="H157" s="31">
        <f>SUM(E157+F157-G157)</f>
        <v>20359321.52</v>
      </c>
    </row>
    <row r="158" spans="1:8" s="17" customFormat="1" ht="20.25" customHeight="1" thickTop="1" thickBot="1" x14ac:dyDescent="0.25">
      <c r="A158" s="32">
        <v>851</v>
      </c>
      <c r="B158" s="32"/>
      <c r="C158" s="33"/>
      <c r="D158" s="34" t="s">
        <v>131</v>
      </c>
      <c r="E158" s="31">
        <v>53849</v>
      </c>
      <c r="F158" s="31">
        <f>SUM(F161)</f>
        <v>5189</v>
      </c>
      <c r="G158" s="31">
        <f>SUM(G161)</f>
        <v>0</v>
      </c>
      <c r="H158" s="31">
        <f t="shared" ref="H158:H169" si="36">SUM(E158+F158-G158)</f>
        <v>59038</v>
      </c>
    </row>
    <row r="159" spans="1:8" s="17" customFormat="1" ht="14.25" customHeight="1" thickTop="1" x14ac:dyDescent="0.2">
      <c r="A159" s="33"/>
      <c r="B159" s="36">
        <v>85156</v>
      </c>
      <c r="C159" s="47"/>
      <c r="D159" s="54" t="s">
        <v>159</v>
      </c>
      <c r="E159" s="105"/>
      <c r="F159" s="105"/>
      <c r="G159" s="105"/>
      <c r="H159" s="105"/>
    </row>
    <row r="160" spans="1:8" s="17" customFormat="1" ht="12" customHeight="1" x14ac:dyDescent="0.2">
      <c r="A160" s="33"/>
      <c r="B160" s="36"/>
      <c r="C160" s="47"/>
      <c r="D160" s="54" t="s">
        <v>160</v>
      </c>
      <c r="E160" s="105"/>
      <c r="F160" s="105"/>
      <c r="G160" s="105"/>
      <c r="H160" s="105"/>
    </row>
    <row r="161" spans="1:8" s="17" customFormat="1" ht="12" customHeight="1" x14ac:dyDescent="0.2">
      <c r="A161" s="33"/>
      <c r="B161" s="26"/>
      <c r="C161" s="47"/>
      <c r="D161" s="37" t="s">
        <v>161</v>
      </c>
      <c r="E161" s="57">
        <v>53849</v>
      </c>
      <c r="F161" s="39">
        <f>SUM(F162)</f>
        <v>5189</v>
      </c>
      <c r="G161" s="39">
        <f>SUM(G162)</f>
        <v>0</v>
      </c>
      <c r="H161" s="38">
        <f t="shared" si="36"/>
        <v>59038</v>
      </c>
    </row>
    <row r="162" spans="1:8" s="17" customFormat="1" ht="12" customHeight="1" x14ac:dyDescent="0.2">
      <c r="A162" s="33"/>
      <c r="B162" s="36"/>
      <c r="C162" s="33"/>
      <c r="D162" s="132" t="s">
        <v>33</v>
      </c>
      <c r="E162" s="135">
        <v>53849</v>
      </c>
      <c r="F162" s="136">
        <f>SUM(F163:F163)</f>
        <v>5189</v>
      </c>
      <c r="G162" s="136">
        <f>SUM(G163:G163)</f>
        <v>0</v>
      </c>
      <c r="H162" s="133">
        <f t="shared" si="36"/>
        <v>59038</v>
      </c>
    </row>
    <row r="163" spans="1:8" s="17" customFormat="1" ht="12" customHeight="1" x14ac:dyDescent="0.2">
      <c r="A163" s="44"/>
      <c r="B163" s="32"/>
      <c r="C163" s="47">
        <v>4130</v>
      </c>
      <c r="D163" s="54" t="s">
        <v>158</v>
      </c>
      <c r="E163" s="46">
        <v>53849</v>
      </c>
      <c r="F163" s="46">
        <v>5189</v>
      </c>
      <c r="G163" s="46"/>
      <c r="H163" s="43">
        <f t="shared" si="36"/>
        <v>59038</v>
      </c>
    </row>
    <row r="164" spans="1:8" s="17" customFormat="1" ht="12" customHeight="1" thickBot="1" x14ac:dyDescent="0.25">
      <c r="A164" s="44">
        <v>853</v>
      </c>
      <c r="B164" s="32"/>
      <c r="C164" s="33"/>
      <c r="D164" s="34" t="s">
        <v>25</v>
      </c>
      <c r="E164" s="31">
        <v>486850</v>
      </c>
      <c r="F164" s="31">
        <f>SUM(F165)</f>
        <v>2700</v>
      </c>
      <c r="G164" s="31">
        <f>SUM(G165)</f>
        <v>2700</v>
      </c>
      <c r="H164" s="31">
        <f t="shared" si="36"/>
        <v>486850</v>
      </c>
    </row>
    <row r="165" spans="1:8" s="17" customFormat="1" ht="12" customHeight="1" thickTop="1" x14ac:dyDescent="0.2">
      <c r="A165" s="44"/>
      <c r="B165" s="36">
        <v>85321</v>
      </c>
      <c r="C165" s="27"/>
      <c r="D165" s="37" t="s">
        <v>29</v>
      </c>
      <c r="E165" s="57">
        <v>477610</v>
      </c>
      <c r="F165" s="39">
        <f>SUM(F166)</f>
        <v>2700</v>
      </c>
      <c r="G165" s="39">
        <f>SUM(G166)</f>
        <v>2700</v>
      </c>
      <c r="H165" s="38">
        <f t="shared" si="36"/>
        <v>477610</v>
      </c>
    </row>
    <row r="166" spans="1:8" s="17" customFormat="1" ht="12" customHeight="1" x14ac:dyDescent="0.2">
      <c r="A166" s="33"/>
      <c r="B166" s="36"/>
      <c r="C166" s="27"/>
      <c r="D166" s="134" t="s">
        <v>48</v>
      </c>
      <c r="E166" s="135">
        <v>264950</v>
      </c>
      <c r="F166" s="136">
        <f>SUM(F167:F169)</f>
        <v>2700</v>
      </c>
      <c r="G166" s="136">
        <f>SUM(G167:G169)</f>
        <v>2700</v>
      </c>
      <c r="H166" s="133">
        <f t="shared" si="36"/>
        <v>264950</v>
      </c>
    </row>
    <row r="167" spans="1:8" s="17" customFormat="1" ht="12" customHeight="1" x14ac:dyDescent="0.2">
      <c r="A167" s="33"/>
      <c r="B167" s="32"/>
      <c r="C167" s="47">
        <v>4010</v>
      </c>
      <c r="D167" s="54" t="s">
        <v>34</v>
      </c>
      <c r="E167" s="46">
        <v>205209</v>
      </c>
      <c r="F167" s="46">
        <v>2700</v>
      </c>
      <c r="G167" s="46"/>
      <c r="H167" s="43">
        <f t="shared" si="36"/>
        <v>207909</v>
      </c>
    </row>
    <row r="168" spans="1:8" s="17" customFormat="1" ht="12" customHeight="1" x14ac:dyDescent="0.2">
      <c r="A168" s="33"/>
      <c r="B168" s="32"/>
      <c r="C168" s="47">
        <v>4110</v>
      </c>
      <c r="D168" s="54" t="s">
        <v>35</v>
      </c>
      <c r="E168" s="46">
        <v>38084</v>
      </c>
      <c r="F168" s="46"/>
      <c r="G168" s="46">
        <v>400</v>
      </c>
      <c r="H168" s="43">
        <f t="shared" si="36"/>
        <v>37684</v>
      </c>
    </row>
    <row r="169" spans="1:8" s="17" customFormat="1" ht="12" customHeight="1" x14ac:dyDescent="0.2">
      <c r="A169" s="33"/>
      <c r="B169" s="32"/>
      <c r="C169" s="47">
        <v>4120</v>
      </c>
      <c r="D169" s="54" t="s">
        <v>49</v>
      </c>
      <c r="E169" s="46">
        <v>5331</v>
      </c>
      <c r="F169" s="46"/>
      <c r="G169" s="46">
        <v>2300</v>
      </c>
      <c r="H169" s="43">
        <f t="shared" si="36"/>
        <v>3031</v>
      </c>
    </row>
    <row r="170" spans="1:8" s="17" customFormat="1" ht="3.75" customHeight="1" x14ac:dyDescent="0.2">
      <c r="A170" s="66"/>
      <c r="B170" s="66"/>
      <c r="C170" s="67"/>
      <c r="D170" s="68"/>
      <c r="E170" s="38"/>
      <c r="F170" s="38"/>
      <c r="G170" s="38"/>
      <c r="H170" s="38"/>
    </row>
    <row r="171" spans="1:8" s="17" customFormat="1" ht="12.6" customHeight="1" x14ac:dyDescent="0.2"/>
    <row r="172" spans="1:8" s="17" customFormat="1" ht="12.6" customHeight="1" x14ac:dyDescent="0.2"/>
    <row r="173" spans="1:8" s="17" customFormat="1" ht="12.6" customHeight="1" x14ac:dyDescent="0.2"/>
    <row r="174" spans="1:8" s="17" customFormat="1" ht="12.6" customHeight="1" x14ac:dyDescent="0.2"/>
    <row r="175" spans="1:8" s="17" customFormat="1" ht="12.6" customHeight="1" x14ac:dyDescent="0.2"/>
    <row r="176" spans="1:8" s="17" customFormat="1" ht="12.6" customHeight="1" x14ac:dyDescent="0.2"/>
    <row r="177" s="17" customFormat="1" ht="12.6" customHeight="1" x14ac:dyDescent="0.2"/>
    <row r="178" s="17" customFormat="1" ht="12.6" customHeight="1" x14ac:dyDescent="0.2"/>
    <row r="179" s="17" customFormat="1" ht="12.6" customHeight="1" x14ac:dyDescent="0.2"/>
    <row r="180" s="17" customFormat="1" ht="12.6" customHeight="1" x14ac:dyDescent="0.2"/>
    <row r="181" s="17" customFormat="1" ht="12.6" customHeight="1" x14ac:dyDescent="0.2"/>
    <row r="182" s="17" customFormat="1" ht="12.6" customHeight="1" x14ac:dyDescent="0.2"/>
    <row r="183" s="17" customFormat="1" ht="12.6" customHeight="1" x14ac:dyDescent="0.2"/>
    <row r="184" s="17" customFormat="1" ht="12.6" customHeight="1" x14ac:dyDescent="0.2"/>
    <row r="185" s="17" customFormat="1" ht="12.6" customHeight="1" x14ac:dyDescent="0.2"/>
    <row r="186" s="17" customFormat="1" ht="12.6" customHeight="1" x14ac:dyDescent="0.2"/>
    <row r="187" s="17" customFormat="1" ht="12.6" customHeight="1" x14ac:dyDescent="0.2"/>
    <row r="188" s="17" customFormat="1" ht="12.6" customHeight="1" x14ac:dyDescent="0.2"/>
    <row r="189" s="17" customFormat="1" ht="12.6" customHeight="1" x14ac:dyDescent="0.2"/>
    <row r="190" s="17" customFormat="1" ht="12.6" customHeight="1" x14ac:dyDescent="0.2"/>
    <row r="191" s="17" customFormat="1" ht="12.6" customHeight="1" x14ac:dyDescent="0.2"/>
    <row r="192" s="17" customFormat="1" ht="12.6" customHeight="1" x14ac:dyDescent="0.2"/>
    <row r="193" s="17" customFormat="1" ht="12.6" customHeight="1" x14ac:dyDescent="0.2"/>
    <row r="194" s="17" customFormat="1" ht="12.6" customHeight="1" x14ac:dyDescent="0.2"/>
    <row r="195" s="17" customFormat="1" ht="12.6" customHeight="1" x14ac:dyDescent="0.2"/>
    <row r="196" s="17" customFormat="1" ht="12.6" customHeight="1" x14ac:dyDescent="0.2"/>
    <row r="197" s="17" customFormat="1" ht="12.6" customHeight="1" x14ac:dyDescent="0.2"/>
    <row r="198" s="17" customFormat="1" ht="12.6" customHeight="1" x14ac:dyDescent="0.2"/>
    <row r="199" s="17" customFormat="1" ht="12.6" customHeight="1" x14ac:dyDescent="0.2"/>
    <row r="200" s="17" customFormat="1" ht="12.6" customHeight="1" x14ac:dyDescent="0.2"/>
    <row r="201" s="17" customFormat="1" ht="12.6" customHeight="1" x14ac:dyDescent="0.2"/>
    <row r="202" s="17" customFormat="1" ht="12.6" customHeight="1" x14ac:dyDescent="0.2"/>
    <row r="203" s="17" customFormat="1" ht="12.6" customHeight="1" x14ac:dyDescent="0.2"/>
    <row r="204" s="17" customFormat="1" ht="12.6" customHeight="1" x14ac:dyDescent="0.2"/>
    <row r="205" s="17" customFormat="1" ht="12.6" customHeight="1" x14ac:dyDescent="0.2"/>
    <row r="206" s="17" customFormat="1" ht="12.6" customHeight="1" x14ac:dyDescent="0.2"/>
    <row r="207" s="17" customFormat="1" ht="12.6" customHeight="1" x14ac:dyDescent="0.2"/>
    <row r="208" s="17" customFormat="1" ht="12.6" customHeight="1" x14ac:dyDescent="0.2"/>
    <row r="209" s="17" customFormat="1" ht="12.2" customHeight="1" x14ac:dyDescent="0.2"/>
    <row r="210" s="17" customFormat="1" ht="12.2" customHeight="1" x14ac:dyDescent="0.2"/>
    <row r="211" s="17" customFormat="1" ht="12.2" customHeight="1" x14ac:dyDescent="0.2"/>
    <row r="212" s="17" customFormat="1" ht="12.95" customHeight="1" x14ac:dyDescent="0.2"/>
    <row r="213" s="17" customFormat="1" ht="12.95" customHeight="1" x14ac:dyDescent="0.2"/>
    <row r="214" s="17" customFormat="1" ht="12.95" customHeight="1" x14ac:dyDescent="0.2"/>
    <row r="215" s="17" customFormat="1" ht="12.95" customHeight="1" x14ac:dyDescent="0.2"/>
    <row r="216" s="17" customFormat="1" ht="12.95" customHeight="1" x14ac:dyDescent="0.2"/>
    <row r="217" s="17" customFormat="1" ht="12.95" customHeight="1" x14ac:dyDescent="0.2"/>
    <row r="218" s="17" customFormat="1" ht="12.95" customHeight="1" x14ac:dyDescent="0.2"/>
    <row r="219" s="17" customFormat="1" ht="12.95" customHeight="1" x14ac:dyDescent="0.2"/>
    <row r="220" s="17" customFormat="1" ht="12.95" customHeight="1" x14ac:dyDescent="0.2"/>
    <row r="221" s="17" customFormat="1" ht="12.95" customHeight="1" x14ac:dyDescent="0.2"/>
    <row r="222" s="17" customFormat="1" ht="12.95" customHeight="1" x14ac:dyDescent="0.2"/>
    <row r="223" s="17" customFormat="1" ht="12.95" customHeight="1" x14ac:dyDescent="0.2"/>
    <row r="224" s="17" customFormat="1" ht="12.95" customHeight="1" x14ac:dyDescent="0.2"/>
    <row r="225" s="17" customFormat="1" ht="12.95" customHeight="1" x14ac:dyDescent="0.2"/>
    <row r="226" s="17" customFormat="1" ht="12.95" customHeight="1" x14ac:dyDescent="0.2"/>
    <row r="227" s="17" customFormat="1" ht="12.95" customHeight="1" x14ac:dyDescent="0.2"/>
    <row r="228" s="17" customFormat="1" ht="12.95" customHeight="1" x14ac:dyDescent="0.2"/>
    <row r="229" s="17" customFormat="1" ht="12.95" customHeight="1" x14ac:dyDescent="0.2"/>
    <row r="230" s="17" customFormat="1" ht="12.95" customHeight="1" x14ac:dyDescent="0.2"/>
    <row r="231" s="17" customFormat="1" ht="12.95" customHeight="1" x14ac:dyDescent="0.2"/>
    <row r="232" s="17" customFormat="1" ht="12.95" customHeight="1" x14ac:dyDescent="0.2"/>
    <row r="233" s="17" customFormat="1" ht="12.95" customHeight="1" x14ac:dyDescent="0.2"/>
    <row r="234" s="17" customFormat="1" ht="12.95" customHeight="1" x14ac:dyDescent="0.2"/>
    <row r="235" s="17" customFormat="1" ht="12.95" customHeight="1" x14ac:dyDescent="0.2"/>
    <row r="236" s="17" customFormat="1" ht="12.95" customHeight="1" x14ac:dyDescent="0.2"/>
    <row r="237" s="17" customFormat="1" ht="12.95" customHeight="1" x14ac:dyDescent="0.2"/>
    <row r="238" s="17" customFormat="1" ht="12.95" customHeight="1" x14ac:dyDescent="0.2"/>
    <row r="239" s="17" customFormat="1" ht="12.95" customHeight="1" x14ac:dyDescent="0.2"/>
    <row r="240" s="17" customFormat="1" ht="12.95" customHeight="1" x14ac:dyDescent="0.2"/>
    <row r="241" s="17" customFormat="1" ht="12.95" customHeight="1" x14ac:dyDescent="0.2"/>
    <row r="242" s="17" customFormat="1" ht="12.95" customHeight="1" x14ac:dyDescent="0.2"/>
    <row r="243" s="17" customFormat="1" ht="12.95" customHeight="1" x14ac:dyDescent="0.2"/>
    <row r="244" s="17" customFormat="1" ht="12.95" customHeight="1" x14ac:dyDescent="0.2"/>
    <row r="245" s="17" customFormat="1" ht="12.95" customHeight="1" x14ac:dyDescent="0.2"/>
    <row r="246" s="17" customFormat="1" ht="12.95" customHeight="1" x14ac:dyDescent="0.2"/>
    <row r="247" s="17" customFormat="1" ht="12.95" customHeight="1" x14ac:dyDescent="0.2"/>
    <row r="248" s="17" customFormat="1" ht="12.95" customHeight="1" x14ac:dyDescent="0.2"/>
    <row r="249" s="17" customFormat="1" ht="12.95" customHeight="1" x14ac:dyDescent="0.2"/>
    <row r="250" s="17" customFormat="1" ht="12.95" customHeight="1" x14ac:dyDescent="0.2"/>
    <row r="251" s="17" customFormat="1" ht="12.95" customHeight="1" x14ac:dyDescent="0.2"/>
    <row r="252" s="17" customFormat="1" ht="12.95" customHeight="1" x14ac:dyDescent="0.2"/>
    <row r="253" s="17" customFormat="1" ht="12.95" customHeight="1" x14ac:dyDescent="0.2"/>
    <row r="254" s="17" customFormat="1" ht="12.95" customHeight="1" x14ac:dyDescent="0.2"/>
    <row r="255" s="17" customFormat="1" ht="12.95" customHeight="1" x14ac:dyDescent="0.2"/>
    <row r="256" s="17" customFormat="1" ht="12.95" customHeight="1" x14ac:dyDescent="0.2"/>
    <row r="257" s="17" customFormat="1" ht="12.95" customHeight="1" x14ac:dyDescent="0.2"/>
    <row r="258" s="17" customFormat="1" ht="12.95" customHeight="1" x14ac:dyDescent="0.2"/>
    <row r="259" s="17" customFormat="1" ht="12.95" customHeight="1" x14ac:dyDescent="0.2"/>
    <row r="260" s="17" customFormat="1" ht="12.95" customHeight="1" x14ac:dyDescent="0.2"/>
    <row r="261" s="17" customFormat="1" ht="12.95" customHeight="1" x14ac:dyDescent="0.2"/>
    <row r="262" s="17" customFormat="1" ht="12.95" customHeight="1" x14ac:dyDescent="0.2"/>
    <row r="263" s="17" customFormat="1" ht="12.95" customHeight="1" x14ac:dyDescent="0.2"/>
    <row r="264" s="17" customFormat="1" ht="12.95" customHeight="1" x14ac:dyDescent="0.2"/>
    <row r="265" s="17" customFormat="1" ht="12.95" customHeight="1" x14ac:dyDescent="0.2"/>
    <row r="266" s="17" customFormat="1" ht="12.95" customHeight="1" x14ac:dyDescent="0.2"/>
    <row r="267" s="17" customFormat="1" ht="12.95" customHeight="1" x14ac:dyDescent="0.2"/>
    <row r="268" s="17" customFormat="1" ht="12.95" customHeight="1" x14ac:dyDescent="0.2"/>
    <row r="269" s="17" customFormat="1" ht="12.95" customHeight="1" x14ac:dyDescent="0.2"/>
    <row r="270" s="17" customFormat="1" ht="12.95" customHeight="1" x14ac:dyDescent="0.2"/>
    <row r="271" s="17" customFormat="1" ht="12.95" customHeight="1" x14ac:dyDescent="0.2"/>
    <row r="272" s="17" customFormat="1" ht="12.95" customHeight="1" x14ac:dyDescent="0.2"/>
    <row r="273" s="17" customFormat="1" ht="12.95" customHeight="1" x14ac:dyDescent="0.2"/>
    <row r="274" s="17" customFormat="1" ht="12.95" customHeight="1" x14ac:dyDescent="0.2"/>
    <row r="275" s="17" customFormat="1" ht="12.95" customHeight="1" x14ac:dyDescent="0.2"/>
    <row r="276" s="17" customFormat="1" ht="12.95" customHeight="1" x14ac:dyDescent="0.2"/>
    <row r="277" s="17" customFormat="1" ht="12.95" customHeight="1" x14ac:dyDescent="0.2"/>
    <row r="278" s="17" customFormat="1" ht="12.95" customHeight="1" x14ac:dyDescent="0.2"/>
    <row r="279" ht="12.95" customHeight="1" x14ac:dyDescent="0.25"/>
    <row r="280" ht="12.95" customHeight="1" x14ac:dyDescent="0.25"/>
    <row r="281" ht="12.95" customHeight="1" x14ac:dyDescent="0.25"/>
    <row r="282" ht="12.95" customHeight="1" x14ac:dyDescent="0.25"/>
    <row r="283" ht="12.95" customHeight="1" x14ac:dyDescent="0.25"/>
    <row r="284" ht="12.95" customHeight="1" x14ac:dyDescent="0.25"/>
    <row r="285" ht="12.95" customHeight="1" x14ac:dyDescent="0.25"/>
    <row r="286" ht="12.95" customHeight="1" x14ac:dyDescent="0.25"/>
    <row r="287" ht="12.95" customHeight="1" x14ac:dyDescent="0.25"/>
    <row r="288" ht="12.95" customHeight="1" x14ac:dyDescent="0.25"/>
    <row r="289" ht="12.95" customHeight="1" x14ac:dyDescent="0.25"/>
    <row r="290" ht="12.9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</sheetData>
  <pageMargins left="0.11811023622047245" right="0.11811023622047245" top="0.78740157480314965" bottom="0.74803149606299213" header="0.31496062992125984" footer="0.31496062992125984"/>
  <pageSetup paperSize="9" orientation="portrait" r:id="rId1"/>
  <headerFooter>
    <oddFooter>&amp;C&amp;"Arial,Pogrubiony"&amp;8&amp;P</oddFooter>
  </headerFooter>
  <rowBreaks count="2" manualBreakCount="2">
    <brk id="38" max="16383" man="1"/>
    <brk id="1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F909E-808B-409F-9B32-2CA17D8CE005}">
  <dimension ref="A1:BX172"/>
  <sheetViews>
    <sheetView zoomScale="140" zoomScaleNormal="140" workbookViewId="0"/>
  </sheetViews>
  <sheetFormatPr defaultRowHeight="15" x14ac:dyDescent="0.25"/>
  <cols>
    <col min="1" max="1" width="4.85546875" style="138" customWidth="1"/>
    <col min="2" max="2" width="33.42578125" style="138" customWidth="1"/>
    <col min="3" max="3" width="8.5703125" style="138" customWidth="1"/>
    <col min="4" max="4" width="9.42578125" style="138" customWidth="1"/>
    <col min="5" max="5" width="8.140625" style="138" customWidth="1"/>
    <col min="6" max="6" width="13" style="125" customWidth="1"/>
    <col min="7" max="7" width="12.85546875" style="125" customWidth="1"/>
    <col min="8" max="8" width="9.140625" style="125"/>
    <col min="9" max="9" width="12.42578125" style="125" customWidth="1"/>
    <col min="10" max="76" width="9.140625" style="125"/>
    <col min="77" max="253" width="9.140625" style="138"/>
    <col min="254" max="254" width="5.28515625" style="138" customWidth="1"/>
    <col min="255" max="255" width="8" style="138" customWidth="1"/>
    <col min="256" max="256" width="5.85546875" style="138" customWidth="1"/>
    <col min="257" max="257" width="9.42578125" style="138" customWidth="1"/>
    <col min="258" max="258" width="11.28515625" style="138" customWidth="1"/>
    <col min="259" max="259" width="11" style="138" customWidth="1"/>
    <col min="260" max="260" width="13.140625" style="138" customWidth="1"/>
    <col min="261" max="261" width="11.7109375" style="138" customWidth="1"/>
    <col min="262" max="262" width="11.140625" style="138" customWidth="1"/>
    <col min="263" max="263" width="11.7109375" style="138" customWidth="1"/>
    <col min="264" max="509" width="9.140625" style="138"/>
    <col min="510" max="510" width="5.28515625" style="138" customWidth="1"/>
    <col min="511" max="511" width="8" style="138" customWidth="1"/>
    <col min="512" max="512" width="5.85546875" style="138" customWidth="1"/>
    <col min="513" max="513" width="9.42578125" style="138" customWidth="1"/>
    <col min="514" max="514" width="11.28515625" style="138" customWidth="1"/>
    <col min="515" max="515" width="11" style="138" customWidth="1"/>
    <col min="516" max="516" width="13.140625" style="138" customWidth="1"/>
    <col min="517" max="517" width="11.7109375" style="138" customWidth="1"/>
    <col min="518" max="518" width="11.140625" style="138" customWidth="1"/>
    <col min="519" max="519" width="11.7109375" style="138" customWidth="1"/>
    <col min="520" max="765" width="9.140625" style="138"/>
    <col min="766" max="766" width="5.28515625" style="138" customWidth="1"/>
    <col min="767" max="767" width="8" style="138" customWidth="1"/>
    <col min="768" max="768" width="5.85546875" style="138" customWidth="1"/>
    <col min="769" max="769" width="9.42578125" style="138" customWidth="1"/>
    <col min="770" max="770" width="11.28515625" style="138" customWidth="1"/>
    <col min="771" max="771" width="11" style="138" customWidth="1"/>
    <col min="772" max="772" width="13.140625" style="138" customWidth="1"/>
    <col min="773" max="773" width="11.7109375" style="138" customWidth="1"/>
    <col min="774" max="774" width="11.140625" style="138" customWidth="1"/>
    <col min="775" max="775" width="11.7109375" style="138" customWidth="1"/>
    <col min="776" max="1021" width="9.140625" style="138"/>
    <col min="1022" max="1022" width="5.28515625" style="138" customWidth="1"/>
    <col min="1023" max="1023" width="8" style="138" customWidth="1"/>
    <col min="1024" max="1024" width="5.85546875" style="138" customWidth="1"/>
    <col min="1025" max="1025" width="9.42578125" style="138" customWidth="1"/>
    <col min="1026" max="1026" width="11.28515625" style="138" customWidth="1"/>
    <col min="1027" max="1027" width="11" style="138" customWidth="1"/>
    <col min="1028" max="1028" width="13.140625" style="138" customWidth="1"/>
    <col min="1029" max="1029" width="11.7109375" style="138" customWidth="1"/>
    <col min="1030" max="1030" width="11.140625" style="138" customWidth="1"/>
    <col min="1031" max="1031" width="11.7109375" style="138" customWidth="1"/>
    <col min="1032" max="1277" width="9.140625" style="138"/>
    <col min="1278" max="1278" width="5.28515625" style="138" customWidth="1"/>
    <col min="1279" max="1279" width="8" style="138" customWidth="1"/>
    <col min="1280" max="1280" width="5.85546875" style="138" customWidth="1"/>
    <col min="1281" max="1281" width="9.42578125" style="138" customWidth="1"/>
    <col min="1282" max="1282" width="11.28515625" style="138" customWidth="1"/>
    <col min="1283" max="1283" width="11" style="138" customWidth="1"/>
    <col min="1284" max="1284" width="13.140625" style="138" customWidth="1"/>
    <col min="1285" max="1285" width="11.7109375" style="138" customWidth="1"/>
    <col min="1286" max="1286" width="11.140625" style="138" customWidth="1"/>
    <col min="1287" max="1287" width="11.7109375" style="138" customWidth="1"/>
    <col min="1288" max="1533" width="9.140625" style="138"/>
    <col min="1534" max="1534" width="5.28515625" style="138" customWidth="1"/>
    <col min="1535" max="1535" width="8" style="138" customWidth="1"/>
    <col min="1536" max="1536" width="5.85546875" style="138" customWidth="1"/>
    <col min="1537" max="1537" width="9.42578125" style="138" customWidth="1"/>
    <col min="1538" max="1538" width="11.28515625" style="138" customWidth="1"/>
    <col min="1539" max="1539" width="11" style="138" customWidth="1"/>
    <col min="1540" max="1540" width="13.140625" style="138" customWidth="1"/>
    <col min="1541" max="1541" width="11.7109375" style="138" customWidth="1"/>
    <col min="1542" max="1542" width="11.140625" style="138" customWidth="1"/>
    <col min="1543" max="1543" width="11.7109375" style="138" customWidth="1"/>
    <col min="1544" max="1789" width="9.140625" style="138"/>
    <col min="1790" max="1790" width="5.28515625" style="138" customWidth="1"/>
    <col min="1791" max="1791" width="8" style="138" customWidth="1"/>
    <col min="1792" max="1792" width="5.85546875" style="138" customWidth="1"/>
    <col min="1793" max="1793" width="9.42578125" style="138" customWidth="1"/>
    <col min="1794" max="1794" width="11.28515625" style="138" customWidth="1"/>
    <col min="1795" max="1795" width="11" style="138" customWidth="1"/>
    <col min="1796" max="1796" width="13.140625" style="138" customWidth="1"/>
    <col min="1797" max="1797" width="11.7109375" style="138" customWidth="1"/>
    <col min="1798" max="1798" width="11.140625" style="138" customWidth="1"/>
    <col min="1799" max="1799" width="11.7109375" style="138" customWidth="1"/>
    <col min="1800" max="2045" width="9.140625" style="138"/>
    <col min="2046" max="2046" width="5.28515625" style="138" customWidth="1"/>
    <col min="2047" max="2047" width="8" style="138" customWidth="1"/>
    <col min="2048" max="2048" width="5.85546875" style="138" customWidth="1"/>
    <col min="2049" max="2049" width="9.42578125" style="138" customWidth="1"/>
    <col min="2050" max="2050" width="11.28515625" style="138" customWidth="1"/>
    <col min="2051" max="2051" width="11" style="138" customWidth="1"/>
    <col min="2052" max="2052" width="13.140625" style="138" customWidth="1"/>
    <col min="2053" max="2053" width="11.7109375" style="138" customWidth="1"/>
    <col min="2054" max="2054" width="11.140625" style="138" customWidth="1"/>
    <col min="2055" max="2055" width="11.7109375" style="138" customWidth="1"/>
    <col min="2056" max="2301" width="9.140625" style="138"/>
    <col min="2302" max="2302" width="5.28515625" style="138" customWidth="1"/>
    <col min="2303" max="2303" width="8" style="138" customWidth="1"/>
    <col min="2304" max="2304" width="5.85546875" style="138" customWidth="1"/>
    <col min="2305" max="2305" width="9.42578125" style="138" customWidth="1"/>
    <col min="2306" max="2306" width="11.28515625" style="138" customWidth="1"/>
    <col min="2307" max="2307" width="11" style="138" customWidth="1"/>
    <col min="2308" max="2308" width="13.140625" style="138" customWidth="1"/>
    <col min="2309" max="2309" width="11.7109375" style="138" customWidth="1"/>
    <col min="2310" max="2310" width="11.140625" style="138" customWidth="1"/>
    <col min="2311" max="2311" width="11.7109375" style="138" customWidth="1"/>
    <col min="2312" max="2557" width="9.140625" style="138"/>
    <col min="2558" max="2558" width="5.28515625" style="138" customWidth="1"/>
    <col min="2559" max="2559" width="8" style="138" customWidth="1"/>
    <col min="2560" max="2560" width="5.85546875" style="138" customWidth="1"/>
    <col min="2561" max="2561" width="9.42578125" style="138" customWidth="1"/>
    <col min="2562" max="2562" width="11.28515625" style="138" customWidth="1"/>
    <col min="2563" max="2563" width="11" style="138" customWidth="1"/>
    <col min="2564" max="2564" width="13.140625" style="138" customWidth="1"/>
    <col min="2565" max="2565" width="11.7109375" style="138" customWidth="1"/>
    <col min="2566" max="2566" width="11.140625" style="138" customWidth="1"/>
    <col min="2567" max="2567" width="11.7109375" style="138" customWidth="1"/>
    <col min="2568" max="2813" width="9.140625" style="138"/>
    <col min="2814" max="2814" width="5.28515625" style="138" customWidth="1"/>
    <col min="2815" max="2815" width="8" style="138" customWidth="1"/>
    <col min="2816" max="2816" width="5.85546875" style="138" customWidth="1"/>
    <col min="2817" max="2817" width="9.42578125" style="138" customWidth="1"/>
    <col min="2818" max="2818" width="11.28515625" style="138" customWidth="1"/>
    <col min="2819" max="2819" width="11" style="138" customWidth="1"/>
    <col min="2820" max="2820" width="13.140625" style="138" customWidth="1"/>
    <col min="2821" max="2821" width="11.7109375" style="138" customWidth="1"/>
    <col min="2822" max="2822" width="11.140625" style="138" customWidth="1"/>
    <col min="2823" max="2823" width="11.7109375" style="138" customWidth="1"/>
    <col min="2824" max="3069" width="9.140625" style="138"/>
    <col min="3070" max="3070" width="5.28515625" style="138" customWidth="1"/>
    <col min="3071" max="3071" width="8" style="138" customWidth="1"/>
    <col min="3072" max="3072" width="5.85546875" style="138" customWidth="1"/>
    <col min="3073" max="3073" width="9.42578125" style="138" customWidth="1"/>
    <col min="3074" max="3074" width="11.28515625" style="138" customWidth="1"/>
    <col min="3075" max="3075" width="11" style="138" customWidth="1"/>
    <col min="3076" max="3076" width="13.140625" style="138" customWidth="1"/>
    <col min="3077" max="3077" width="11.7109375" style="138" customWidth="1"/>
    <col min="3078" max="3078" width="11.140625" style="138" customWidth="1"/>
    <col min="3079" max="3079" width="11.7109375" style="138" customWidth="1"/>
    <col min="3080" max="3325" width="9.140625" style="138"/>
    <col min="3326" max="3326" width="5.28515625" style="138" customWidth="1"/>
    <col min="3327" max="3327" width="8" style="138" customWidth="1"/>
    <col min="3328" max="3328" width="5.85546875" style="138" customWidth="1"/>
    <col min="3329" max="3329" width="9.42578125" style="138" customWidth="1"/>
    <col min="3330" max="3330" width="11.28515625" style="138" customWidth="1"/>
    <col min="3331" max="3331" width="11" style="138" customWidth="1"/>
    <col min="3332" max="3332" width="13.140625" style="138" customWidth="1"/>
    <col min="3333" max="3333" width="11.7109375" style="138" customWidth="1"/>
    <col min="3334" max="3334" width="11.140625" style="138" customWidth="1"/>
    <col min="3335" max="3335" width="11.7109375" style="138" customWidth="1"/>
    <col min="3336" max="3581" width="9.140625" style="138"/>
    <col min="3582" max="3582" width="5.28515625" style="138" customWidth="1"/>
    <col min="3583" max="3583" width="8" style="138" customWidth="1"/>
    <col min="3584" max="3584" width="5.85546875" style="138" customWidth="1"/>
    <col min="3585" max="3585" width="9.42578125" style="138" customWidth="1"/>
    <col min="3586" max="3586" width="11.28515625" style="138" customWidth="1"/>
    <col min="3587" max="3587" width="11" style="138" customWidth="1"/>
    <col min="3588" max="3588" width="13.140625" style="138" customWidth="1"/>
    <col min="3589" max="3589" width="11.7109375" style="138" customWidth="1"/>
    <col min="3590" max="3590" width="11.140625" style="138" customWidth="1"/>
    <col min="3591" max="3591" width="11.7109375" style="138" customWidth="1"/>
    <col min="3592" max="3837" width="9.140625" style="138"/>
    <col min="3838" max="3838" width="5.28515625" style="138" customWidth="1"/>
    <col min="3839" max="3839" width="8" style="138" customWidth="1"/>
    <col min="3840" max="3840" width="5.85546875" style="138" customWidth="1"/>
    <col min="3841" max="3841" width="9.42578125" style="138" customWidth="1"/>
    <col min="3842" max="3842" width="11.28515625" style="138" customWidth="1"/>
    <col min="3843" max="3843" width="11" style="138" customWidth="1"/>
    <col min="3844" max="3844" width="13.140625" style="138" customWidth="1"/>
    <col min="3845" max="3845" width="11.7109375" style="138" customWidth="1"/>
    <col min="3846" max="3846" width="11.140625" style="138" customWidth="1"/>
    <col min="3847" max="3847" width="11.7109375" style="138" customWidth="1"/>
    <col min="3848" max="4093" width="9.140625" style="138"/>
    <col min="4094" max="4094" width="5.28515625" style="138" customWidth="1"/>
    <col min="4095" max="4095" width="8" style="138" customWidth="1"/>
    <col min="4096" max="4096" width="5.85546875" style="138" customWidth="1"/>
    <col min="4097" max="4097" width="9.42578125" style="138" customWidth="1"/>
    <col min="4098" max="4098" width="11.28515625" style="138" customWidth="1"/>
    <col min="4099" max="4099" width="11" style="138" customWidth="1"/>
    <col min="4100" max="4100" width="13.140625" style="138" customWidth="1"/>
    <col min="4101" max="4101" width="11.7109375" style="138" customWidth="1"/>
    <col min="4102" max="4102" width="11.140625" style="138" customWidth="1"/>
    <col min="4103" max="4103" width="11.7109375" style="138" customWidth="1"/>
    <col min="4104" max="4349" width="9.140625" style="138"/>
    <col min="4350" max="4350" width="5.28515625" style="138" customWidth="1"/>
    <col min="4351" max="4351" width="8" style="138" customWidth="1"/>
    <col min="4352" max="4352" width="5.85546875" style="138" customWidth="1"/>
    <col min="4353" max="4353" width="9.42578125" style="138" customWidth="1"/>
    <col min="4354" max="4354" width="11.28515625" style="138" customWidth="1"/>
    <col min="4355" max="4355" width="11" style="138" customWidth="1"/>
    <col min="4356" max="4356" width="13.140625" style="138" customWidth="1"/>
    <col min="4357" max="4357" width="11.7109375" style="138" customWidth="1"/>
    <col min="4358" max="4358" width="11.140625" style="138" customWidth="1"/>
    <col min="4359" max="4359" width="11.7109375" style="138" customWidth="1"/>
    <col min="4360" max="4605" width="9.140625" style="138"/>
    <col min="4606" max="4606" width="5.28515625" style="138" customWidth="1"/>
    <col min="4607" max="4607" width="8" style="138" customWidth="1"/>
    <col min="4608" max="4608" width="5.85546875" style="138" customWidth="1"/>
    <col min="4609" max="4609" width="9.42578125" style="138" customWidth="1"/>
    <col min="4610" max="4610" width="11.28515625" style="138" customWidth="1"/>
    <col min="4611" max="4611" width="11" style="138" customWidth="1"/>
    <col min="4612" max="4612" width="13.140625" style="138" customWidth="1"/>
    <col min="4613" max="4613" width="11.7109375" style="138" customWidth="1"/>
    <col min="4614" max="4614" width="11.140625" style="138" customWidth="1"/>
    <col min="4615" max="4615" width="11.7109375" style="138" customWidth="1"/>
    <col min="4616" max="4861" width="9.140625" style="138"/>
    <col min="4862" max="4862" width="5.28515625" style="138" customWidth="1"/>
    <col min="4863" max="4863" width="8" style="138" customWidth="1"/>
    <col min="4864" max="4864" width="5.85546875" style="138" customWidth="1"/>
    <col min="4865" max="4865" width="9.42578125" style="138" customWidth="1"/>
    <col min="4866" max="4866" width="11.28515625" style="138" customWidth="1"/>
    <col min="4867" max="4867" width="11" style="138" customWidth="1"/>
    <col min="4868" max="4868" width="13.140625" style="138" customWidth="1"/>
    <col min="4869" max="4869" width="11.7109375" style="138" customWidth="1"/>
    <col min="4870" max="4870" width="11.140625" style="138" customWidth="1"/>
    <col min="4871" max="4871" width="11.7109375" style="138" customWidth="1"/>
    <col min="4872" max="5117" width="9.140625" style="138"/>
    <col min="5118" max="5118" width="5.28515625" style="138" customWidth="1"/>
    <col min="5119" max="5119" width="8" style="138" customWidth="1"/>
    <col min="5120" max="5120" width="5.85546875" style="138" customWidth="1"/>
    <col min="5121" max="5121" width="9.42578125" style="138" customWidth="1"/>
    <col min="5122" max="5122" width="11.28515625" style="138" customWidth="1"/>
    <col min="5123" max="5123" width="11" style="138" customWidth="1"/>
    <col min="5124" max="5124" width="13.140625" style="138" customWidth="1"/>
    <col min="5125" max="5125" width="11.7109375" style="138" customWidth="1"/>
    <col min="5126" max="5126" width="11.140625" style="138" customWidth="1"/>
    <col min="5127" max="5127" width="11.7109375" style="138" customWidth="1"/>
    <col min="5128" max="5373" width="9.140625" style="138"/>
    <col min="5374" max="5374" width="5.28515625" style="138" customWidth="1"/>
    <col min="5375" max="5375" width="8" style="138" customWidth="1"/>
    <col min="5376" max="5376" width="5.85546875" style="138" customWidth="1"/>
    <col min="5377" max="5377" width="9.42578125" style="138" customWidth="1"/>
    <col min="5378" max="5378" width="11.28515625" style="138" customWidth="1"/>
    <col min="5379" max="5379" width="11" style="138" customWidth="1"/>
    <col min="5380" max="5380" width="13.140625" style="138" customWidth="1"/>
    <col min="5381" max="5381" width="11.7109375" style="138" customWidth="1"/>
    <col min="5382" max="5382" width="11.140625" style="138" customWidth="1"/>
    <col min="5383" max="5383" width="11.7109375" style="138" customWidth="1"/>
    <col min="5384" max="5629" width="9.140625" style="138"/>
    <col min="5630" max="5630" width="5.28515625" style="138" customWidth="1"/>
    <col min="5631" max="5631" width="8" style="138" customWidth="1"/>
    <col min="5632" max="5632" width="5.85546875" style="138" customWidth="1"/>
    <col min="5633" max="5633" width="9.42578125" style="138" customWidth="1"/>
    <col min="5634" max="5634" width="11.28515625" style="138" customWidth="1"/>
    <col min="5635" max="5635" width="11" style="138" customWidth="1"/>
    <col min="5636" max="5636" width="13.140625" style="138" customWidth="1"/>
    <col min="5637" max="5637" width="11.7109375" style="138" customWidth="1"/>
    <col min="5638" max="5638" width="11.140625" style="138" customWidth="1"/>
    <col min="5639" max="5639" width="11.7109375" style="138" customWidth="1"/>
    <col min="5640" max="5885" width="9.140625" style="138"/>
    <col min="5886" max="5886" width="5.28515625" style="138" customWidth="1"/>
    <col min="5887" max="5887" width="8" style="138" customWidth="1"/>
    <col min="5888" max="5888" width="5.85546875" style="138" customWidth="1"/>
    <col min="5889" max="5889" width="9.42578125" style="138" customWidth="1"/>
    <col min="5890" max="5890" width="11.28515625" style="138" customWidth="1"/>
    <col min="5891" max="5891" width="11" style="138" customWidth="1"/>
    <col min="5892" max="5892" width="13.140625" style="138" customWidth="1"/>
    <col min="5893" max="5893" width="11.7109375" style="138" customWidth="1"/>
    <col min="5894" max="5894" width="11.140625" style="138" customWidth="1"/>
    <col min="5895" max="5895" width="11.7109375" style="138" customWidth="1"/>
    <col min="5896" max="6141" width="9.140625" style="138"/>
    <col min="6142" max="6142" width="5.28515625" style="138" customWidth="1"/>
    <col min="6143" max="6143" width="8" style="138" customWidth="1"/>
    <col min="6144" max="6144" width="5.85546875" style="138" customWidth="1"/>
    <col min="6145" max="6145" width="9.42578125" style="138" customWidth="1"/>
    <col min="6146" max="6146" width="11.28515625" style="138" customWidth="1"/>
    <col min="6147" max="6147" width="11" style="138" customWidth="1"/>
    <col min="6148" max="6148" width="13.140625" style="138" customWidth="1"/>
    <col min="6149" max="6149" width="11.7109375" style="138" customWidth="1"/>
    <col min="6150" max="6150" width="11.140625" style="138" customWidth="1"/>
    <col min="6151" max="6151" width="11.7109375" style="138" customWidth="1"/>
    <col min="6152" max="6397" width="9.140625" style="138"/>
    <col min="6398" max="6398" width="5.28515625" style="138" customWidth="1"/>
    <col min="6399" max="6399" width="8" style="138" customWidth="1"/>
    <col min="6400" max="6400" width="5.85546875" style="138" customWidth="1"/>
    <col min="6401" max="6401" width="9.42578125" style="138" customWidth="1"/>
    <col min="6402" max="6402" width="11.28515625" style="138" customWidth="1"/>
    <col min="6403" max="6403" width="11" style="138" customWidth="1"/>
    <col min="6404" max="6404" width="13.140625" style="138" customWidth="1"/>
    <col min="6405" max="6405" width="11.7109375" style="138" customWidth="1"/>
    <col min="6406" max="6406" width="11.140625" style="138" customWidth="1"/>
    <col min="6407" max="6407" width="11.7109375" style="138" customWidth="1"/>
    <col min="6408" max="6653" width="9.140625" style="138"/>
    <col min="6654" max="6654" width="5.28515625" style="138" customWidth="1"/>
    <col min="6655" max="6655" width="8" style="138" customWidth="1"/>
    <col min="6656" max="6656" width="5.85546875" style="138" customWidth="1"/>
    <col min="6657" max="6657" width="9.42578125" style="138" customWidth="1"/>
    <col min="6658" max="6658" width="11.28515625" style="138" customWidth="1"/>
    <col min="6659" max="6659" width="11" style="138" customWidth="1"/>
    <col min="6660" max="6660" width="13.140625" style="138" customWidth="1"/>
    <col min="6661" max="6661" width="11.7109375" style="138" customWidth="1"/>
    <col min="6662" max="6662" width="11.140625" style="138" customWidth="1"/>
    <col min="6663" max="6663" width="11.7109375" style="138" customWidth="1"/>
    <col min="6664" max="6909" width="9.140625" style="138"/>
    <col min="6910" max="6910" width="5.28515625" style="138" customWidth="1"/>
    <col min="6911" max="6911" width="8" style="138" customWidth="1"/>
    <col min="6912" max="6912" width="5.85546875" style="138" customWidth="1"/>
    <col min="6913" max="6913" width="9.42578125" style="138" customWidth="1"/>
    <col min="6914" max="6914" width="11.28515625" style="138" customWidth="1"/>
    <col min="6915" max="6915" width="11" style="138" customWidth="1"/>
    <col min="6916" max="6916" width="13.140625" style="138" customWidth="1"/>
    <col min="6917" max="6917" width="11.7109375" style="138" customWidth="1"/>
    <col min="6918" max="6918" width="11.140625" style="138" customWidth="1"/>
    <col min="6919" max="6919" width="11.7109375" style="138" customWidth="1"/>
    <col min="6920" max="7165" width="9.140625" style="138"/>
    <col min="7166" max="7166" width="5.28515625" style="138" customWidth="1"/>
    <col min="7167" max="7167" width="8" style="138" customWidth="1"/>
    <col min="7168" max="7168" width="5.85546875" style="138" customWidth="1"/>
    <col min="7169" max="7169" width="9.42578125" style="138" customWidth="1"/>
    <col min="7170" max="7170" width="11.28515625" style="138" customWidth="1"/>
    <col min="7171" max="7171" width="11" style="138" customWidth="1"/>
    <col min="7172" max="7172" width="13.140625" style="138" customWidth="1"/>
    <col min="7173" max="7173" width="11.7109375" style="138" customWidth="1"/>
    <col min="7174" max="7174" width="11.140625" style="138" customWidth="1"/>
    <col min="7175" max="7175" width="11.7109375" style="138" customWidth="1"/>
    <col min="7176" max="7421" width="9.140625" style="138"/>
    <col min="7422" max="7422" width="5.28515625" style="138" customWidth="1"/>
    <col min="7423" max="7423" width="8" style="138" customWidth="1"/>
    <col min="7424" max="7424" width="5.85546875" style="138" customWidth="1"/>
    <col min="7425" max="7425" width="9.42578125" style="138" customWidth="1"/>
    <col min="7426" max="7426" width="11.28515625" style="138" customWidth="1"/>
    <col min="7427" max="7427" width="11" style="138" customWidth="1"/>
    <col min="7428" max="7428" width="13.140625" style="138" customWidth="1"/>
    <col min="7429" max="7429" width="11.7109375" style="138" customWidth="1"/>
    <col min="7430" max="7430" width="11.140625" style="138" customWidth="1"/>
    <col min="7431" max="7431" width="11.7109375" style="138" customWidth="1"/>
    <col min="7432" max="7677" width="9.140625" style="138"/>
    <col min="7678" max="7678" width="5.28515625" style="138" customWidth="1"/>
    <col min="7679" max="7679" width="8" style="138" customWidth="1"/>
    <col min="7680" max="7680" width="5.85546875" style="138" customWidth="1"/>
    <col min="7681" max="7681" width="9.42578125" style="138" customWidth="1"/>
    <col min="7682" max="7682" width="11.28515625" style="138" customWidth="1"/>
    <col min="7683" max="7683" width="11" style="138" customWidth="1"/>
    <col min="7684" max="7684" width="13.140625" style="138" customWidth="1"/>
    <col min="7685" max="7685" width="11.7109375" style="138" customWidth="1"/>
    <col min="7686" max="7686" width="11.140625" style="138" customWidth="1"/>
    <col min="7687" max="7687" width="11.7109375" style="138" customWidth="1"/>
    <col min="7688" max="7933" width="9.140625" style="138"/>
    <col min="7934" max="7934" width="5.28515625" style="138" customWidth="1"/>
    <col min="7935" max="7935" width="8" style="138" customWidth="1"/>
    <col min="7936" max="7936" width="5.85546875" style="138" customWidth="1"/>
    <col min="7937" max="7937" width="9.42578125" style="138" customWidth="1"/>
    <col min="7938" max="7938" width="11.28515625" style="138" customWidth="1"/>
    <col min="7939" max="7939" width="11" style="138" customWidth="1"/>
    <col min="7940" max="7940" width="13.140625" style="138" customWidth="1"/>
    <col min="7941" max="7941" width="11.7109375" style="138" customWidth="1"/>
    <col min="7942" max="7942" width="11.140625" style="138" customWidth="1"/>
    <col min="7943" max="7943" width="11.7109375" style="138" customWidth="1"/>
    <col min="7944" max="8189" width="9.140625" style="138"/>
    <col min="8190" max="8190" width="5.28515625" style="138" customWidth="1"/>
    <col min="8191" max="8191" width="8" style="138" customWidth="1"/>
    <col min="8192" max="8192" width="5.85546875" style="138" customWidth="1"/>
    <col min="8193" max="8193" width="9.42578125" style="138" customWidth="1"/>
    <col min="8194" max="8194" width="11.28515625" style="138" customWidth="1"/>
    <col min="8195" max="8195" width="11" style="138" customWidth="1"/>
    <col min="8196" max="8196" width="13.140625" style="138" customWidth="1"/>
    <col min="8197" max="8197" width="11.7109375" style="138" customWidth="1"/>
    <col min="8198" max="8198" width="11.140625" style="138" customWidth="1"/>
    <col min="8199" max="8199" width="11.7109375" style="138" customWidth="1"/>
    <col min="8200" max="8445" width="9.140625" style="138"/>
    <col min="8446" max="8446" width="5.28515625" style="138" customWidth="1"/>
    <col min="8447" max="8447" width="8" style="138" customWidth="1"/>
    <col min="8448" max="8448" width="5.85546875" style="138" customWidth="1"/>
    <col min="8449" max="8449" width="9.42578125" style="138" customWidth="1"/>
    <col min="8450" max="8450" width="11.28515625" style="138" customWidth="1"/>
    <col min="8451" max="8451" width="11" style="138" customWidth="1"/>
    <col min="8452" max="8452" width="13.140625" style="138" customWidth="1"/>
    <col min="8453" max="8453" width="11.7109375" style="138" customWidth="1"/>
    <col min="8454" max="8454" width="11.140625" style="138" customWidth="1"/>
    <col min="8455" max="8455" width="11.7109375" style="138" customWidth="1"/>
    <col min="8456" max="8701" width="9.140625" style="138"/>
    <col min="8702" max="8702" width="5.28515625" style="138" customWidth="1"/>
    <col min="8703" max="8703" width="8" style="138" customWidth="1"/>
    <col min="8704" max="8704" width="5.85546875" style="138" customWidth="1"/>
    <col min="8705" max="8705" width="9.42578125" style="138" customWidth="1"/>
    <col min="8706" max="8706" width="11.28515625" style="138" customWidth="1"/>
    <col min="8707" max="8707" width="11" style="138" customWidth="1"/>
    <col min="8708" max="8708" width="13.140625" style="138" customWidth="1"/>
    <col min="8709" max="8709" width="11.7109375" style="138" customWidth="1"/>
    <col min="8710" max="8710" width="11.140625" style="138" customWidth="1"/>
    <col min="8711" max="8711" width="11.7109375" style="138" customWidth="1"/>
    <col min="8712" max="8957" width="9.140625" style="138"/>
    <col min="8958" max="8958" width="5.28515625" style="138" customWidth="1"/>
    <col min="8959" max="8959" width="8" style="138" customWidth="1"/>
    <col min="8960" max="8960" width="5.85546875" style="138" customWidth="1"/>
    <col min="8961" max="8961" width="9.42578125" style="138" customWidth="1"/>
    <col min="8962" max="8962" width="11.28515625" style="138" customWidth="1"/>
    <col min="8963" max="8963" width="11" style="138" customWidth="1"/>
    <col min="8964" max="8964" width="13.140625" style="138" customWidth="1"/>
    <col min="8965" max="8965" width="11.7109375" style="138" customWidth="1"/>
    <col min="8966" max="8966" width="11.140625" style="138" customWidth="1"/>
    <col min="8967" max="8967" width="11.7109375" style="138" customWidth="1"/>
    <col min="8968" max="9213" width="9.140625" style="138"/>
    <col min="9214" max="9214" width="5.28515625" style="138" customWidth="1"/>
    <col min="9215" max="9215" width="8" style="138" customWidth="1"/>
    <col min="9216" max="9216" width="5.85546875" style="138" customWidth="1"/>
    <col min="9217" max="9217" width="9.42578125" style="138" customWidth="1"/>
    <col min="9218" max="9218" width="11.28515625" style="138" customWidth="1"/>
    <col min="9219" max="9219" width="11" style="138" customWidth="1"/>
    <col min="9220" max="9220" width="13.140625" style="138" customWidth="1"/>
    <col min="9221" max="9221" width="11.7109375" style="138" customWidth="1"/>
    <col min="9222" max="9222" width="11.140625" style="138" customWidth="1"/>
    <col min="9223" max="9223" width="11.7109375" style="138" customWidth="1"/>
    <col min="9224" max="9469" width="9.140625" style="138"/>
    <col min="9470" max="9470" width="5.28515625" style="138" customWidth="1"/>
    <col min="9471" max="9471" width="8" style="138" customWidth="1"/>
    <col min="9472" max="9472" width="5.85546875" style="138" customWidth="1"/>
    <col min="9473" max="9473" width="9.42578125" style="138" customWidth="1"/>
    <col min="9474" max="9474" width="11.28515625" style="138" customWidth="1"/>
    <col min="9475" max="9475" width="11" style="138" customWidth="1"/>
    <col min="9476" max="9476" width="13.140625" style="138" customWidth="1"/>
    <col min="9477" max="9477" width="11.7109375" style="138" customWidth="1"/>
    <col min="9478" max="9478" width="11.140625" style="138" customWidth="1"/>
    <col min="9479" max="9479" width="11.7109375" style="138" customWidth="1"/>
    <col min="9480" max="9725" width="9.140625" style="138"/>
    <col min="9726" max="9726" width="5.28515625" style="138" customWidth="1"/>
    <col min="9727" max="9727" width="8" style="138" customWidth="1"/>
    <col min="9728" max="9728" width="5.85546875" style="138" customWidth="1"/>
    <col min="9729" max="9729" width="9.42578125" style="138" customWidth="1"/>
    <col min="9730" max="9730" width="11.28515625" style="138" customWidth="1"/>
    <col min="9731" max="9731" width="11" style="138" customWidth="1"/>
    <col min="9732" max="9732" width="13.140625" style="138" customWidth="1"/>
    <col min="9733" max="9733" width="11.7109375" style="138" customWidth="1"/>
    <col min="9734" max="9734" width="11.140625" style="138" customWidth="1"/>
    <col min="9735" max="9735" width="11.7109375" style="138" customWidth="1"/>
    <col min="9736" max="9981" width="9.140625" style="138"/>
    <col min="9982" max="9982" width="5.28515625" style="138" customWidth="1"/>
    <col min="9983" max="9983" width="8" style="138" customWidth="1"/>
    <col min="9984" max="9984" width="5.85546875" style="138" customWidth="1"/>
    <col min="9985" max="9985" width="9.42578125" style="138" customWidth="1"/>
    <col min="9986" max="9986" width="11.28515625" style="138" customWidth="1"/>
    <col min="9987" max="9987" width="11" style="138" customWidth="1"/>
    <col min="9988" max="9988" width="13.140625" style="138" customWidth="1"/>
    <col min="9989" max="9989" width="11.7109375" style="138" customWidth="1"/>
    <col min="9990" max="9990" width="11.140625" style="138" customWidth="1"/>
    <col min="9991" max="9991" width="11.7109375" style="138" customWidth="1"/>
    <col min="9992" max="10237" width="9.140625" style="138"/>
    <col min="10238" max="10238" width="5.28515625" style="138" customWidth="1"/>
    <col min="10239" max="10239" width="8" style="138" customWidth="1"/>
    <col min="10240" max="10240" width="5.85546875" style="138" customWidth="1"/>
    <col min="10241" max="10241" width="9.42578125" style="138" customWidth="1"/>
    <col min="10242" max="10242" width="11.28515625" style="138" customWidth="1"/>
    <col min="10243" max="10243" width="11" style="138" customWidth="1"/>
    <col min="10244" max="10244" width="13.140625" style="138" customWidth="1"/>
    <col min="10245" max="10245" width="11.7109375" style="138" customWidth="1"/>
    <col min="10246" max="10246" width="11.140625" style="138" customWidth="1"/>
    <col min="10247" max="10247" width="11.7109375" style="138" customWidth="1"/>
    <col min="10248" max="10493" width="9.140625" style="138"/>
    <col min="10494" max="10494" width="5.28515625" style="138" customWidth="1"/>
    <col min="10495" max="10495" width="8" style="138" customWidth="1"/>
    <col min="10496" max="10496" width="5.85546875" style="138" customWidth="1"/>
    <col min="10497" max="10497" width="9.42578125" style="138" customWidth="1"/>
    <col min="10498" max="10498" width="11.28515625" style="138" customWidth="1"/>
    <col min="10499" max="10499" width="11" style="138" customWidth="1"/>
    <col min="10500" max="10500" width="13.140625" style="138" customWidth="1"/>
    <col min="10501" max="10501" width="11.7109375" style="138" customWidth="1"/>
    <col min="10502" max="10502" width="11.140625" style="138" customWidth="1"/>
    <col min="10503" max="10503" width="11.7109375" style="138" customWidth="1"/>
    <col min="10504" max="10749" width="9.140625" style="138"/>
    <col min="10750" max="10750" width="5.28515625" style="138" customWidth="1"/>
    <col min="10751" max="10751" width="8" style="138" customWidth="1"/>
    <col min="10752" max="10752" width="5.85546875" style="138" customWidth="1"/>
    <col min="10753" max="10753" width="9.42578125" style="138" customWidth="1"/>
    <col min="10754" max="10754" width="11.28515625" style="138" customWidth="1"/>
    <col min="10755" max="10755" width="11" style="138" customWidth="1"/>
    <col min="10756" max="10756" width="13.140625" style="138" customWidth="1"/>
    <col min="10757" max="10757" width="11.7109375" style="138" customWidth="1"/>
    <col min="10758" max="10758" width="11.140625" style="138" customWidth="1"/>
    <col min="10759" max="10759" width="11.7109375" style="138" customWidth="1"/>
    <col min="10760" max="11005" width="9.140625" style="138"/>
    <col min="11006" max="11006" width="5.28515625" style="138" customWidth="1"/>
    <col min="11007" max="11007" width="8" style="138" customWidth="1"/>
    <col min="11008" max="11008" width="5.85546875" style="138" customWidth="1"/>
    <col min="11009" max="11009" width="9.42578125" style="138" customWidth="1"/>
    <col min="11010" max="11010" width="11.28515625" style="138" customWidth="1"/>
    <col min="11011" max="11011" width="11" style="138" customWidth="1"/>
    <col min="11012" max="11012" width="13.140625" style="138" customWidth="1"/>
    <col min="11013" max="11013" width="11.7109375" style="138" customWidth="1"/>
    <col min="11014" max="11014" width="11.140625" style="138" customWidth="1"/>
    <col min="11015" max="11015" width="11.7109375" style="138" customWidth="1"/>
    <col min="11016" max="11261" width="9.140625" style="138"/>
    <col min="11262" max="11262" width="5.28515625" style="138" customWidth="1"/>
    <col min="11263" max="11263" width="8" style="138" customWidth="1"/>
    <col min="11264" max="11264" width="5.85546875" style="138" customWidth="1"/>
    <col min="11265" max="11265" width="9.42578125" style="138" customWidth="1"/>
    <col min="11266" max="11266" width="11.28515625" style="138" customWidth="1"/>
    <col min="11267" max="11267" width="11" style="138" customWidth="1"/>
    <col min="11268" max="11268" width="13.140625" style="138" customWidth="1"/>
    <col min="11269" max="11269" width="11.7109375" style="138" customWidth="1"/>
    <col min="11270" max="11270" width="11.140625" style="138" customWidth="1"/>
    <col min="11271" max="11271" width="11.7109375" style="138" customWidth="1"/>
    <col min="11272" max="11517" width="9.140625" style="138"/>
    <col min="11518" max="11518" width="5.28515625" style="138" customWidth="1"/>
    <col min="11519" max="11519" width="8" style="138" customWidth="1"/>
    <col min="11520" max="11520" width="5.85546875" style="138" customWidth="1"/>
    <col min="11521" max="11521" width="9.42578125" style="138" customWidth="1"/>
    <col min="11522" max="11522" width="11.28515625" style="138" customWidth="1"/>
    <col min="11523" max="11523" width="11" style="138" customWidth="1"/>
    <col min="11524" max="11524" width="13.140625" style="138" customWidth="1"/>
    <col min="11525" max="11525" width="11.7109375" style="138" customWidth="1"/>
    <col min="11526" max="11526" width="11.140625" style="138" customWidth="1"/>
    <col min="11527" max="11527" width="11.7109375" style="138" customWidth="1"/>
    <col min="11528" max="11773" width="9.140625" style="138"/>
    <col min="11774" max="11774" width="5.28515625" style="138" customWidth="1"/>
    <col min="11775" max="11775" width="8" style="138" customWidth="1"/>
    <col min="11776" max="11776" width="5.85546875" style="138" customWidth="1"/>
    <col min="11777" max="11777" width="9.42578125" style="138" customWidth="1"/>
    <col min="11778" max="11778" width="11.28515625" style="138" customWidth="1"/>
    <col min="11779" max="11779" width="11" style="138" customWidth="1"/>
    <col min="11780" max="11780" width="13.140625" style="138" customWidth="1"/>
    <col min="11781" max="11781" width="11.7109375" style="138" customWidth="1"/>
    <col min="11782" max="11782" width="11.140625" style="138" customWidth="1"/>
    <col min="11783" max="11783" width="11.7109375" style="138" customWidth="1"/>
    <col min="11784" max="12029" width="9.140625" style="138"/>
    <col min="12030" max="12030" width="5.28515625" style="138" customWidth="1"/>
    <col min="12031" max="12031" width="8" style="138" customWidth="1"/>
    <col min="12032" max="12032" width="5.85546875" style="138" customWidth="1"/>
    <col min="12033" max="12033" width="9.42578125" style="138" customWidth="1"/>
    <col min="12034" max="12034" width="11.28515625" style="138" customWidth="1"/>
    <col min="12035" max="12035" width="11" style="138" customWidth="1"/>
    <col min="12036" max="12036" width="13.140625" style="138" customWidth="1"/>
    <col min="12037" max="12037" width="11.7109375" style="138" customWidth="1"/>
    <col min="12038" max="12038" width="11.140625" style="138" customWidth="1"/>
    <col min="12039" max="12039" width="11.7109375" style="138" customWidth="1"/>
    <col min="12040" max="12285" width="9.140625" style="138"/>
    <col min="12286" max="12286" width="5.28515625" style="138" customWidth="1"/>
    <col min="12287" max="12287" width="8" style="138" customWidth="1"/>
    <col min="12288" max="12288" width="5.85546875" style="138" customWidth="1"/>
    <col min="12289" max="12289" width="9.42578125" style="138" customWidth="1"/>
    <col min="12290" max="12290" width="11.28515625" style="138" customWidth="1"/>
    <col min="12291" max="12291" width="11" style="138" customWidth="1"/>
    <col min="12292" max="12292" width="13.140625" style="138" customWidth="1"/>
    <col min="12293" max="12293" width="11.7109375" style="138" customWidth="1"/>
    <col min="12294" max="12294" width="11.140625" style="138" customWidth="1"/>
    <col min="12295" max="12295" width="11.7109375" style="138" customWidth="1"/>
    <col min="12296" max="12541" width="9.140625" style="138"/>
    <col min="12542" max="12542" width="5.28515625" style="138" customWidth="1"/>
    <col min="12543" max="12543" width="8" style="138" customWidth="1"/>
    <col min="12544" max="12544" width="5.85546875" style="138" customWidth="1"/>
    <col min="12545" max="12545" width="9.42578125" style="138" customWidth="1"/>
    <col min="12546" max="12546" width="11.28515625" style="138" customWidth="1"/>
    <col min="12547" max="12547" width="11" style="138" customWidth="1"/>
    <col min="12548" max="12548" width="13.140625" style="138" customWidth="1"/>
    <col min="12549" max="12549" width="11.7109375" style="138" customWidth="1"/>
    <col min="12550" max="12550" width="11.140625" style="138" customWidth="1"/>
    <col min="12551" max="12551" width="11.7109375" style="138" customWidth="1"/>
    <col min="12552" max="12797" width="9.140625" style="138"/>
    <col min="12798" max="12798" width="5.28515625" style="138" customWidth="1"/>
    <col min="12799" max="12799" width="8" style="138" customWidth="1"/>
    <col min="12800" max="12800" width="5.85546875" style="138" customWidth="1"/>
    <col min="12801" max="12801" width="9.42578125" style="138" customWidth="1"/>
    <col min="12802" max="12802" width="11.28515625" style="138" customWidth="1"/>
    <col min="12803" max="12803" width="11" style="138" customWidth="1"/>
    <col min="12804" max="12804" width="13.140625" style="138" customWidth="1"/>
    <col min="12805" max="12805" width="11.7109375" style="138" customWidth="1"/>
    <col min="12806" max="12806" width="11.140625" style="138" customWidth="1"/>
    <col min="12807" max="12807" width="11.7109375" style="138" customWidth="1"/>
    <col min="12808" max="13053" width="9.140625" style="138"/>
    <col min="13054" max="13054" width="5.28515625" style="138" customWidth="1"/>
    <col min="13055" max="13055" width="8" style="138" customWidth="1"/>
    <col min="13056" max="13056" width="5.85546875" style="138" customWidth="1"/>
    <col min="13057" max="13057" width="9.42578125" style="138" customWidth="1"/>
    <col min="13058" max="13058" width="11.28515625" style="138" customWidth="1"/>
    <col min="13059" max="13059" width="11" style="138" customWidth="1"/>
    <col min="13060" max="13060" width="13.140625" style="138" customWidth="1"/>
    <col min="13061" max="13061" width="11.7109375" style="138" customWidth="1"/>
    <col min="13062" max="13062" width="11.140625" style="138" customWidth="1"/>
    <col min="13063" max="13063" width="11.7109375" style="138" customWidth="1"/>
    <col min="13064" max="13309" width="9.140625" style="138"/>
    <col min="13310" max="13310" width="5.28515625" style="138" customWidth="1"/>
    <col min="13311" max="13311" width="8" style="138" customWidth="1"/>
    <col min="13312" max="13312" width="5.85546875" style="138" customWidth="1"/>
    <col min="13313" max="13313" width="9.42578125" style="138" customWidth="1"/>
    <col min="13314" max="13314" width="11.28515625" style="138" customWidth="1"/>
    <col min="13315" max="13315" width="11" style="138" customWidth="1"/>
    <col min="13316" max="13316" width="13.140625" style="138" customWidth="1"/>
    <col min="13317" max="13317" width="11.7109375" style="138" customWidth="1"/>
    <col min="13318" max="13318" width="11.140625" style="138" customWidth="1"/>
    <col min="13319" max="13319" width="11.7109375" style="138" customWidth="1"/>
    <col min="13320" max="13565" width="9.140625" style="138"/>
    <col min="13566" max="13566" width="5.28515625" style="138" customWidth="1"/>
    <col min="13567" max="13567" width="8" style="138" customWidth="1"/>
    <col min="13568" max="13568" width="5.85546875" style="138" customWidth="1"/>
    <col min="13569" max="13569" width="9.42578125" style="138" customWidth="1"/>
    <col min="13570" max="13570" width="11.28515625" style="138" customWidth="1"/>
    <col min="13571" max="13571" width="11" style="138" customWidth="1"/>
    <col min="13572" max="13572" width="13.140625" style="138" customWidth="1"/>
    <col min="13573" max="13573" width="11.7109375" style="138" customWidth="1"/>
    <col min="13574" max="13574" width="11.140625" style="138" customWidth="1"/>
    <col min="13575" max="13575" width="11.7109375" style="138" customWidth="1"/>
    <col min="13576" max="13821" width="9.140625" style="138"/>
    <col min="13822" max="13822" width="5.28515625" style="138" customWidth="1"/>
    <col min="13823" max="13823" width="8" style="138" customWidth="1"/>
    <col min="13824" max="13824" width="5.85546875" style="138" customWidth="1"/>
    <col min="13825" max="13825" width="9.42578125" style="138" customWidth="1"/>
    <col min="13826" max="13826" width="11.28515625" style="138" customWidth="1"/>
    <col min="13827" max="13827" width="11" style="138" customWidth="1"/>
    <col min="13828" max="13828" width="13.140625" style="138" customWidth="1"/>
    <col min="13829" max="13829" width="11.7109375" style="138" customWidth="1"/>
    <col min="13830" max="13830" width="11.140625" style="138" customWidth="1"/>
    <col min="13831" max="13831" width="11.7109375" style="138" customWidth="1"/>
    <col min="13832" max="14077" width="9.140625" style="138"/>
    <col min="14078" max="14078" width="5.28515625" style="138" customWidth="1"/>
    <col min="14079" max="14079" width="8" style="138" customWidth="1"/>
    <col min="14080" max="14080" width="5.85546875" style="138" customWidth="1"/>
    <col min="14081" max="14081" width="9.42578125" style="138" customWidth="1"/>
    <col min="14082" max="14082" width="11.28515625" style="138" customWidth="1"/>
    <col min="14083" max="14083" width="11" style="138" customWidth="1"/>
    <col min="14084" max="14084" width="13.140625" style="138" customWidth="1"/>
    <col min="14085" max="14085" width="11.7109375" style="138" customWidth="1"/>
    <col min="14086" max="14086" width="11.140625" style="138" customWidth="1"/>
    <col min="14087" max="14087" width="11.7109375" style="138" customWidth="1"/>
    <col min="14088" max="14333" width="9.140625" style="138"/>
    <col min="14334" max="14334" width="5.28515625" style="138" customWidth="1"/>
    <col min="14335" max="14335" width="8" style="138" customWidth="1"/>
    <col min="14336" max="14336" width="5.85546875" style="138" customWidth="1"/>
    <col min="14337" max="14337" width="9.42578125" style="138" customWidth="1"/>
    <col min="14338" max="14338" width="11.28515625" style="138" customWidth="1"/>
    <col min="14339" max="14339" width="11" style="138" customWidth="1"/>
    <col min="14340" max="14340" width="13.140625" style="138" customWidth="1"/>
    <col min="14341" max="14341" width="11.7109375" style="138" customWidth="1"/>
    <col min="14342" max="14342" width="11.140625" style="138" customWidth="1"/>
    <col min="14343" max="14343" width="11.7109375" style="138" customWidth="1"/>
    <col min="14344" max="14589" width="9.140625" style="138"/>
    <col min="14590" max="14590" width="5.28515625" style="138" customWidth="1"/>
    <col min="14591" max="14591" width="8" style="138" customWidth="1"/>
    <col min="14592" max="14592" width="5.85546875" style="138" customWidth="1"/>
    <col min="14593" max="14593" width="9.42578125" style="138" customWidth="1"/>
    <col min="14594" max="14594" width="11.28515625" style="138" customWidth="1"/>
    <col min="14595" max="14595" width="11" style="138" customWidth="1"/>
    <col min="14596" max="14596" width="13.140625" style="138" customWidth="1"/>
    <col min="14597" max="14597" width="11.7109375" style="138" customWidth="1"/>
    <col min="14598" max="14598" width="11.140625" style="138" customWidth="1"/>
    <col min="14599" max="14599" width="11.7109375" style="138" customWidth="1"/>
    <col min="14600" max="14845" width="9.140625" style="138"/>
    <col min="14846" max="14846" width="5.28515625" style="138" customWidth="1"/>
    <col min="14847" max="14847" width="8" style="138" customWidth="1"/>
    <col min="14848" max="14848" width="5.85546875" style="138" customWidth="1"/>
    <col min="14849" max="14849" width="9.42578125" style="138" customWidth="1"/>
    <col min="14850" max="14850" width="11.28515625" style="138" customWidth="1"/>
    <col min="14851" max="14851" width="11" style="138" customWidth="1"/>
    <col min="14852" max="14852" width="13.140625" style="138" customWidth="1"/>
    <col min="14853" max="14853" width="11.7109375" style="138" customWidth="1"/>
    <col min="14854" max="14854" width="11.140625" style="138" customWidth="1"/>
    <col min="14855" max="14855" width="11.7109375" style="138" customWidth="1"/>
    <col min="14856" max="15101" width="9.140625" style="138"/>
    <col min="15102" max="15102" width="5.28515625" style="138" customWidth="1"/>
    <col min="15103" max="15103" width="8" style="138" customWidth="1"/>
    <col min="15104" max="15104" width="5.85546875" style="138" customWidth="1"/>
    <col min="15105" max="15105" width="9.42578125" style="138" customWidth="1"/>
    <col min="15106" max="15106" width="11.28515625" style="138" customWidth="1"/>
    <col min="15107" max="15107" width="11" style="138" customWidth="1"/>
    <col min="15108" max="15108" width="13.140625" style="138" customWidth="1"/>
    <col min="15109" max="15109" width="11.7109375" style="138" customWidth="1"/>
    <col min="15110" max="15110" width="11.140625" style="138" customWidth="1"/>
    <col min="15111" max="15111" width="11.7109375" style="138" customWidth="1"/>
    <col min="15112" max="15357" width="9.140625" style="138"/>
    <col min="15358" max="15358" width="5.28515625" style="138" customWidth="1"/>
    <col min="15359" max="15359" width="8" style="138" customWidth="1"/>
    <col min="15360" max="15360" width="5.85546875" style="138" customWidth="1"/>
    <col min="15361" max="15361" width="9.42578125" style="138" customWidth="1"/>
    <col min="15362" max="15362" width="11.28515625" style="138" customWidth="1"/>
    <col min="15363" max="15363" width="11" style="138" customWidth="1"/>
    <col min="15364" max="15364" width="13.140625" style="138" customWidth="1"/>
    <col min="15365" max="15365" width="11.7109375" style="138" customWidth="1"/>
    <col min="15366" max="15366" width="11.140625" style="138" customWidth="1"/>
    <col min="15367" max="15367" width="11.7109375" style="138" customWidth="1"/>
    <col min="15368" max="15613" width="9.140625" style="138"/>
    <col min="15614" max="15614" width="5.28515625" style="138" customWidth="1"/>
    <col min="15615" max="15615" width="8" style="138" customWidth="1"/>
    <col min="15616" max="15616" width="5.85546875" style="138" customWidth="1"/>
    <col min="15617" max="15617" width="9.42578125" style="138" customWidth="1"/>
    <col min="15618" max="15618" width="11.28515625" style="138" customWidth="1"/>
    <col min="15619" max="15619" width="11" style="138" customWidth="1"/>
    <col min="15620" max="15620" width="13.140625" style="138" customWidth="1"/>
    <col min="15621" max="15621" width="11.7109375" style="138" customWidth="1"/>
    <col min="15622" max="15622" width="11.140625" style="138" customWidth="1"/>
    <col min="15623" max="15623" width="11.7109375" style="138" customWidth="1"/>
    <col min="15624" max="15869" width="9.140625" style="138"/>
    <col min="15870" max="15870" width="5.28515625" style="138" customWidth="1"/>
    <col min="15871" max="15871" width="8" style="138" customWidth="1"/>
    <col min="15872" max="15872" width="5.85546875" style="138" customWidth="1"/>
    <col min="15873" max="15873" width="9.42578125" style="138" customWidth="1"/>
    <col min="15874" max="15874" width="11.28515625" style="138" customWidth="1"/>
    <col min="15875" max="15875" width="11" style="138" customWidth="1"/>
    <col min="15876" max="15876" width="13.140625" style="138" customWidth="1"/>
    <col min="15877" max="15877" width="11.7109375" style="138" customWidth="1"/>
    <col min="15878" max="15878" width="11.140625" style="138" customWidth="1"/>
    <col min="15879" max="15879" width="11.7109375" style="138" customWidth="1"/>
    <col min="15880" max="16125" width="9.140625" style="138"/>
    <col min="16126" max="16126" width="5.28515625" style="138" customWidth="1"/>
    <col min="16127" max="16127" width="8" style="138" customWidth="1"/>
    <col min="16128" max="16128" width="5.85546875" style="138" customWidth="1"/>
    <col min="16129" max="16129" width="9.42578125" style="138" customWidth="1"/>
    <col min="16130" max="16130" width="11.28515625" style="138" customWidth="1"/>
    <col min="16131" max="16131" width="11" style="138" customWidth="1"/>
    <col min="16132" max="16132" width="13.140625" style="138" customWidth="1"/>
    <col min="16133" max="16133" width="11.7109375" style="138" customWidth="1"/>
    <col min="16134" max="16134" width="11.140625" style="138" customWidth="1"/>
    <col min="16135" max="16135" width="11.7109375" style="138" customWidth="1"/>
    <col min="16136" max="16384" width="9.140625" style="138"/>
  </cols>
  <sheetData>
    <row r="1" spans="1:72" s="125" customFormat="1" ht="12.75" customHeight="1" x14ac:dyDescent="0.25">
      <c r="A1" s="69"/>
      <c r="B1" s="138"/>
      <c r="C1" s="138"/>
      <c r="D1" s="138"/>
      <c r="E1" s="138"/>
      <c r="F1" s="3" t="s">
        <v>50</v>
      </c>
    </row>
    <row r="2" spans="1:72" s="125" customFormat="1" ht="12.75" customHeight="1" x14ac:dyDescent="0.25">
      <c r="A2" s="138"/>
      <c r="B2" s="138"/>
      <c r="C2" s="138"/>
      <c r="D2" s="138"/>
      <c r="E2" s="138"/>
      <c r="F2" s="3" t="s">
        <v>162</v>
      </c>
    </row>
    <row r="3" spans="1:72" s="125" customFormat="1" ht="12.75" customHeight="1" x14ac:dyDescent="0.25">
      <c r="A3" s="138"/>
      <c r="B3" s="138"/>
      <c r="C3" s="138"/>
      <c r="D3" s="138"/>
      <c r="E3" s="138"/>
      <c r="F3" s="3" t="s">
        <v>1</v>
      </c>
    </row>
    <row r="4" spans="1:72" s="125" customFormat="1" ht="12.75" customHeight="1" x14ac:dyDescent="0.25">
      <c r="A4" s="138"/>
      <c r="B4" s="138"/>
      <c r="C4" s="138"/>
      <c r="D4" s="138"/>
      <c r="E4" s="138"/>
      <c r="F4" s="3" t="s">
        <v>163</v>
      </c>
    </row>
    <row r="5" spans="1:72" s="125" customFormat="1" ht="12.75" customHeight="1" x14ac:dyDescent="0.25">
      <c r="A5" s="138"/>
      <c r="B5" s="138"/>
      <c r="C5" s="138"/>
      <c r="D5" s="138"/>
      <c r="E5" s="138"/>
    </row>
    <row r="6" spans="1:72" s="125" customFormat="1" ht="13.5" customHeight="1" x14ac:dyDescent="0.25">
      <c r="A6" s="70" t="s">
        <v>51</v>
      </c>
      <c r="B6" s="70"/>
      <c r="C6" s="70"/>
      <c r="D6" s="70"/>
      <c r="E6" s="70"/>
      <c r="F6" s="70"/>
      <c r="G6" s="70"/>
      <c r="J6" s="1"/>
    </row>
    <row r="7" spans="1:72" s="125" customFormat="1" ht="12.75" customHeight="1" x14ac:dyDescent="0.25">
      <c r="A7" s="70" t="s">
        <v>52</v>
      </c>
      <c r="B7" s="71"/>
      <c r="C7" s="71"/>
      <c r="D7" s="71"/>
      <c r="E7" s="71"/>
      <c r="F7" s="71"/>
      <c r="G7" s="71"/>
      <c r="J7" s="1"/>
    </row>
    <row r="8" spans="1:72" s="125" customFormat="1" ht="9" customHeight="1" x14ac:dyDescent="0.25">
      <c r="A8" s="72"/>
      <c r="B8" s="73"/>
      <c r="C8" s="73"/>
      <c r="D8" s="73"/>
      <c r="E8" s="73"/>
      <c r="F8" s="73"/>
      <c r="G8" s="73"/>
      <c r="J8" s="1"/>
    </row>
    <row r="9" spans="1:72" s="125" customFormat="1" ht="11.25" customHeight="1" x14ac:dyDescent="0.25">
      <c r="A9" s="138"/>
      <c r="B9" s="138"/>
      <c r="C9" s="138"/>
      <c r="D9" s="138"/>
      <c r="E9" s="138"/>
      <c r="G9" s="74" t="s">
        <v>3</v>
      </c>
    </row>
    <row r="10" spans="1:72" s="78" customFormat="1" ht="36.75" customHeight="1" x14ac:dyDescent="0.2">
      <c r="A10" s="75" t="s">
        <v>53</v>
      </c>
      <c r="B10" s="75" t="s">
        <v>54</v>
      </c>
      <c r="C10" s="75" t="s">
        <v>55</v>
      </c>
      <c r="D10" s="75" t="s">
        <v>56</v>
      </c>
      <c r="E10" s="76" t="s">
        <v>7</v>
      </c>
      <c r="F10" s="76" t="s">
        <v>57</v>
      </c>
      <c r="G10" s="76" t="s">
        <v>58</v>
      </c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</row>
    <row r="11" spans="1:72" s="81" customFormat="1" ht="10.5" customHeight="1" x14ac:dyDescent="0.2">
      <c r="A11" s="79">
        <v>1</v>
      </c>
      <c r="B11" s="79">
        <v>2</v>
      </c>
      <c r="C11" s="79">
        <v>3</v>
      </c>
      <c r="D11" s="79">
        <v>4</v>
      </c>
      <c r="E11" s="79">
        <v>5</v>
      </c>
      <c r="F11" s="79">
        <v>6</v>
      </c>
      <c r="G11" s="79">
        <v>7</v>
      </c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</row>
    <row r="12" spans="1:72" s="140" customFormat="1" ht="15.75" customHeight="1" x14ac:dyDescent="0.2">
      <c r="A12" s="82"/>
      <c r="B12" s="83"/>
      <c r="C12" s="84"/>
      <c r="D12" s="84"/>
      <c r="E12" s="85" t="s">
        <v>19</v>
      </c>
      <c r="F12" s="86">
        <f>5350+9150+36625</f>
        <v>51125</v>
      </c>
      <c r="G12" s="87" t="s">
        <v>59</v>
      </c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</row>
    <row r="13" spans="1:72" s="140" customFormat="1" ht="24" x14ac:dyDescent="0.2">
      <c r="A13" s="88" t="s">
        <v>60</v>
      </c>
      <c r="B13" s="89" t="s">
        <v>61</v>
      </c>
      <c r="C13" s="84" t="s">
        <v>32</v>
      </c>
      <c r="D13" s="84" t="s">
        <v>62</v>
      </c>
      <c r="E13" s="90" t="s">
        <v>59</v>
      </c>
      <c r="F13" s="91" t="s">
        <v>59</v>
      </c>
      <c r="G13" s="92">
        <f>SUM(G15)</f>
        <v>51125</v>
      </c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</row>
    <row r="14" spans="1:72" s="140" customFormat="1" ht="9" customHeight="1" x14ac:dyDescent="0.2">
      <c r="A14" s="82"/>
      <c r="B14" s="93"/>
      <c r="C14" s="84"/>
      <c r="D14" s="84"/>
      <c r="E14" s="84"/>
      <c r="F14" s="94"/>
      <c r="G14" s="141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</row>
    <row r="15" spans="1:72" s="140" customFormat="1" ht="15.75" customHeight="1" x14ac:dyDescent="0.2">
      <c r="A15" s="82"/>
      <c r="B15" s="142" t="s">
        <v>33</v>
      </c>
      <c r="C15" s="84"/>
      <c r="D15" s="84"/>
      <c r="E15" s="84"/>
      <c r="F15" s="94"/>
      <c r="G15" s="141">
        <f>SUM(G16:G17)</f>
        <v>51125</v>
      </c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</row>
    <row r="16" spans="1:72" s="140" customFormat="1" ht="15.75" customHeight="1" x14ac:dyDescent="0.2">
      <c r="A16" s="82"/>
      <c r="B16" s="142"/>
      <c r="C16" s="84"/>
      <c r="D16" s="84"/>
      <c r="E16" s="84" t="s">
        <v>63</v>
      </c>
      <c r="F16" s="94" t="s">
        <v>59</v>
      </c>
      <c r="G16" s="95">
        <v>8500</v>
      </c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</row>
    <row r="17" spans="1:72" s="140" customFormat="1" ht="15.75" customHeight="1" x14ac:dyDescent="0.2">
      <c r="A17" s="82"/>
      <c r="B17" s="142"/>
      <c r="C17" s="84"/>
      <c r="D17" s="84"/>
      <c r="E17" s="84" t="s">
        <v>64</v>
      </c>
      <c r="F17" s="94" t="s">
        <v>59</v>
      </c>
      <c r="G17" s="95">
        <f>5350+9150+36625-8500</f>
        <v>42625</v>
      </c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</row>
    <row r="18" spans="1:72" s="140" customFormat="1" ht="15.75" customHeight="1" x14ac:dyDescent="0.2">
      <c r="A18" s="96"/>
      <c r="B18" s="97"/>
      <c r="C18" s="98"/>
      <c r="D18" s="85"/>
      <c r="E18" s="85"/>
      <c r="F18" s="87"/>
      <c r="G18" s="9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</row>
    <row r="19" spans="1:72" s="140" customFormat="1" ht="15.75" customHeight="1" x14ac:dyDescent="0.2">
      <c r="A19" s="82"/>
      <c r="B19" s="83"/>
      <c r="C19" s="84"/>
      <c r="D19" s="84"/>
      <c r="E19" s="85" t="s">
        <v>19</v>
      </c>
      <c r="F19" s="86">
        <f>9095+9126+6997+1281+4296+51765</f>
        <v>82560</v>
      </c>
      <c r="G19" s="87" t="s">
        <v>59</v>
      </c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</row>
    <row r="20" spans="1:72" s="140" customFormat="1" ht="20.25" customHeight="1" x14ac:dyDescent="0.2">
      <c r="A20" s="88" t="s">
        <v>65</v>
      </c>
      <c r="B20" s="100" t="s">
        <v>66</v>
      </c>
      <c r="C20" s="84" t="s">
        <v>67</v>
      </c>
      <c r="D20" s="84" t="s">
        <v>68</v>
      </c>
      <c r="E20" s="90" t="s">
        <v>59</v>
      </c>
      <c r="F20" s="91" t="s">
        <v>59</v>
      </c>
      <c r="G20" s="92">
        <f>SUM(G22)</f>
        <v>82560</v>
      </c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</row>
    <row r="21" spans="1:72" s="140" customFormat="1" ht="10.5" customHeight="1" x14ac:dyDescent="0.2">
      <c r="A21" s="82"/>
      <c r="B21" s="93"/>
      <c r="C21" s="84"/>
      <c r="D21" s="84"/>
      <c r="E21" s="84"/>
      <c r="F21" s="94"/>
      <c r="G21" s="141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</row>
    <row r="22" spans="1:72" s="140" customFormat="1" ht="15.75" customHeight="1" x14ac:dyDescent="0.2">
      <c r="A22" s="82"/>
      <c r="B22" s="142" t="s">
        <v>33</v>
      </c>
      <c r="C22" s="84"/>
      <c r="D22" s="84"/>
      <c r="E22" s="84"/>
      <c r="F22" s="94"/>
      <c r="G22" s="141">
        <f>SUM(G23:G26)</f>
        <v>82560</v>
      </c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</row>
    <row r="23" spans="1:72" s="140" customFormat="1" ht="15.75" customHeight="1" x14ac:dyDescent="0.2">
      <c r="A23" s="82"/>
      <c r="B23" s="83"/>
      <c r="C23" s="101"/>
      <c r="D23" s="84"/>
      <c r="E23" s="84" t="s">
        <v>63</v>
      </c>
      <c r="F23" s="94" t="s">
        <v>59</v>
      </c>
      <c r="G23" s="95">
        <f>6793+17721+1255+4296+50257</f>
        <v>80322</v>
      </c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</row>
    <row r="24" spans="1:72" s="140" customFormat="1" ht="15.75" customHeight="1" x14ac:dyDescent="0.2">
      <c r="A24" s="82"/>
      <c r="B24" s="83"/>
      <c r="C24" s="101"/>
      <c r="D24" s="84"/>
      <c r="E24" s="84" t="s">
        <v>64</v>
      </c>
      <c r="F24" s="94" t="s">
        <v>59</v>
      </c>
      <c r="G24" s="95">
        <v>30</v>
      </c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</row>
    <row r="25" spans="1:72" s="140" customFormat="1" ht="15.75" customHeight="1" x14ac:dyDescent="0.2">
      <c r="A25" s="82"/>
      <c r="B25" s="83"/>
      <c r="C25" s="101"/>
      <c r="D25" s="84"/>
      <c r="E25" s="84" t="s">
        <v>69</v>
      </c>
      <c r="F25" s="94" t="s">
        <v>59</v>
      </c>
      <c r="G25" s="95">
        <f>92+470+21+1258</f>
        <v>1841</v>
      </c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</row>
    <row r="26" spans="1:72" s="140" customFormat="1" ht="15.75" customHeight="1" x14ac:dyDescent="0.2">
      <c r="A26" s="82"/>
      <c r="B26" s="83"/>
      <c r="C26" s="101"/>
      <c r="D26" s="84"/>
      <c r="E26" s="84" t="s">
        <v>70</v>
      </c>
      <c r="F26" s="94" t="s">
        <v>59</v>
      </c>
      <c r="G26" s="95">
        <f>112+5+250</f>
        <v>367</v>
      </c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</row>
    <row r="27" spans="1:72" s="140" customFormat="1" ht="15.75" customHeight="1" x14ac:dyDescent="0.2">
      <c r="A27" s="96"/>
      <c r="B27" s="97"/>
      <c r="C27" s="98"/>
      <c r="D27" s="85"/>
      <c r="E27" s="85"/>
      <c r="F27" s="87"/>
      <c r="G27" s="9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</row>
    <row r="28" spans="1:72" s="140" customFormat="1" ht="15.75" customHeight="1" x14ac:dyDescent="0.2">
      <c r="A28" s="82"/>
      <c r="B28" s="83"/>
      <c r="C28" s="84"/>
      <c r="D28" s="84"/>
      <c r="E28" s="85" t="s">
        <v>19</v>
      </c>
      <c r="F28" s="86">
        <f>119646+106488+19584+20502+11322+7038+12852+12546+5508+6426+18972</f>
        <v>340884</v>
      </c>
      <c r="G28" s="87" t="s">
        <v>59</v>
      </c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</row>
    <row r="29" spans="1:72" s="140" customFormat="1" ht="24" x14ac:dyDescent="0.2">
      <c r="A29" s="88" t="s">
        <v>71</v>
      </c>
      <c r="B29" s="89" t="s">
        <v>72</v>
      </c>
      <c r="C29" s="84" t="s">
        <v>73</v>
      </c>
      <c r="D29" s="84" t="s">
        <v>74</v>
      </c>
      <c r="E29" s="90" t="s">
        <v>59</v>
      </c>
      <c r="F29" s="91" t="s">
        <v>59</v>
      </c>
      <c r="G29" s="92">
        <f>SUM(G31)</f>
        <v>340884</v>
      </c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</row>
    <row r="30" spans="1:72" s="140" customFormat="1" ht="10.5" customHeight="1" x14ac:dyDescent="0.2">
      <c r="A30" s="82"/>
      <c r="B30" s="93"/>
      <c r="C30" s="84"/>
      <c r="D30" s="84"/>
      <c r="E30" s="84"/>
      <c r="F30" s="94"/>
      <c r="G30" s="141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</row>
    <row r="31" spans="1:72" s="140" customFormat="1" ht="15.75" customHeight="1" x14ac:dyDescent="0.2">
      <c r="A31" s="82"/>
      <c r="B31" s="142" t="s">
        <v>33</v>
      </c>
      <c r="C31" s="84"/>
      <c r="D31" s="84"/>
      <c r="E31" s="84"/>
      <c r="F31" s="94"/>
      <c r="G31" s="141">
        <f>SUM(G32:G34)</f>
        <v>340884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</row>
    <row r="32" spans="1:72" s="140" customFormat="1" ht="15.75" customHeight="1" x14ac:dyDescent="0.2">
      <c r="A32" s="82"/>
      <c r="B32" s="83"/>
      <c r="C32" s="84"/>
      <c r="D32" s="84"/>
      <c r="E32" s="84" t="s">
        <v>63</v>
      </c>
      <c r="F32" s="94" t="s">
        <v>59</v>
      </c>
      <c r="G32" s="95">
        <f>12600+279000+5400+12300+6300+18600</f>
        <v>334200</v>
      </c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</row>
    <row r="33" spans="1:72" s="140" customFormat="1" ht="15.75" customHeight="1" x14ac:dyDescent="0.2">
      <c r="A33" s="82"/>
      <c r="B33" s="83"/>
      <c r="C33" s="101"/>
      <c r="D33" s="84"/>
      <c r="E33" s="84" t="s">
        <v>69</v>
      </c>
      <c r="F33" s="94" t="s">
        <v>59</v>
      </c>
      <c r="G33" s="95">
        <f>210+4638+90+205+105+310</f>
        <v>5558</v>
      </c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</row>
    <row r="34" spans="1:72" s="140" customFormat="1" ht="15.75" customHeight="1" x14ac:dyDescent="0.2">
      <c r="A34" s="82"/>
      <c r="B34" s="83"/>
      <c r="C34" s="101"/>
      <c r="D34" s="84"/>
      <c r="E34" s="84" t="s">
        <v>70</v>
      </c>
      <c r="F34" s="94" t="s">
        <v>59</v>
      </c>
      <c r="G34" s="95">
        <f>42+815+115+12+18+41+21+62</f>
        <v>1126</v>
      </c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</row>
    <row r="35" spans="1:72" s="140" customFormat="1" ht="15.75" customHeight="1" x14ac:dyDescent="0.2">
      <c r="A35" s="96"/>
      <c r="B35" s="97"/>
      <c r="C35" s="98"/>
      <c r="D35" s="85"/>
      <c r="E35" s="85"/>
      <c r="F35" s="87"/>
      <c r="G35" s="9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</row>
    <row r="36" spans="1:72" s="140" customFormat="1" ht="21.75" customHeight="1" x14ac:dyDescent="0.2">
      <c r="A36" s="82"/>
      <c r="B36" s="83"/>
      <c r="C36" s="84" t="s">
        <v>75</v>
      </c>
      <c r="D36" s="84" t="s">
        <v>76</v>
      </c>
      <c r="E36" s="85" t="s">
        <v>19</v>
      </c>
      <c r="F36" s="86">
        <f>55248+183549+25396+225667+26112+20400+296179+19787+194352+194468+19414</f>
        <v>1260572</v>
      </c>
      <c r="G36" s="87" t="s">
        <v>59</v>
      </c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</row>
    <row r="37" spans="1:72" s="140" customFormat="1" ht="25.5" customHeight="1" x14ac:dyDescent="0.2">
      <c r="A37" s="88" t="s">
        <v>77</v>
      </c>
      <c r="B37" s="89" t="s">
        <v>78</v>
      </c>
      <c r="C37" s="84"/>
      <c r="D37" s="84"/>
      <c r="E37" s="90" t="s">
        <v>59</v>
      </c>
      <c r="F37" s="91" t="s">
        <v>59</v>
      </c>
      <c r="G37" s="92">
        <f>SUM(G40,G50,G60,G69,G74,G84,G94,G102,G111)</f>
        <v>1260572</v>
      </c>
      <c r="H37" s="139"/>
      <c r="I37" s="102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</row>
    <row r="38" spans="1:72" s="140" customFormat="1" ht="7.5" customHeight="1" x14ac:dyDescent="0.2">
      <c r="A38" s="82"/>
      <c r="B38" s="83"/>
      <c r="C38" s="101"/>
      <c r="D38" s="84"/>
      <c r="E38" s="84"/>
      <c r="F38" s="94"/>
      <c r="G38" s="95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</row>
    <row r="39" spans="1:72" s="140" customFormat="1" ht="12.75" customHeight="1" x14ac:dyDescent="0.2">
      <c r="A39" s="82"/>
      <c r="B39" s="83"/>
      <c r="C39" s="101"/>
      <c r="D39" s="84"/>
      <c r="E39" s="84"/>
      <c r="F39" s="94"/>
      <c r="G39" s="95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</row>
    <row r="40" spans="1:72" s="140" customFormat="1" ht="15.75" customHeight="1" x14ac:dyDescent="0.2">
      <c r="A40" s="82"/>
      <c r="B40" s="142" t="s">
        <v>37</v>
      </c>
      <c r="C40" s="84" t="s">
        <v>79</v>
      </c>
      <c r="D40" s="84" t="s">
        <v>80</v>
      </c>
      <c r="E40" s="90" t="s">
        <v>59</v>
      </c>
      <c r="F40" s="91" t="s">
        <v>59</v>
      </c>
      <c r="G40" s="92">
        <f>SUM(G42)</f>
        <v>1018750.28</v>
      </c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</row>
    <row r="41" spans="1:72" s="140" customFormat="1" ht="7.5" customHeight="1" x14ac:dyDescent="0.2">
      <c r="A41" s="82"/>
      <c r="B41" s="83"/>
      <c r="C41" s="101"/>
      <c r="D41" s="84"/>
      <c r="E41" s="84"/>
      <c r="F41" s="94"/>
      <c r="G41" s="95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</row>
    <row r="42" spans="1:72" s="140" customFormat="1" ht="15.75" customHeight="1" x14ac:dyDescent="0.2">
      <c r="A42" s="82"/>
      <c r="B42" s="83"/>
      <c r="C42" s="101"/>
      <c r="D42" s="84"/>
      <c r="E42" s="84"/>
      <c r="F42" s="94"/>
      <c r="G42" s="141">
        <f>SUM(G43:G48)</f>
        <v>1018750.28</v>
      </c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</row>
    <row r="43" spans="1:72" s="140" customFormat="1" ht="15.75" customHeight="1" x14ac:dyDescent="0.2">
      <c r="A43" s="82"/>
      <c r="B43" s="83"/>
      <c r="C43" s="101"/>
      <c r="D43" s="84"/>
      <c r="E43" s="84" t="s">
        <v>40</v>
      </c>
      <c r="F43" s="94" t="s">
        <v>59</v>
      </c>
      <c r="G43" s="95">
        <f>6956.19+152362</f>
        <v>159318.19</v>
      </c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  <c r="BM43" s="139"/>
      <c r="BN43" s="139"/>
      <c r="BO43" s="139"/>
      <c r="BP43" s="139"/>
      <c r="BQ43" s="139"/>
      <c r="BR43" s="139"/>
      <c r="BS43" s="139"/>
      <c r="BT43" s="139"/>
    </row>
    <row r="44" spans="1:72" s="140" customFormat="1" ht="15.75" customHeight="1" x14ac:dyDescent="0.2">
      <c r="A44" s="82"/>
      <c r="B44" s="83"/>
      <c r="C44" s="101"/>
      <c r="D44" s="84"/>
      <c r="E44" s="84" t="s">
        <v>64</v>
      </c>
      <c r="F44" s="94" t="s">
        <v>59</v>
      </c>
      <c r="G44" s="95">
        <f>4832.25</f>
        <v>4832.25</v>
      </c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</row>
    <row r="45" spans="1:72" s="140" customFormat="1" ht="15.75" customHeight="1" x14ac:dyDescent="0.2">
      <c r="A45" s="82"/>
      <c r="B45" s="83"/>
      <c r="C45" s="101"/>
      <c r="D45" s="84"/>
      <c r="E45" s="84" t="s">
        <v>69</v>
      </c>
      <c r="F45" s="94" t="s">
        <v>59</v>
      </c>
      <c r="G45" s="95">
        <f>23300+23803.29-7052.34</f>
        <v>40050.949999999997</v>
      </c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  <c r="BI45" s="139"/>
      <c r="BJ45" s="139"/>
      <c r="BK45" s="139"/>
      <c r="BL45" s="139"/>
      <c r="BM45" s="139"/>
      <c r="BN45" s="139"/>
      <c r="BO45" s="139"/>
      <c r="BP45" s="139"/>
      <c r="BQ45" s="139"/>
      <c r="BR45" s="139"/>
      <c r="BS45" s="139"/>
      <c r="BT45" s="139"/>
    </row>
    <row r="46" spans="1:72" s="140" customFormat="1" ht="15.75" customHeight="1" x14ac:dyDescent="0.2">
      <c r="A46" s="82"/>
      <c r="B46" s="83"/>
      <c r="C46" s="101"/>
      <c r="D46" s="84"/>
      <c r="E46" s="84" t="s">
        <v>81</v>
      </c>
      <c r="F46" s="94" t="s">
        <v>59</v>
      </c>
      <c r="G46" s="95">
        <f>212347.85+304328.54+135776.15-179292.49-18060.81+109303.95</f>
        <v>564403.19000000006</v>
      </c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  <c r="BI46" s="139"/>
      <c r="BJ46" s="139"/>
      <c r="BK46" s="139"/>
      <c r="BL46" s="139"/>
      <c r="BM46" s="139"/>
      <c r="BN46" s="139"/>
      <c r="BO46" s="139"/>
      <c r="BP46" s="139"/>
      <c r="BQ46" s="139"/>
      <c r="BR46" s="139"/>
      <c r="BS46" s="139"/>
      <c r="BT46" s="139"/>
    </row>
    <row r="47" spans="1:72" s="140" customFormat="1" ht="15.75" customHeight="1" x14ac:dyDescent="0.2">
      <c r="A47" s="82"/>
      <c r="B47" s="83"/>
      <c r="C47" s="101"/>
      <c r="D47" s="84"/>
      <c r="E47" s="84" t="s">
        <v>70</v>
      </c>
      <c r="F47" s="94" t="s">
        <v>59</v>
      </c>
      <c r="G47" s="95">
        <f>49549.15+79640.81+33183.81-10197.27+57265.18</f>
        <v>209441.68</v>
      </c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  <c r="BI47" s="139"/>
      <c r="BJ47" s="139"/>
      <c r="BK47" s="139"/>
      <c r="BL47" s="139"/>
      <c r="BM47" s="139"/>
      <c r="BN47" s="139"/>
      <c r="BO47" s="139"/>
      <c r="BP47" s="139"/>
      <c r="BQ47" s="139"/>
      <c r="BR47" s="139"/>
      <c r="BS47" s="139"/>
      <c r="BT47" s="139"/>
    </row>
    <row r="48" spans="1:72" s="140" customFormat="1" ht="15.75" customHeight="1" x14ac:dyDescent="0.2">
      <c r="A48" s="82"/>
      <c r="B48" s="83"/>
      <c r="C48" s="101"/>
      <c r="D48" s="84"/>
      <c r="E48" s="84" t="s">
        <v>102</v>
      </c>
      <c r="F48" s="94" t="s">
        <v>59</v>
      </c>
      <c r="G48" s="95">
        <f>40704.02</f>
        <v>40704.019999999997</v>
      </c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  <c r="BI48" s="139"/>
      <c r="BJ48" s="139"/>
      <c r="BK48" s="139"/>
      <c r="BL48" s="139"/>
      <c r="BM48" s="139"/>
      <c r="BN48" s="139"/>
      <c r="BO48" s="139"/>
      <c r="BP48" s="139"/>
      <c r="BQ48" s="139"/>
      <c r="BR48" s="139"/>
      <c r="BS48" s="139"/>
      <c r="BT48" s="139"/>
    </row>
    <row r="49" spans="1:72" s="140" customFormat="1" ht="12.75" customHeight="1" x14ac:dyDescent="0.2">
      <c r="A49" s="96"/>
      <c r="B49" s="97"/>
      <c r="C49" s="98"/>
      <c r="D49" s="85"/>
      <c r="E49" s="85"/>
      <c r="F49" s="87"/>
      <c r="G49" s="9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</row>
    <row r="50" spans="1:72" s="140" customFormat="1" ht="21.75" customHeight="1" x14ac:dyDescent="0.2">
      <c r="A50" s="82"/>
      <c r="B50" s="142" t="s">
        <v>37</v>
      </c>
      <c r="C50" s="84" t="s">
        <v>79</v>
      </c>
      <c r="D50" s="84" t="s">
        <v>82</v>
      </c>
      <c r="E50" s="85" t="s">
        <v>59</v>
      </c>
      <c r="F50" s="87" t="s">
        <v>59</v>
      </c>
      <c r="G50" s="86">
        <f>SUM(G52)</f>
        <v>20746.010000000002</v>
      </c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  <c r="BI50" s="139"/>
      <c r="BJ50" s="139"/>
      <c r="BK50" s="139"/>
      <c r="BL50" s="139"/>
      <c r="BM50" s="139"/>
      <c r="BN50" s="139"/>
      <c r="BO50" s="139"/>
      <c r="BP50" s="139"/>
      <c r="BQ50" s="139"/>
      <c r="BR50" s="139"/>
      <c r="BS50" s="139"/>
      <c r="BT50" s="139"/>
    </row>
    <row r="51" spans="1:72" s="140" customFormat="1" ht="12.75" customHeight="1" x14ac:dyDescent="0.2">
      <c r="A51" s="82"/>
      <c r="B51" s="83"/>
      <c r="C51" s="101"/>
      <c r="D51" s="84"/>
      <c r="E51" s="84"/>
      <c r="F51" s="94"/>
      <c r="G51" s="95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39"/>
      <c r="BQ51" s="139"/>
      <c r="BR51" s="139"/>
      <c r="BS51" s="139"/>
      <c r="BT51" s="139"/>
    </row>
    <row r="52" spans="1:72" s="140" customFormat="1" ht="15.75" customHeight="1" x14ac:dyDescent="0.2">
      <c r="A52" s="82"/>
      <c r="B52" s="83"/>
      <c r="C52" s="101"/>
      <c r="D52" s="84"/>
      <c r="E52" s="84"/>
      <c r="F52" s="94"/>
      <c r="G52" s="141">
        <f>SUM(G53:G58)</f>
        <v>20746.010000000002</v>
      </c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  <c r="BI52" s="139"/>
      <c r="BJ52" s="139"/>
      <c r="BK52" s="139"/>
      <c r="BL52" s="139"/>
      <c r="BM52" s="139"/>
      <c r="BN52" s="139"/>
      <c r="BO52" s="139"/>
      <c r="BP52" s="139"/>
      <c r="BQ52" s="139"/>
      <c r="BR52" s="139"/>
      <c r="BS52" s="139"/>
      <c r="BT52" s="139"/>
    </row>
    <row r="53" spans="1:72" s="140" customFormat="1" ht="15.75" customHeight="1" x14ac:dyDescent="0.2">
      <c r="A53" s="82"/>
      <c r="B53" s="83"/>
      <c r="C53" s="101"/>
      <c r="D53" s="84"/>
      <c r="E53" s="84" t="s">
        <v>40</v>
      </c>
      <c r="F53" s="94" t="s">
        <v>59</v>
      </c>
      <c r="G53" s="95">
        <f>14000</f>
        <v>14000</v>
      </c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39"/>
      <c r="BG53" s="139"/>
      <c r="BH53" s="139"/>
      <c r="BI53" s="139"/>
      <c r="BJ53" s="139"/>
      <c r="BK53" s="139"/>
      <c r="BL53" s="139"/>
      <c r="BM53" s="139"/>
      <c r="BN53" s="139"/>
      <c r="BO53" s="139"/>
      <c r="BP53" s="139"/>
      <c r="BQ53" s="139"/>
      <c r="BR53" s="139"/>
      <c r="BS53" s="139"/>
      <c r="BT53" s="139"/>
    </row>
    <row r="54" spans="1:72" s="140" customFormat="1" ht="15.75" customHeight="1" x14ac:dyDescent="0.2">
      <c r="A54" s="82"/>
      <c r="B54" s="83"/>
      <c r="C54" s="101"/>
      <c r="D54" s="84"/>
      <c r="E54" s="84" t="s">
        <v>64</v>
      </c>
      <c r="F54" s="94" t="s">
        <v>59</v>
      </c>
      <c r="G54" s="95">
        <f>412.5</f>
        <v>412.5</v>
      </c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  <c r="BA54" s="139"/>
      <c r="BB54" s="139"/>
      <c r="BC54" s="139"/>
      <c r="BD54" s="139"/>
      <c r="BE54" s="139"/>
      <c r="BF54" s="139"/>
      <c r="BG54" s="139"/>
      <c r="BH54" s="139"/>
      <c r="BI54" s="139"/>
      <c r="BJ54" s="139"/>
      <c r="BK54" s="139"/>
      <c r="BL54" s="139"/>
      <c r="BM54" s="139"/>
      <c r="BN54" s="139"/>
      <c r="BO54" s="139"/>
      <c r="BP54" s="139"/>
      <c r="BQ54" s="139"/>
      <c r="BR54" s="139"/>
      <c r="BS54" s="139"/>
      <c r="BT54" s="139"/>
    </row>
    <row r="55" spans="1:72" s="140" customFormat="1" ht="15.75" customHeight="1" x14ac:dyDescent="0.2">
      <c r="A55" s="82"/>
      <c r="B55" s="83"/>
      <c r="C55" s="101"/>
      <c r="D55" s="84"/>
      <c r="E55" s="84" t="s">
        <v>69</v>
      </c>
      <c r="F55" s="94" t="s">
        <v>59</v>
      </c>
      <c r="G55" s="95">
        <f>3900-200</f>
        <v>3700</v>
      </c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39"/>
      <c r="BI55" s="139"/>
      <c r="BJ55" s="139"/>
      <c r="BK55" s="139"/>
      <c r="BL55" s="139"/>
      <c r="BM55" s="139"/>
      <c r="BN55" s="139"/>
      <c r="BO55" s="139"/>
      <c r="BP55" s="139"/>
      <c r="BQ55" s="139"/>
      <c r="BR55" s="139"/>
      <c r="BS55" s="139"/>
      <c r="BT55" s="139"/>
    </row>
    <row r="56" spans="1:72" s="140" customFormat="1" ht="15.75" customHeight="1" x14ac:dyDescent="0.2">
      <c r="A56" s="82"/>
      <c r="B56" s="83"/>
      <c r="C56" s="101"/>
      <c r="D56" s="84"/>
      <c r="E56" s="84" t="s">
        <v>81</v>
      </c>
      <c r="F56" s="94" t="s">
        <v>59</v>
      </c>
      <c r="G56" s="95">
        <f>12295-12000</f>
        <v>295</v>
      </c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39"/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39"/>
      <c r="BI56" s="139"/>
      <c r="BJ56" s="139"/>
      <c r="BK56" s="139"/>
      <c r="BL56" s="139"/>
      <c r="BM56" s="139"/>
      <c r="BN56" s="139"/>
      <c r="BO56" s="139"/>
      <c r="BP56" s="139"/>
      <c r="BQ56" s="139"/>
      <c r="BR56" s="139"/>
      <c r="BS56" s="139"/>
      <c r="BT56" s="139"/>
    </row>
    <row r="57" spans="1:72" s="140" customFormat="1" ht="15.75" customHeight="1" x14ac:dyDescent="0.2">
      <c r="A57" s="82"/>
      <c r="B57" s="83"/>
      <c r="C57" s="101"/>
      <c r="D57" s="84"/>
      <c r="E57" s="84" t="s">
        <v>70</v>
      </c>
      <c r="F57" s="94" t="s">
        <v>59</v>
      </c>
      <c r="G57" s="95">
        <f>4138.51-2000</f>
        <v>2138.5100000000002</v>
      </c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  <c r="BI57" s="139"/>
      <c r="BJ57" s="139"/>
      <c r="BK57" s="139"/>
      <c r="BL57" s="139"/>
      <c r="BM57" s="139"/>
      <c r="BN57" s="139"/>
      <c r="BO57" s="139"/>
      <c r="BP57" s="139"/>
      <c r="BQ57" s="139"/>
      <c r="BR57" s="139"/>
      <c r="BS57" s="139"/>
      <c r="BT57" s="139"/>
    </row>
    <row r="58" spans="1:72" s="140" customFormat="1" ht="15.75" customHeight="1" x14ac:dyDescent="0.2">
      <c r="A58" s="82"/>
      <c r="B58" s="83"/>
      <c r="C58" s="101"/>
      <c r="D58" s="84"/>
      <c r="E58" s="84" t="s">
        <v>102</v>
      </c>
      <c r="F58" s="94" t="s">
        <v>59</v>
      </c>
      <c r="G58" s="95">
        <f>200</f>
        <v>200</v>
      </c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  <c r="BI58" s="139"/>
      <c r="BJ58" s="139"/>
      <c r="BK58" s="139"/>
      <c r="BL58" s="139"/>
      <c r="BM58" s="139"/>
      <c r="BN58" s="139"/>
      <c r="BO58" s="139"/>
      <c r="BP58" s="139"/>
      <c r="BQ58" s="139"/>
      <c r="BR58" s="139"/>
      <c r="BS58" s="139"/>
      <c r="BT58" s="139"/>
    </row>
    <row r="59" spans="1:72" s="140" customFormat="1" ht="12.75" customHeight="1" x14ac:dyDescent="0.2">
      <c r="A59" s="82"/>
      <c r="B59" s="83"/>
      <c r="C59" s="101"/>
      <c r="D59" s="84"/>
      <c r="E59" s="84"/>
      <c r="F59" s="94"/>
      <c r="G59" s="95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39"/>
      <c r="BF59" s="139"/>
      <c r="BG59" s="139"/>
      <c r="BH59" s="139"/>
      <c r="BI59" s="139"/>
      <c r="BJ59" s="139"/>
      <c r="BK59" s="139"/>
      <c r="BL59" s="139"/>
      <c r="BM59" s="139"/>
      <c r="BN59" s="139"/>
      <c r="BO59" s="139"/>
      <c r="BP59" s="139"/>
      <c r="BQ59" s="139"/>
      <c r="BR59" s="139"/>
      <c r="BS59" s="139"/>
      <c r="BT59" s="139"/>
    </row>
    <row r="60" spans="1:72" s="140" customFormat="1" ht="15.75" customHeight="1" x14ac:dyDescent="0.2">
      <c r="A60" s="82"/>
      <c r="B60" s="142" t="s">
        <v>37</v>
      </c>
      <c r="C60" s="84" t="s">
        <v>79</v>
      </c>
      <c r="D60" s="84" t="s">
        <v>83</v>
      </c>
      <c r="E60" s="90" t="s">
        <v>59</v>
      </c>
      <c r="F60" s="91" t="s">
        <v>59</v>
      </c>
      <c r="G60" s="92">
        <f>SUM(G62)</f>
        <v>102368.92</v>
      </c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39"/>
      <c r="BF60" s="139"/>
      <c r="BG60" s="139"/>
      <c r="BH60" s="139"/>
      <c r="BI60" s="139"/>
      <c r="BJ60" s="139"/>
      <c r="BK60" s="139"/>
      <c r="BL60" s="139"/>
      <c r="BM60" s="139"/>
      <c r="BN60" s="139"/>
      <c r="BO60" s="139"/>
      <c r="BP60" s="139"/>
      <c r="BQ60" s="139"/>
      <c r="BR60" s="139"/>
      <c r="BS60" s="139"/>
      <c r="BT60" s="139"/>
    </row>
    <row r="61" spans="1:72" s="140" customFormat="1" ht="6.75" customHeight="1" x14ac:dyDescent="0.2">
      <c r="A61" s="82"/>
      <c r="B61" s="83"/>
      <c r="C61" s="101"/>
      <c r="D61" s="84"/>
      <c r="E61" s="84"/>
      <c r="F61" s="94"/>
      <c r="G61" s="95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139"/>
      <c r="AS61" s="139"/>
      <c r="AT61" s="139"/>
      <c r="AU61" s="139"/>
      <c r="AV61" s="139"/>
      <c r="AW61" s="139"/>
      <c r="AX61" s="139"/>
      <c r="AY61" s="139"/>
      <c r="AZ61" s="139"/>
      <c r="BA61" s="139"/>
      <c r="BB61" s="139"/>
      <c r="BC61" s="139"/>
      <c r="BD61" s="139"/>
      <c r="BE61" s="139"/>
      <c r="BF61" s="139"/>
      <c r="BG61" s="139"/>
      <c r="BH61" s="139"/>
      <c r="BI61" s="139"/>
      <c r="BJ61" s="139"/>
      <c r="BK61" s="139"/>
      <c r="BL61" s="139"/>
      <c r="BM61" s="139"/>
      <c r="BN61" s="139"/>
      <c r="BO61" s="139"/>
      <c r="BP61" s="139"/>
      <c r="BQ61" s="139"/>
      <c r="BR61" s="139"/>
      <c r="BS61" s="139"/>
      <c r="BT61" s="139"/>
    </row>
    <row r="62" spans="1:72" s="140" customFormat="1" ht="15.75" customHeight="1" x14ac:dyDescent="0.2">
      <c r="A62" s="82"/>
      <c r="B62" s="83"/>
      <c r="C62" s="101"/>
      <c r="D62" s="84"/>
      <c r="E62" s="84"/>
      <c r="F62" s="94"/>
      <c r="G62" s="141">
        <f>SUM(G63:G67)</f>
        <v>102368.92</v>
      </c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  <c r="AQ62" s="139"/>
      <c r="AR62" s="139"/>
      <c r="AS62" s="139"/>
      <c r="AT62" s="139"/>
      <c r="AU62" s="139"/>
      <c r="AV62" s="139"/>
      <c r="AW62" s="139"/>
      <c r="AX62" s="139"/>
      <c r="AY62" s="139"/>
      <c r="AZ62" s="139"/>
      <c r="BA62" s="139"/>
      <c r="BB62" s="139"/>
      <c r="BC62" s="139"/>
      <c r="BD62" s="139"/>
      <c r="BE62" s="139"/>
      <c r="BF62" s="139"/>
      <c r="BG62" s="139"/>
      <c r="BH62" s="139"/>
      <c r="BI62" s="139"/>
      <c r="BJ62" s="139"/>
      <c r="BK62" s="139"/>
      <c r="BL62" s="139"/>
      <c r="BM62" s="139"/>
      <c r="BN62" s="139"/>
      <c r="BO62" s="139"/>
      <c r="BP62" s="139"/>
      <c r="BQ62" s="139"/>
      <c r="BR62" s="139"/>
      <c r="BS62" s="139"/>
      <c r="BT62" s="139"/>
    </row>
    <row r="63" spans="1:72" s="140" customFormat="1" ht="15.75" customHeight="1" x14ac:dyDescent="0.2">
      <c r="A63" s="82"/>
      <c r="B63" s="83"/>
      <c r="C63" s="101"/>
      <c r="D63" s="84"/>
      <c r="E63" s="84" t="s">
        <v>40</v>
      </c>
      <c r="F63" s="94" t="s">
        <v>59</v>
      </c>
      <c r="G63" s="95">
        <f>23691.12+150+18060.81</f>
        <v>41901.93</v>
      </c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39"/>
      <c r="AS63" s="139"/>
      <c r="AT63" s="139"/>
      <c r="AU63" s="139"/>
      <c r="AV63" s="139"/>
      <c r="AW63" s="139"/>
      <c r="AX63" s="139"/>
      <c r="AY63" s="139"/>
      <c r="AZ63" s="139"/>
      <c r="BA63" s="139"/>
      <c r="BB63" s="139"/>
      <c r="BC63" s="139"/>
      <c r="BD63" s="139"/>
      <c r="BE63" s="139"/>
      <c r="BF63" s="139"/>
      <c r="BG63" s="139"/>
      <c r="BH63" s="139"/>
      <c r="BI63" s="139"/>
      <c r="BJ63" s="139"/>
      <c r="BK63" s="139"/>
      <c r="BL63" s="139"/>
      <c r="BM63" s="139"/>
      <c r="BN63" s="139"/>
      <c r="BO63" s="139"/>
      <c r="BP63" s="139"/>
      <c r="BQ63" s="139"/>
      <c r="BR63" s="139"/>
      <c r="BS63" s="139"/>
      <c r="BT63" s="139"/>
    </row>
    <row r="64" spans="1:72" s="140" customFormat="1" ht="15.75" customHeight="1" x14ac:dyDescent="0.2">
      <c r="A64" s="82"/>
      <c r="B64" s="83"/>
      <c r="C64" s="101"/>
      <c r="D64" s="84"/>
      <c r="E64" s="84" t="s">
        <v>69</v>
      </c>
      <c r="F64" s="94" t="s">
        <v>59</v>
      </c>
      <c r="G64" s="95">
        <f>2000+7149.84</f>
        <v>9149.84</v>
      </c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39"/>
      <c r="BC64" s="139"/>
      <c r="BD64" s="139"/>
      <c r="BE64" s="139"/>
      <c r="BF64" s="139"/>
      <c r="BG64" s="139"/>
      <c r="BH64" s="139"/>
      <c r="BI64" s="139"/>
      <c r="BJ64" s="139"/>
      <c r="BK64" s="139"/>
      <c r="BL64" s="139"/>
      <c r="BM64" s="139"/>
      <c r="BN64" s="139"/>
      <c r="BO64" s="139"/>
      <c r="BP64" s="139"/>
      <c r="BQ64" s="139"/>
      <c r="BR64" s="139"/>
      <c r="BS64" s="139"/>
      <c r="BT64" s="139"/>
    </row>
    <row r="65" spans="1:72" s="140" customFormat="1" ht="15.75" customHeight="1" x14ac:dyDescent="0.2">
      <c r="A65" s="82"/>
      <c r="B65" s="83"/>
      <c r="C65" s="101"/>
      <c r="D65" s="84"/>
      <c r="E65" s="84" t="s">
        <v>81</v>
      </c>
      <c r="F65" s="94" t="s">
        <v>59</v>
      </c>
      <c r="G65" s="95">
        <f>20405.04-1481.12+16738.05</f>
        <v>35661.97</v>
      </c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  <c r="AQ65" s="139"/>
      <c r="AR65" s="139"/>
      <c r="AS65" s="139"/>
      <c r="AT65" s="139"/>
      <c r="AU65" s="139"/>
      <c r="AV65" s="139"/>
      <c r="AW65" s="139"/>
      <c r="AX65" s="139"/>
      <c r="AY65" s="139"/>
      <c r="AZ65" s="139"/>
      <c r="BA65" s="139"/>
      <c r="BB65" s="139"/>
      <c r="BC65" s="139"/>
      <c r="BD65" s="139"/>
      <c r="BE65" s="139"/>
      <c r="BF65" s="139"/>
      <c r="BG65" s="139"/>
      <c r="BH65" s="139"/>
      <c r="BI65" s="139"/>
      <c r="BJ65" s="139"/>
      <c r="BK65" s="139"/>
      <c r="BL65" s="139"/>
      <c r="BM65" s="139"/>
      <c r="BN65" s="139"/>
      <c r="BO65" s="139"/>
      <c r="BP65" s="139"/>
      <c r="BQ65" s="139"/>
      <c r="BR65" s="139"/>
      <c r="BS65" s="139"/>
      <c r="BT65" s="139"/>
    </row>
    <row r="66" spans="1:72" s="140" customFormat="1" ht="15.75" customHeight="1" x14ac:dyDescent="0.2">
      <c r="A66" s="82"/>
      <c r="B66" s="83"/>
      <c r="C66" s="101"/>
      <c r="D66" s="84"/>
      <c r="E66" s="84" t="s">
        <v>70</v>
      </c>
      <c r="F66" s="94" t="s">
        <v>59</v>
      </c>
      <c r="G66" s="95">
        <f>392.8+1530.93+4987-313.11+8769.5</f>
        <v>15367.119999999999</v>
      </c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  <c r="AN66" s="139"/>
      <c r="AO66" s="139"/>
      <c r="AP66" s="139"/>
      <c r="AQ66" s="139"/>
      <c r="AR66" s="139"/>
      <c r="AS66" s="139"/>
      <c r="AT66" s="139"/>
      <c r="AU66" s="139"/>
      <c r="AV66" s="139"/>
      <c r="AW66" s="139"/>
      <c r="AX66" s="139"/>
      <c r="AY66" s="139"/>
      <c r="AZ66" s="139"/>
      <c r="BA66" s="139"/>
      <c r="BB66" s="139"/>
      <c r="BC66" s="139"/>
      <c r="BD66" s="139"/>
      <c r="BE66" s="139"/>
      <c r="BF66" s="139"/>
      <c r="BG66" s="139"/>
      <c r="BH66" s="139"/>
      <c r="BI66" s="139"/>
      <c r="BJ66" s="139"/>
      <c r="BK66" s="139"/>
      <c r="BL66" s="139"/>
      <c r="BM66" s="139"/>
      <c r="BN66" s="139"/>
      <c r="BO66" s="139"/>
      <c r="BP66" s="139"/>
      <c r="BQ66" s="139"/>
      <c r="BR66" s="139"/>
      <c r="BS66" s="139"/>
      <c r="BT66" s="139"/>
    </row>
    <row r="67" spans="1:72" s="140" customFormat="1" ht="15.75" customHeight="1" x14ac:dyDescent="0.2">
      <c r="A67" s="82"/>
      <c r="B67" s="83"/>
      <c r="C67" s="101"/>
      <c r="D67" s="84"/>
      <c r="E67" s="84" t="s">
        <v>102</v>
      </c>
      <c r="F67" s="94" t="s">
        <v>59</v>
      </c>
      <c r="G67" s="95">
        <f>288.06</f>
        <v>288.06</v>
      </c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139"/>
      <c r="AR67" s="139"/>
      <c r="AS67" s="139"/>
      <c r="AT67" s="139"/>
      <c r="AU67" s="139"/>
      <c r="AV67" s="139"/>
      <c r="AW67" s="139"/>
      <c r="AX67" s="139"/>
      <c r="AY67" s="139"/>
      <c r="AZ67" s="139"/>
      <c r="BA67" s="139"/>
      <c r="BB67" s="139"/>
      <c r="BC67" s="139"/>
      <c r="BD67" s="139"/>
      <c r="BE67" s="139"/>
      <c r="BF67" s="139"/>
      <c r="BG67" s="139"/>
      <c r="BH67" s="139"/>
      <c r="BI67" s="139"/>
      <c r="BJ67" s="139"/>
      <c r="BK67" s="139"/>
      <c r="BL67" s="139"/>
      <c r="BM67" s="139"/>
      <c r="BN67" s="139"/>
      <c r="BO67" s="139"/>
      <c r="BP67" s="139"/>
      <c r="BQ67" s="139"/>
      <c r="BR67" s="139"/>
      <c r="BS67" s="139"/>
      <c r="BT67" s="139"/>
    </row>
    <row r="68" spans="1:72" s="140" customFormat="1" ht="15.75" customHeight="1" x14ac:dyDescent="0.2">
      <c r="A68" s="82"/>
      <c r="B68" s="83"/>
      <c r="C68" s="101"/>
      <c r="D68" s="84"/>
      <c r="E68" s="84"/>
      <c r="F68" s="94"/>
      <c r="G68" s="95"/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  <c r="AN68" s="139"/>
      <c r="AO68" s="139"/>
      <c r="AP68" s="139"/>
      <c r="AQ68" s="139"/>
      <c r="AR68" s="139"/>
      <c r="AS68" s="139"/>
      <c r="AT68" s="139"/>
      <c r="AU68" s="139"/>
      <c r="AV68" s="139"/>
      <c r="AW68" s="139"/>
      <c r="AX68" s="139"/>
      <c r="AY68" s="139"/>
      <c r="AZ68" s="139"/>
      <c r="BA68" s="139"/>
      <c r="BB68" s="139"/>
      <c r="BC68" s="139"/>
      <c r="BD68" s="139"/>
      <c r="BE68" s="139"/>
      <c r="BF68" s="139"/>
      <c r="BG68" s="139"/>
      <c r="BH68" s="139"/>
      <c r="BI68" s="139"/>
      <c r="BJ68" s="139"/>
      <c r="BK68" s="139"/>
      <c r="BL68" s="139"/>
      <c r="BM68" s="139"/>
      <c r="BN68" s="139"/>
      <c r="BO68" s="139"/>
      <c r="BP68" s="139"/>
      <c r="BQ68" s="139"/>
      <c r="BR68" s="139"/>
      <c r="BS68" s="139"/>
      <c r="BT68" s="139"/>
    </row>
    <row r="69" spans="1:72" s="140" customFormat="1" ht="15.75" customHeight="1" x14ac:dyDescent="0.2">
      <c r="A69" s="82"/>
      <c r="B69" s="142" t="s">
        <v>38</v>
      </c>
      <c r="C69" s="84" t="s">
        <v>79</v>
      </c>
      <c r="D69" s="84" t="s">
        <v>83</v>
      </c>
      <c r="E69" s="90" t="s">
        <v>59</v>
      </c>
      <c r="F69" s="91" t="s">
        <v>59</v>
      </c>
      <c r="G69" s="92">
        <f>SUM(G71)</f>
        <v>2391.3200000000002</v>
      </c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  <c r="AN69" s="139"/>
      <c r="AO69" s="139"/>
      <c r="AP69" s="139"/>
      <c r="AQ69" s="139"/>
      <c r="AR69" s="139"/>
      <c r="AS69" s="139"/>
      <c r="AT69" s="139"/>
      <c r="AU69" s="139"/>
      <c r="AV69" s="139"/>
      <c r="AW69" s="139"/>
      <c r="AX69" s="139"/>
      <c r="AY69" s="139"/>
      <c r="AZ69" s="139"/>
      <c r="BA69" s="139"/>
      <c r="BB69" s="139"/>
      <c r="BC69" s="139"/>
      <c r="BD69" s="139"/>
      <c r="BE69" s="139"/>
      <c r="BF69" s="139"/>
      <c r="BG69" s="139"/>
      <c r="BH69" s="139"/>
      <c r="BI69" s="139"/>
      <c r="BJ69" s="139"/>
      <c r="BK69" s="139"/>
      <c r="BL69" s="139"/>
      <c r="BM69" s="139"/>
      <c r="BN69" s="139"/>
      <c r="BO69" s="139"/>
      <c r="BP69" s="139"/>
      <c r="BQ69" s="139"/>
      <c r="BR69" s="139"/>
      <c r="BS69" s="139"/>
      <c r="BT69" s="139"/>
    </row>
    <row r="70" spans="1:72" s="140" customFormat="1" ht="15.75" customHeight="1" x14ac:dyDescent="0.2">
      <c r="A70" s="82"/>
      <c r="B70" s="83"/>
      <c r="C70" s="101"/>
      <c r="D70" s="84"/>
      <c r="E70" s="84"/>
      <c r="F70" s="94"/>
      <c r="G70" s="95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139"/>
      <c r="AX70" s="139"/>
      <c r="AY70" s="139"/>
      <c r="AZ70" s="139"/>
      <c r="BA70" s="139"/>
      <c r="BB70" s="139"/>
      <c r="BC70" s="139"/>
      <c r="BD70" s="139"/>
      <c r="BE70" s="139"/>
      <c r="BF70" s="139"/>
      <c r="BG70" s="139"/>
      <c r="BH70" s="139"/>
      <c r="BI70" s="139"/>
      <c r="BJ70" s="139"/>
      <c r="BK70" s="139"/>
      <c r="BL70" s="139"/>
      <c r="BM70" s="139"/>
      <c r="BN70" s="139"/>
      <c r="BO70" s="139"/>
      <c r="BP70" s="139"/>
      <c r="BQ70" s="139"/>
      <c r="BR70" s="139"/>
      <c r="BS70" s="139"/>
      <c r="BT70" s="139"/>
    </row>
    <row r="71" spans="1:72" s="140" customFormat="1" ht="15.75" customHeight="1" x14ac:dyDescent="0.2">
      <c r="A71" s="82"/>
      <c r="B71" s="83"/>
      <c r="C71" s="101"/>
      <c r="D71" s="84"/>
      <c r="E71" s="84"/>
      <c r="F71" s="94"/>
      <c r="G71" s="141">
        <f>SUM(G72)</f>
        <v>2391.3200000000002</v>
      </c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  <c r="AN71" s="139"/>
      <c r="AO71" s="139"/>
      <c r="AP71" s="139"/>
      <c r="AQ71" s="139"/>
      <c r="AR71" s="139"/>
      <c r="AS71" s="139"/>
      <c r="AT71" s="139"/>
      <c r="AU71" s="139"/>
      <c r="AV71" s="139"/>
      <c r="AW71" s="139"/>
      <c r="AX71" s="139"/>
      <c r="AY71" s="139"/>
      <c r="AZ71" s="139"/>
      <c r="BA71" s="139"/>
      <c r="BB71" s="139"/>
      <c r="BC71" s="139"/>
      <c r="BD71" s="139"/>
      <c r="BE71" s="139"/>
      <c r="BF71" s="139"/>
      <c r="BG71" s="139"/>
      <c r="BH71" s="139"/>
      <c r="BI71" s="139"/>
      <c r="BJ71" s="139"/>
      <c r="BK71" s="139"/>
      <c r="BL71" s="139"/>
      <c r="BM71" s="139"/>
      <c r="BN71" s="139"/>
      <c r="BO71" s="139"/>
      <c r="BP71" s="139"/>
      <c r="BQ71" s="139"/>
      <c r="BR71" s="139"/>
      <c r="BS71" s="139"/>
      <c r="BT71" s="139"/>
    </row>
    <row r="72" spans="1:72" s="140" customFormat="1" ht="15.75" customHeight="1" x14ac:dyDescent="0.2">
      <c r="A72" s="82"/>
      <c r="B72" s="83"/>
      <c r="C72" s="101"/>
      <c r="D72" s="84"/>
      <c r="E72" s="84" t="s">
        <v>164</v>
      </c>
      <c r="F72" s="94" t="s">
        <v>59</v>
      </c>
      <c r="G72" s="95">
        <v>2391.3200000000002</v>
      </c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  <c r="AN72" s="139"/>
      <c r="AO72" s="139"/>
      <c r="AP72" s="139"/>
      <c r="AQ72" s="139"/>
      <c r="AR72" s="139"/>
      <c r="AS72" s="139"/>
      <c r="AT72" s="139"/>
      <c r="AU72" s="139"/>
      <c r="AV72" s="139"/>
      <c r="AW72" s="139"/>
      <c r="AX72" s="139"/>
      <c r="AY72" s="139"/>
      <c r="AZ72" s="139"/>
      <c r="BA72" s="139"/>
      <c r="BB72" s="139"/>
      <c r="BC72" s="139"/>
      <c r="BD72" s="139"/>
      <c r="BE72" s="139"/>
      <c r="BF72" s="139"/>
      <c r="BG72" s="139"/>
      <c r="BH72" s="139"/>
      <c r="BI72" s="139"/>
      <c r="BJ72" s="139"/>
      <c r="BK72" s="139"/>
      <c r="BL72" s="139"/>
      <c r="BM72" s="139"/>
      <c r="BN72" s="139"/>
      <c r="BO72" s="139"/>
      <c r="BP72" s="139"/>
      <c r="BQ72" s="139"/>
      <c r="BR72" s="139"/>
      <c r="BS72" s="139"/>
      <c r="BT72" s="139"/>
    </row>
    <row r="73" spans="1:72" s="140" customFormat="1" ht="12.75" customHeight="1" x14ac:dyDescent="0.2">
      <c r="A73" s="82"/>
      <c r="B73" s="83"/>
      <c r="C73" s="101"/>
      <c r="D73" s="84"/>
      <c r="E73" s="84"/>
      <c r="F73" s="94"/>
      <c r="G73" s="95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  <c r="AN73" s="139"/>
      <c r="AO73" s="139"/>
      <c r="AP73" s="139"/>
      <c r="AQ73" s="139"/>
      <c r="AR73" s="139"/>
      <c r="AS73" s="139"/>
      <c r="AT73" s="139"/>
      <c r="AU73" s="139"/>
      <c r="AV73" s="139"/>
      <c r="AW73" s="139"/>
      <c r="AX73" s="139"/>
      <c r="AY73" s="139"/>
      <c r="AZ73" s="139"/>
      <c r="BA73" s="139"/>
      <c r="BB73" s="139"/>
      <c r="BC73" s="139"/>
      <c r="BD73" s="139"/>
      <c r="BE73" s="139"/>
      <c r="BF73" s="139"/>
      <c r="BG73" s="139"/>
      <c r="BH73" s="139"/>
      <c r="BI73" s="139"/>
      <c r="BJ73" s="139"/>
      <c r="BK73" s="139"/>
      <c r="BL73" s="139"/>
      <c r="BM73" s="139"/>
      <c r="BN73" s="139"/>
      <c r="BO73" s="139"/>
      <c r="BP73" s="139"/>
      <c r="BQ73" s="139"/>
      <c r="BR73" s="139"/>
      <c r="BS73" s="139"/>
      <c r="BT73" s="139"/>
    </row>
    <row r="74" spans="1:72" s="140" customFormat="1" ht="15.75" customHeight="1" x14ac:dyDescent="0.2">
      <c r="A74" s="82"/>
      <c r="B74" s="142" t="s">
        <v>37</v>
      </c>
      <c r="C74" s="84" t="s">
        <v>79</v>
      </c>
      <c r="D74" s="84" t="s">
        <v>84</v>
      </c>
      <c r="E74" s="90" t="s">
        <v>59</v>
      </c>
      <c r="F74" s="91" t="s">
        <v>59</v>
      </c>
      <c r="G74" s="92">
        <f>SUM(G76)</f>
        <v>8589.2000000000007</v>
      </c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  <c r="AN74" s="139"/>
      <c r="AO74" s="139"/>
      <c r="AP74" s="139"/>
      <c r="AQ74" s="139"/>
      <c r="AR74" s="139"/>
      <c r="AS74" s="139"/>
      <c r="AT74" s="139"/>
      <c r="AU74" s="139"/>
      <c r="AV74" s="139"/>
      <c r="AW74" s="139"/>
      <c r="AX74" s="139"/>
      <c r="AY74" s="139"/>
      <c r="AZ74" s="139"/>
      <c r="BA74" s="139"/>
      <c r="BB74" s="139"/>
      <c r="BC74" s="139"/>
      <c r="BD74" s="139"/>
      <c r="BE74" s="139"/>
      <c r="BF74" s="139"/>
      <c r="BG74" s="139"/>
      <c r="BH74" s="139"/>
      <c r="BI74" s="139"/>
      <c r="BJ74" s="139"/>
      <c r="BK74" s="139"/>
      <c r="BL74" s="139"/>
      <c r="BM74" s="139"/>
      <c r="BN74" s="139"/>
      <c r="BO74" s="139"/>
      <c r="BP74" s="139"/>
      <c r="BQ74" s="139"/>
      <c r="BR74" s="139"/>
      <c r="BS74" s="139"/>
      <c r="BT74" s="139"/>
    </row>
    <row r="75" spans="1:72" s="140" customFormat="1" ht="8.25" customHeight="1" x14ac:dyDescent="0.2">
      <c r="A75" s="82"/>
      <c r="B75" s="83"/>
      <c r="C75" s="101"/>
      <c r="D75" s="84"/>
      <c r="E75" s="84"/>
      <c r="F75" s="94"/>
      <c r="G75" s="95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  <c r="AT75" s="139"/>
      <c r="AU75" s="139"/>
      <c r="AV75" s="139"/>
      <c r="AW75" s="139"/>
      <c r="AX75" s="139"/>
      <c r="AY75" s="139"/>
      <c r="AZ75" s="139"/>
      <c r="BA75" s="139"/>
      <c r="BB75" s="139"/>
      <c r="BC75" s="139"/>
      <c r="BD75" s="139"/>
      <c r="BE75" s="139"/>
      <c r="BF75" s="139"/>
      <c r="BG75" s="139"/>
      <c r="BH75" s="139"/>
      <c r="BI75" s="139"/>
      <c r="BJ75" s="139"/>
      <c r="BK75" s="139"/>
      <c r="BL75" s="139"/>
      <c r="BM75" s="139"/>
      <c r="BN75" s="139"/>
      <c r="BO75" s="139"/>
      <c r="BP75" s="139"/>
      <c r="BQ75" s="139"/>
      <c r="BR75" s="139"/>
      <c r="BS75" s="139"/>
      <c r="BT75" s="139"/>
    </row>
    <row r="76" spans="1:72" s="140" customFormat="1" ht="15.75" customHeight="1" x14ac:dyDescent="0.2">
      <c r="A76" s="82"/>
      <c r="B76" s="83"/>
      <c r="C76" s="101"/>
      <c r="D76" s="84"/>
      <c r="E76" s="84"/>
      <c r="F76" s="94"/>
      <c r="G76" s="141">
        <f>SUM(G77:G82)</f>
        <v>8589.2000000000007</v>
      </c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39"/>
      <c r="AA76" s="139"/>
      <c r="AB76" s="139"/>
      <c r="AC76" s="139"/>
      <c r="AD76" s="139"/>
      <c r="AE76" s="139"/>
      <c r="AF76" s="139"/>
      <c r="AG76" s="139"/>
      <c r="AH76" s="139"/>
      <c r="AI76" s="139"/>
      <c r="AJ76" s="139"/>
      <c r="AK76" s="139"/>
      <c r="AL76" s="139"/>
      <c r="AM76" s="139"/>
      <c r="AN76" s="139"/>
      <c r="AO76" s="139"/>
      <c r="AP76" s="139"/>
      <c r="AQ76" s="139"/>
      <c r="AR76" s="139"/>
      <c r="AS76" s="139"/>
      <c r="AT76" s="139"/>
      <c r="AU76" s="139"/>
      <c r="AV76" s="139"/>
      <c r="AW76" s="139"/>
      <c r="AX76" s="139"/>
      <c r="AY76" s="139"/>
      <c r="AZ76" s="139"/>
      <c r="BA76" s="139"/>
      <c r="BB76" s="139"/>
      <c r="BC76" s="139"/>
      <c r="BD76" s="139"/>
      <c r="BE76" s="139"/>
      <c r="BF76" s="139"/>
      <c r="BG76" s="139"/>
      <c r="BH76" s="139"/>
      <c r="BI76" s="139"/>
      <c r="BJ76" s="139"/>
      <c r="BK76" s="139"/>
      <c r="BL76" s="139"/>
      <c r="BM76" s="139"/>
      <c r="BN76" s="139"/>
      <c r="BO76" s="139"/>
      <c r="BP76" s="139"/>
      <c r="BQ76" s="139"/>
      <c r="BR76" s="139"/>
      <c r="BS76" s="139"/>
      <c r="BT76" s="139"/>
    </row>
    <row r="77" spans="1:72" s="140" customFormat="1" ht="15.75" customHeight="1" x14ac:dyDescent="0.2">
      <c r="A77" s="82"/>
      <c r="B77" s="83"/>
      <c r="C77" s="101"/>
      <c r="D77" s="84"/>
      <c r="E77" s="84" t="s">
        <v>40</v>
      </c>
      <c r="F77" s="94" t="s">
        <v>59</v>
      </c>
      <c r="G77" s="95">
        <f>8000</f>
        <v>8000</v>
      </c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139"/>
      <c r="AI77" s="139"/>
      <c r="AJ77" s="139"/>
      <c r="AK77" s="139"/>
      <c r="AL77" s="139"/>
      <c r="AM77" s="139"/>
      <c r="AN77" s="139"/>
      <c r="AO77" s="139"/>
      <c r="AP77" s="139"/>
      <c r="AQ77" s="139"/>
      <c r="AR77" s="139"/>
      <c r="AS77" s="139"/>
      <c r="AT77" s="139"/>
      <c r="AU77" s="139"/>
      <c r="AV77" s="139"/>
      <c r="AW77" s="139"/>
      <c r="AX77" s="139"/>
      <c r="AY77" s="139"/>
      <c r="AZ77" s="139"/>
      <c r="BA77" s="139"/>
      <c r="BB77" s="139"/>
      <c r="BC77" s="139"/>
      <c r="BD77" s="139"/>
      <c r="BE77" s="139"/>
      <c r="BF77" s="139"/>
      <c r="BG77" s="139"/>
      <c r="BH77" s="139"/>
      <c r="BI77" s="139"/>
      <c r="BJ77" s="139"/>
      <c r="BK77" s="139"/>
      <c r="BL77" s="139"/>
      <c r="BM77" s="139"/>
      <c r="BN77" s="139"/>
      <c r="BO77" s="139"/>
      <c r="BP77" s="139"/>
      <c r="BQ77" s="139"/>
      <c r="BR77" s="139"/>
      <c r="BS77" s="139"/>
      <c r="BT77" s="139"/>
    </row>
    <row r="78" spans="1:72" s="140" customFormat="1" ht="15.75" customHeight="1" x14ac:dyDescent="0.2">
      <c r="A78" s="82"/>
      <c r="B78" s="83"/>
      <c r="C78" s="101"/>
      <c r="D78" s="84"/>
      <c r="E78" s="84" t="s">
        <v>64</v>
      </c>
      <c r="F78" s="94" t="s">
        <v>59</v>
      </c>
      <c r="G78" s="95">
        <f>50</f>
        <v>50</v>
      </c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39"/>
      <c r="AA78" s="139"/>
      <c r="AB78" s="139"/>
      <c r="AC78" s="139"/>
      <c r="AD78" s="139"/>
      <c r="AE78" s="139"/>
      <c r="AF78" s="139"/>
      <c r="AG78" s="139"/>
      <c r="AH78" s="139"/>
      <c r="AI78" s="139"/>
      <c r="AJ78" s="139"/>
      <c r="AK78" s="139"/>
      <c r="AL78" s="139"/>
      <c r="AM78" s="139"/>
      <c r="AN78" s="139"/>
      <c r="AO78" s="139"/>
      <c r="AP78" s="139"/>
      <c r="AQ78" s="139"/>
      <c r="AR78" s="139"/>
      <c r="AS78" s="139"/>
      <c r="AT78" s="139"/>
      <c r="AU78" s="139"/>
      <c r="AV78" s="139"/>
      <c r="AW78" s="139"/>
      <c r="AX78" s="139"/>
      <c r="AY78" s="139"/>
      <c r="AZ78" s="139"/>
      <c r="BA78" s="139"/>
      <c r="BB78" s="139"/>
      <c r="BC78" s="139"/>
      <c r="BD78" s="139"/>
      <c r="BE78" s="139"/>
      <c r="BF78" s="139"/>
      <c r="BG78" s="139"/>
      <c r="BH78" s="139"/>
      <c r="BI78" s="139"/>
      <c r="BJ78" s="139"/>
      <c r="BK78" s="139"/>
      <c r="BL78" s="139"/>
      <c r="BM78" s="139"/>
      <c r="BN78" s="139"/>
      <c r="BO78" s="139"/>
      <c r="BP78" s="139"/>
      <c r="BQ78" s="139"/>
      <c r="BR78" s="139"/>
      <c r="BS78" s="139"/>
      <c r="BT78" s="139"/>
    </row>
    <row r="79" spans="1:72" s="140" customFormat="1" ht="15.75" customHeight="1" x14ac:dyDescent="0.2">
      <c r="A79" s="82"/>
      <c r="B79" s="83"/>
      <c r="C79" s="101"/>
      <c r="D79" s="84"/>
      <c r="E79" s="84" t="s">
        <v>69</v>
      </c>
      <c r="F79" s="94" t="s">
        <v>59</v>
      </c>
      <c r="G79" s="95">
        <f>3000-3000</f>
        <v>0</v>
      </c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  <c r="AF79" s="139"/>
      <c r="AG79" s="139"/>
      <c r="AH79" s="139"/>
      <c r="AI79" s="139"/>
      <c r="AJ79" s="139"/>
      <c r="AK79" s="139"/>
      <c r="AL79" s="139"/>
      <c r="AM79" s="139"/>
      <c r="AN79" s="139"/>
      <c r="AO79" s="139"/>
      <c r="AP79" s="139"/>
      <c r="AQ79" s="139"/>
      <c r="AR79" s="139"/>
      <c r="AS79" s="139"/>
      <c r="AT79" s="139"/>
      <c r="AU79" s="139"/>
      <c r="AV79" s="139"/>
      <c r="AW79" s="139"/>
      <c r="AX79" s="139"/>
      <c r="AY79" s="139"/>
      <c r="AZ79" s="139"/>
      <c r="BA79" s="139"/>
      <c r="BB79" s="139"/>
      <c r="BC79" s="139"/>
      <c r="BD79" s="139"/>
      <c r="BE79" s="139"/>
      <c r="BF79" s="139"/>
      <c r="BG79" s="139"/>
      <c r="BH79" s="139"/>
      <c r="BI79" s="139"/>
      <c r="BJ79" s="139"/>
      <c r="BK79" s="139"/>
      <c r="BL79" s="139"/>
      <c r="BM79" s="139"/>
      <c r="BN79" s="139"/>
      <c r="BO79" s="139"/>
      <c r="BP79" s="139"/>
      <c r="BQ79" s="139"/>
      <c r="BR79" s="139"/>
      <c r="BS79" s="139"/>
      <c r="BT79" s="139"/>
    </row>
    <row r="80" spans="1:72" s="140" customFormat="1" ht="15.75" customHeight="1" x14ac:dyDescent="0.2">
      <c r="A80" s="82"/>
      <c r="B80" s="83"/>
      <c r="C80" s="101"/>
      <c r="D80" s="84"/>
      <c r="E80" s="84" t="s">
        <v>81</v>
      </c>
      <c r="F80" s="94" t="s">
        <v>59</v>
      </c>
      <c r="G80" s="95">
        <f>5000-5000</f>
        <v>0</v>
      </c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39"/>
      <c r="AA80" s="139"/>
      <c r="AB80" s="139"/>
      <c r="AC80" s="139"/>
      <c r="AD80" s="139"/>
      <c r="AE80" s="139"/>
      <c r="AF80" s="139"/>
      <c r="AG80" s="139"/>
      <c r="AH80" s="139"/>
      <c r="AI80" s="139"/>
      <c r="AJ80" s="139"/>
      <c r="AK80" s="139"/>
      <c r="AL80" s="139"/>
      <c r="AM80" s="139"/>
      <c r="AN80" s="139"/>
      <c r="AO80" s="139"/>
      <c r="AP80" s="139"/>
      <c r="AQ80" s="139"/>
      <c r="AR80" s="139"/>
      <c r="AS80" s="139"/>
      <c r="AT80" s="139"/>
      <c r="AU80" s="139"/>
      <c r="AV80" s="139"/>
      <c r="AW80" s="139"/>
      <c r="AX80" s="139"/>
      <c r="AY80" s="139"/>
      <c r="AZ80" s="139"/>
      <c r="BA80" s="139"/>
      <c r="BB80" s="139"/>
      <c r="BC80" s="139"/>
      <c r="BD80" s="139"/>
      <c r="BE80" s="139"/>
      <c r="BF80" s="139"/>
      <c r="BG80" s="139"/>
      <c r="BH80" s="139"/>
      <c r="BI80" s="139"/>
      <c r="BJ80" s="139"/>
      <c r="BK80" s="139"/>
      <c r="BL80" s="139"/>
      <c r="BM80" s="139"/>
      <c r="BN80" s="139"/>
      <c r="BO80" s="139"/>
      <c r="BP80" s="139"/>
      <c r="BQ80" s="139"/>
      <c r="BR80" s="139"/>
      <c r="BS80" s="139"/>
      <c r="BT80" s="139"/>
    </row>
    <row r="81" spans="1:72" s="140" customFormat="1" ht="15.75" customHeight="1" x14ac:dyDescent="0.2">
      <c r="A81" s="82"/>
      <c r="B81" s="83"/>
      <c r="C81" s="101"/>
      <c r="D81" s="84"/>
      <c r="E81" s="84" t="s">
        <v>70</v>
      </c>
      <c r="F81" s="94" t="s">
        <v>59</v>
      </c>
      <c r="G81" s="95">
        <f>589.2-100</f>
        <v>489.20000000000005</v>
      </c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  <c r="AF81" s="139"/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  <c r="AQ81" s="139"/>
      <c r="AR81" s="139"/>
      <c r="AS81" s="139"/>
      <c r="AT81" s="139"/>
      <c r="AU81" s="139"/>
      <c r="AV81" s="139"/>
      <c r="AW81" s="139"/>
      <c r="AX81" s="139"/>
      <c r="AY81" s="139"/>
      <c r="AZ81" s="139"/>
      <c r="BA81" s="139"/>
      <c r="BB81" s="139"/>
      <c r="BC81" s="139"/>
      <c r="BD81" s="139"/>
      <c r="BE81" s="139"/>
      <c r="BF81" s="139"/>
      <c r="BG81" s="139"/>
      <c r="BH81" s="139"/>
      <c r="BI81" s="139"/>
      <c r="BJ81" s="139"/>
      <c r="BK81" s="139"/>
      <c r="BL81" s="139"/>
      <c r="BM81" s="139"/>
      <c r="BN81" s="139"/>
      <c r="BO81" s="139"/>
      <c r="BP81" s="139"/>
      <c r="BQ81" s="139"/>
      <c r="BR81" s="139"/>
      <c r="BS81" s="139"/>
      <c r="BT81" s="139"/>
    </row>
    <row r="82" spans="1:72" s="140" customFormat="1" ht="15.75" customHeight="1" x14ac:dyDescent="0.2">
      <c r="A82" s="82"/>
      <c r="B82" s="83"/>
      <c r="C82" s="101"/>
      <c r="D82" s="84"/>
      <c r="E82" s="84" t="s">
        <v>102</v>
      </c>
      <c r="F82" s="94" t="s">
        <v>59</v>
      </c>
      <c r="G82" s="95">
        <f>50</f>
        <v>50</v>
      </c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  <c r="AK82" s="139"/>
      <c r="AL82" s="139"/>
      <c r="AM82" s="139"/>
      <c r="AN82" s="139"/>
      <c r="AO82" s="139"/>
      <c r="AP82" s="139"/>
      <c r="AQ82" s="139"/>
      <c r="AR82" s="139"/>
      <c r="AS82" s="139"/>
      <c r="AT82" s="139"/>
      <c r="AU82" s="139"/>
      <c r="AV82" s="139"/>
      <c r="AW82" s="139"/>
      <c r="AX82" s="139"/>
      <c r="AY82" s="139"/>
      <c r="AZ82" s="139"/>
      <c r="BA82" s="139"/>
      <c r="BB82" s="139"/>
      <c r="BC82" s="139"/>
      <c r="BD82" s="139"/>
      <c r="BE82" s="139"/>
      <c r="BF82" s="139"/>
      <c r="BG82" s="139"/>
      <c r="BH82" s="139"/>
      <c r="BI82" s="139"/>
      <c r="BJ82" s="139"/>
      <c r="BK82" s="139"/>
      <c r="BL82" s="139"/>
      <c r="BM82" s="139"/>
      <c r="BN82" s="139"/>
      <c r="BO82" s="139"/>
      <c r="BP82" s="139"/>
      <c r="BQ82" s="139"/>
      <c r="BR82" s="139"/>
      <c r="BS82" s="139"/>
      <c r="BT82" s="139"/>
    </row>
    <row r="83" spans="1:72" s="140" customFormat="1" ht="12.75" customHeight="1" x14ac:dyDescent="0.2">
      <c r="A83" s="82"/>
      <c r="B83" s="83"/>
      <c r="C83" s="101"/>
      <c r="D83" s="84"/>
      <c r="E83" s="84"/>
      <c r="F83" s="94"/>
      <c r="G83" s="95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39"/>
      <c r="AA83" s="139"/>
      <c r="AB83" s="139"/>
      <c r="AC83" s="139"/>
      <c r="AD83" s="139"/>
      <c r="AE83" s="139"/>
      <c r="AF83" s="139"/>
      <c r="AG83" s="139"/>
      <c r="AH83" s="139"/>
      <c r="AI83" s="139"/>
      <c r="AJ83" s="139"/>
      <c r="AK83" s="139"/>
      <c r="AL83" s="139"/>
      <c r="AM83" s="139"/>
      <c r="AN83" s="139"/>
      <c r="AO83" s="139"/>
      <c r="AP83" s="139"/>
      <c r="AQ83" s="139"/>
      <c r="AR83" s="139"/>
      <c r="AS83" s="139"/>
      <c r="AT83" s="139"/>
      <c r="AU83" s="139"/>
      <c r="AV83" s="139"/>
      <c r="AW83" s="139"/>
      <c r="AX83" s="139"/>
      <c r="AY83" s="139"/>
      <c r="AZ83" s="139"/>
      <c r="BA83" s="139"/>
      <c r="BB83" s="139"/>
      <c r="BC83" s="139"/>
      <c r="BD83" s="139"/>
      <c r="BE83" s="139"/>
      <c r="BF83" s="139"/>
      <c r="BG83" s="139"/>
      <c r="BH83" s="139"/>
      <c r="BI83" s="139"/>
      <c r="BJ83" s="139"/>
      <c r="BK83" s="139"/>
      <c r="BL83" s="139"/>
      <c r="BM83" s="139"/>
      <c r="BN83" s="139"/>
      <c r="BO83" s="139"/>
      <c r="BP83" s="139"/>
      <c r="BQ83" s="139"/>
      <c r="BR83" s="139"/>
      <c r="BS83" s="139"/>
      <c r="BT83" s="139"/>
    </row>
    <row r="84" spans="1:72" s="140" customFormat="1" ht="15.75" customHeight="1" x14ac:dyDescent="0.2">
      <c r="A84" s="82"/>
      <c r="B84" s="142" t="s">
        <v>37</v>
      </c>
      <c r="C84" s="84" t="s">
        <v>79</v>
      </c>
      <c r="D84" s="84" t="s">
        <v>85</v>
      </c>
      <c r="E84" s="90" t="s">
        <v>59</v>
      </c>
      <c r="F84" s="91" t="s">
        <v>59</v>
      </c>
      <c r="G84" s="92">
        <f>SUM(G86)</f>
        <v>15928.769999999999</v>
      </c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  <c r="AX84" s="139"/>
      <c r="AY84" s="139"/>
      <c r="AZ84" s="139"/>
      <c r="BA84" s="139"/>
      <c r="BB84" s="139"/>
      <c r="BC84" s="139"/>
      <c r="BD84" s="139"/>
      <c r="BE84" s="139"/>
      <c r="BF84" s="139"/>
      <c r="BG84" s="139"/>
      <c r="BH84" s="139"/>
      <c r="BI84" s="139"/>
      <c r="BJ84" s="139"/>
      <c r="BK84" s="139"/>
      <c r="BL84" s="139"/>
      <c r="BM84" s="139"/>
      <c r="BN84" s="139"/>
      <c r="BO84" s="139"/>
      <c r="BP84" s="139"/>
      <c r="BQ84" s="139"/>
      <c r="BR84" s="139"/>
      <c r="BS84" s="139"/>
      <c r="BT84" s="139"/>
    </row>
    <row r="85" spans="1:72" s="140" customFormat="1" ht="15.75" customHeight="1" x14ac:dyDescent="0.2">
      <c r="A85" s="82"/>
      <c r="B85" s="83"/>
      <c r="C85" s="101"/>
      <c r="D85" s="84"/>
      <c r="E85" s="84"/>
      <c r="F85" s="94"/>
      <c r="G85" s="95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  <c r="AT85" s="139"/>
      <c r="AU85" s="139"/>
      <c r="AV85" s="139"/>
      <c r="AW85" s="139"/>
      <c r="AX85" s="139"/>
      <c r="AY85" s="139"/>
      <c r="AZ85" s="139"/>
      <c r="BA85" s="139"/>
      <c r="BB85" s="139"/>
      <c r="BC85" s="139"/>
      <c r="BD85" s="139"/>
      <c r="BE85" s="139"/>
      <c r="BF85" s="139"/>
      <c r="BG85" s="139"/>
      <c r="BH85" s="139"/>
      <c r="BI85" s="139"/>
      <c r="BJ85" s="139"/>
      <c r="BK85" s="139"/>
      <c r="BL85" s="139"/>
      <c r="BM85" s="139"/>
      <c r="BN85" s="139"/>
      <c r="BO85" s="139"/>
      <c r="BP85" s="139"/>
      <c r="BQ85" s="139"/>
      <c r="BR85" s="139"/>
      <c r="BS85" s="139"/>
      <c r="BT85" s="139"/>
    </row>
    <row r="86" spans="1:72" s="140" customFormat="1" ht="15.75" customHeight="1" x14ac:dyDescent="0.2">
      <c r="A86" s="82"/>
      <c r="B86" s="83"/>
      <c r="C86" s="101"/>
      <c r="D86" s="84"/>
      <c r="E86" s="84"/>
      <c r="F86" s="94"/>
      <c r="G86" s="141">
        <f>SUM(G87:G92)</f>
        <v>15928.769999999999</v>
      </c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  <c r="AT86" s="139"/>
      <c r="AU86" s="139"/>
      <c r="AV86" s="139"/>
      <c r="AW86" s="139"/>
      <c r="AX86" s="139"/>
      <c r="AY86" s="139"/>
      <c r="AZ86" s="139"/>
      <c r="BA86" s="139"/>
      <c r="BB86" s="139"/>
      <c r="BC86" s="139"/>
      <c r="BD86" s="139"/>
      <c r="BE86" s="139"/>
      <c r="BF86" s="139"/>
      <c r="BG86" s="139"/>
      <c r="BH86" s="139"/>
      <c r="BI86" s="139"/>
      <c r="BJ86" s="139"/>
      <c r="BK86" s="139"/>
      <c r="BL86" s="139"/>
      <c r="BM86" s="139"/>
      <c r="BN86" s="139"/>
      <c r="BO86" s="139"/>
      <c r="BP86" s="139"/>
      <c r="BQ86" s="139"/>
      <c r="BR86" s="139"/>
      <c r="BS86" s="139"/>
      <c r="BT86" s="139"/>
    </row>
    <row r="87" spans="1:72" s="140" customFormat="1" ht="15.75" customHeight="1" x14ac:dyDescent="0.2">
      <c r="A87" s="82"/>
      <c r="B87" s="83"/>
      <c r="C87" s="101"/>
      <c r="D87" s="84"/>
      <c r="E87" s="84" t="s">
        <v>40</v>
      </c>
      <c r="F87" s="94" t="s">
        <v>59</v>
      </c>
      <c r="G87" s="95">
        <f>739</f>
        <v>739</v>
      </c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  <c r="AX87" s="139"/>
      <c r="AY87" s="139"/>
      <c r="AZ87" s="139"/>
      <c r="BA87" s="139"/>
      <c r="BB87" s="139"/>
      <c r="BC87" s="139"/>
      <c r="BD87" s="139"/>
      <c r="BE87" s="139"/>
      <c r="BF87" s="139"/>
      <c r="BG87" s="139"/>
      <c r="BH87" s="139"/>
      <c r="BI87" s="139"/>
      <c r="BJ87" s="139"/>
      <c r="BK87" s="139"/>
      <c r="BL87" s="139"/>
      <c r="BM87" s="139"/>
      <c r="BN87" s="139"/>
      <c r="BO87" s="139"/>
      <c r="BP87" s="139"/>
      <c r="BQ87" s="139"/>
      <c r="BR87" s="139"/>
      <c r="BS87" s="139"/>
      <c r="BT87" s="139"/>
    </row>
    <row r="88" spans="1:72" s="140" customFormat="1" ht="15.75" customHeight="1" x14ac:dyDescent="0.2">
      <c r="A88" s="82"/>
      <c r="B88" s="83"/>
      <c r="C88" s="101"/>
      <c r="D88" s="84"/>
      <c r="E88" s="84" t="s">
        <v>64</v>
      </c>
      <c r="F88" s="94" t="s">
        <v>59</v>
      </c>
      <c r="G88" s="95">
        <f>35.47</f>
        <v>35.47</v>
      </c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  <c r="AK88" s="139"/>
      <c r="AL88" s="139"/>
      <c r="AM88" s="139"/>
      <c r="AN88" s="139"/>
      <c r="AO88" s="139"/>
      <c r="AP88" s="139"/>
      <c r="AQ88" s="139"/>
      <c r="AR88" s="139"/>
      <c r="AS88" s="139"/>
      <c r="AT88" s="139"/>
      <c r="AU88" s="139"/>
      <c r="AV88" s="139"/>
      <c r="AW88" s="139"/>
      <c r="AX88" s="139"/>
      <c r="AY88" s="139"/>
      <c r="AZ88" s="139"/>
      <c r="BA88" s="139"/>
      <c r="BB88" s="139"/>
      <c r="BC88" s="139"/>
      <c r="BD88" s="139"/>
      <c r="BE88" s="139"/>
      <c r="BF88" s="139"/>
      <c r="BG88" s="139"/>
      <c r="BH88" s="139"/>
      <c r="BI88" s="139"/>
      <c r="BJ88" s="139"/>
      <c r="BK88" s="139"/>
      <c r="BL88" s="139"/>
      <c r="BM88" s="139"/>
      <c r="BN88" s="139"/>
      <c r="BO88" s="139"/>
      <c r="BP88" s="139"/>
      <c r="BQ88" s="139"/>
      <c r="BR88" s="139"/>
      <c r="BS88" s="139"/>
      <c r="BT88" s="139"/>
    </row>
    <row r="89" spans="1:72" s="140" customFormat="1" ht="15.75" customHeight="1" x14ac:dyDescent="0.2">
      <c r="A89" s="82"/>
      <c r="B89" s="83"/>
      <c r="C89" s="101"/>
      <c r="D89" s="84"/>
      <c r="E89" s="84" t="s">
        <v>69</v>
      </c>
      <c r="F89" s="94" t="s">
        <v>59</v>
      </c>
      <c r="G89" s="95">
        <f>60-60</f>
        <v>0</v>
      </c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  <c r="AK89" s="139"/>
      <c r="AL89" s="139"/>
      <c r="AM89" s="139"/>
      <c r="AN89" s="139"/>
      <c r="AO89" s="139"/>
      <c r="AP89" s="139"/>
      <c r="AQ89" s="139"/>
      <c r="AR89" s="139"/>
      <c r="AS89" s="139"/>
      <c r="AT89" s="139"/>
      <c r="AU89" s="139"/>
      <c r="AV89" s="139"/>
      <c r="AW89" s="139"/>
      <c r="AX89" s="139"/>
      <c r="AY89" s="139"/>
      <c r="AZ89" s="139"/>
      <c r="BA89" s="139"/>
      <c r="BB89" s="139"/>
      <c r="BC89" s="139"/>
      <c r="BD89" s="139"/>
      <c r="BE89" s="139"/>
      <c r="BF89" s="139"/>
      <c r="BG89" s="139"/>
      <c r="BH89" s="139"/>
      <c r="BI89" s="139"/>
      <c r="BJ89" s="139"/>
      <c r="BK89" s="139"/>
      <c r="BL89" s="139"/>
      <c r="BM89" s="139"/>
      <c r="BN89" s="139"/>
      <c r="BO89" s="139"/>
      <c r="BP89" s="139"/>
      <c r="BQ89" s="139"/>
      <c r="BR89" s="139"/>
      <c r="BS89" s="139"/>
      <c r="BT89" s="139"/>
    </row>
    <row r="90" spans="1:72" s="140" customFormat="1" ht="15.75" customHeight="1" x14ac:dyDescent="0.2">
      <c r="A90" s="82"/>
      <c r="B90" s="83"/>
      <c r="C90" s="101"/>
      <c r="D90" s="84"/>
      <c r="E90" s="84" t="s">
        <v>81</v>
      </c>
      <c r="F90" s="94" t="s">
        <v>59</v>
      </c>
      <c r="G90" s="95">
        <f>1800+9128.31+742.19-697.01+744.88</f>
        <v>11718.369999999999</v>
      </c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39"/>
      <c r="Z90" s="139"/>
      <c r="AA90" s="139"/>
      <c r="AB90" s="139"/>
      <c r="AC90" s="139"/>
      <c r="AD90" s="139"/>
      <c r="AE90" s="139"/>
      <c r="AF90" s="139"/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  <c r="AT90" s="139"/>
      <c r="AU90" s="139"/>
      <c r="AV90" s="139"/>
      <c r="AW90" s="139"/>
      <c r="AX90" s="139"/>
      <c r="AY90" s="139"/>
      <c r="AZ90" s="139"/>
      <c r="BA90" s="139"/>
      <c r="BB90" s="139"/>
      <c r="BC90" s="139"/>
      <c r="BD90" s="139"/>
      <c r="BE90" s="139"/>
      <c r="BF90" s="139"/>
      <c r="BG90" s="139"/>
      <c r="BH90" s="139"/>
      <c r="BI90" s="139"/>
      <c r="BJ90" s="139"/>
      <c r="BK90" s="139"/>
      <c r="BL90" s="139"/>
      <c r="BM90" s="139"/>
      <c r="BN90" s="139"/>
      <c r="BO90" s="139"/>
      <c r="BP90" s="139"/>
      <c r="BQ90" s="139"/>
      <c r="BR90" s="139"/>
      <c r="BS90" s="139"/>
      <c r="BT90" s="139"/>
    </row>
    <row r="91" spans="1:72" s="140" customFormat="1" ht="15.75" customHeight="1" x14ac:dyDescent="0.2">
      <c r="A91" s="82"/>
      <c r="B91" s="83"/>
      <c r="C91" s="101"/>
      <c r="D91" s="84"/>
      <c r="E91" s="84" t="s">
        <v>70</v>
      </c>
      <c r="F91" s="94" t="s">
        <v>59</v>
      </c>
      <c r="G91" s="95">
        <f>1021.9+2068.02+181.42-835.95+182.05</f>
        <v>2617.4400000000005</v>
      </c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39"/>
      <c r="Z91" s="139"/>
      <c r="AA91" s="139"/>
      <c r="AB91" s="139"/>
      <c r="AC91" s="139"/>
      <c r="AD91" s="139"/>
      <c r="AE91" s="139"/>
      <c r="AF91" s="139"/>
      <c r="AG91" s="139"/>
      <c r="AH91" s="139"/>
      <c r="AI91" s="139"/>
      <c r="AJ91" s="139"/>
      <c r="AK91" s="139"/>
      <c r="AL91" s="139"/>
      <c r="AM91" s="139"/>
      <c r="AN91" s="139"/>
      <c r="AO91" s="139"/>
      <c r="AP91" s="139"/>
      <c r="AQ91" s="139"/>
      <c r="AR91" s="139"/>
      <c r="AS91" s="139"/>
      <c r="AT91" s="139"/>
      <c r="AU91" s="139"/>
      <c r="AV91" s="139"/>
      <c r="AW91" s="139"/>
      <c r="AX91" s="139"/>
      <c r="AY91" s="139"/>
      <c r="AZ91" s="139"/>
      <c r="BA91" s="139"/>
      <c r="BB91" s="139"/>
      <c r="BC91" s="139"/>
      <c r="BD91" s="139"/>
      <c r="BE91" s="139"/>
      <c r="BF91" s="139"/>
      <c r="BG91" s="139"/>
      <c r="BH91" s="139"/>
      <c r="BI91" s="139"/>
      <c r="BJ91" s="139"/>
      <c r="BK91" s="139"/>
      <c r="BL91" s="139"/>
      <c r="BM91" s="139"/>
      <c r="BN91" s="139"/>
      <c r="BO91" s="139"/>
      <c r="BP91" s="139"/>
      <c r="BQ91" s="139"/>
      <c r="BR91" s="139"/>
      <c r="BS91" s="139"/>
      <c r="BT91" s="139"/>
    </row>
    <row r="92" spans="1:72" s="140" customFormat="1" ht="15.75" customHeight="1" x14ac:dyDescent="0.2">
      <c r="A92" s="82"/>
      <c r="B92" s="83"/>
      <c r="C92" s="101"/>
      <c r="D92" s="84"/>
      <c r="E92" s="84" t="s">
        <v>102</v>
      </c>
      <c r="F92" s="94" t="s">
        <v>59</v>
      </c>
      <c r="G92" s="95">
        <f>818.49</f>
        <v>818.49</v>
      </c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39"/>
      <c r="Z92" s="139"/>
      <c r="AA92" s="139"/>
      <c r="AB92" s="139"/>
      <c r="AC92" s="139"/>
      <c r="AD92" s="139"/>
      <c r="AE92" s="139"/>
      <c r="AF92" s="139"/>
      <c r="AG92" s="139"/>
      <c r="AH92" s="139"/>
      <c r="AI92" s="139"/>
      <c r="AJ92" s="139"/>
      <c r="AK92" s="139"/>
      <c r="AL92" s="139"/>
      <c r="AM92" s="139"/>
      <c r="AN92" s="139"/>
      <c r="AO92" s="139"/>
      <c r="AP92" s="139"/>
      <c r="AQ92" s="139"/>
      <c r="AR92" s="139"/>
      <c r="AS92" s="139"/>
      <c r="AT92" s="139"/>
      <c r="AU92" s="139"/>
      <c r="AV92" s="139"/>
      <c r="AW92" s="139"/>
      <c r="AX92" s="139"/>
      <c r="AY92" s="139"/>
      <c r="AZ92" s="139"/>
      <c r="BA92" s="139"/>
      <c r="BB92" s="139"/>
      <c r="BC92" s="139"/>
      <c r="BD92" s="139"/>
      <c r="BE92" s="139"/>
      <c r="BF92" s="139"/>
      <c r="BG92" s="139"/>
      <c r="BH92" s="139"/>
      <c r="BI92" s="139"/>
      <c r="BJ92" s="139"/>
      <c r="BK92" s="139"/>
      <c r="BL92" s="139"/>
      <c r="BM92" s="139"/>
      <c r="BN92" s="139"/>
      <c r="BO92" s="139"/>
      <c r="BP92" s="139"/>
      <c r="BQ92" s="139"/>
      <c r="BR92" s="139"/>
      <c r="BS92" s="139"/>
      <c r="BT92" s="139"/>
    </row>
    <row r="93" spans="1:72" s="140" customFormat="1" ht="15.75" customHeight="1" x14ac:dyDescent="0.2">
      <c r="A93" s="96"/>
      <c r="B93" s="97"/>
      <c r="C93" s="98"/>
      <c r="D93" s="85"/>
      <c r="E93" s="85"/>
      <c r="F93" s="87"/>
      <c r="G93" s="9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39"/>
      <c r="Z93" s="139"/>
      <c r="AA93" s="139"/>
      <c r="AB93" s="139"/>
      <c r="AC93" s="139"/>
      <c r="AD93" s="139"/>
      <c r="AE93" s="139"/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  <c r="AT93" s="139"/>
      <c r="AU93" s="139"/>
      <c r="AV93" s="139"/>
      <c r="AW93" s="139"/>
      <c r="AX93" s="139"/>
      <c r="AY93" s="139"/>
      <c r="AZ93" s="139"/>
      <c r="BA93" s="139"/>
      <c r="BB93" s="139"/>
      <c r="BC93" s="139"/>
      <c r="BD93" s="139"/>
      <c r="BE93" s="139"/>
      <c r="BF93" s="139"/>
      <c r="BG93" s="139"/>
      <c r="BH93" s="139"/>
      <c r="BI93" s="139"/>
      <c r="BJ93" s="139"/>
      <c r="BK93" s="139"/>
      <c r="BL93" s="139"/>
      <c r="BM93" s="139"/>
      <c r="BN93" s="139"/>
      <c r="BO93" s="139"/>
      <c r="BP93" s="139"/>
      <c r="BQ93" s="139"/>
      <c r="BR93" s="139"/>
      <c r="BS93" s="139"/>
      <c r="BT93" s="139"/>
    </row>
    <row r="94" spans="1:72" s="140" customFormat="1" ht="18" customHeight="1" x14ac:dyDescent="0.2">
      <c r="A94" s="82"/>
      <c r="B94" s="142" t="s">
        <v>37</v>
      </c>
      <c r="C94" s="84" t="s">
        <v>79</v>
      </c>
      <c r="D94" s="84" t="s">
        <v>86</v>
      </c>
      <c r="E94" s="85" t="s">
        <v>59</v>
      </c>
      <c r="F94" s="87" t="s">
        <v>59</v>
      </c>
      <c r="G94" s="86">
        <f>SUM(G96)</f>
        <v>3839.28</v>
      </c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39"/>
      <c r="Z94" s="139"/>
      <c r="AA94" s="139"/>
      <c r="AB94" s="139"/>
      <c r="AC94" s="139"/>
      <c r="AD94" s="139"/>
      <c r="AE94" s="139"/>
      <c r="AF94" s="139"/>
      <c r="AG94" s="139"/>
      <c r="AH94" s="139"/>
      <c r="AI94" s="139"/>
      <c r="AJ94" s="139"/>
      <c r="AK94" s="139"/>
      <c r="AL94" s="139"/>
      <c r="AM94" s="139"/>
      <c r="AN94" s="139"/>
      <c r="AO94" s="139"/>
      <c r="AP94" s="139"/>
      <c r="AQ94" s="139"/>
      <c r="AR94" s="139"/>
      <c r="AS94" s="139"/>
      <c r="AT94" s="139"/>
      <c r="AU94" s="139"/>
      <c r="AV94" s="139"/>
      <c r="AW94" s="139"/>
      <c r="AX94" s="139"/>
      <c r="AY94" s="139"/>
      <c r="AZ94" s="139"/>
      <c r="BA94" s="139"/>
      <c r="BB94" s="139"/>
      <c r="BC94" s="139"/>
      <c r="BD94" s="139"/>
      <c r="BE94" s="139"/>
      <c r="BF94" s="139"/>
      <c r="BG94" s="139"/>
      <c r="BH94" s="139"/>
      <c r="BI94" s="139"/>
      <c r="BJ94" s="139"/>
      <c r="BK94" s="139"/>
      <c r="BL94" s="139"/>
      <c r="BM94" s="139"/>
      <c r="BN94" s="139"/>
      <c r="BO94" s="139"/>
      <c r="BP94" s="139"/>
      <c r="BQ94" s="139"/>
      <c r="BR94" s="139"/>
      <c r="BS94" s="139"/>
      <c r="BT94" s="139"/>
    </row>
    <row r="95" spans="1:72" s="140" customFormat="1" ht="12" customHeight="1" x14ac:dyDescent="0.2">
      <c r="A95" s="82"/>
      <c r="B95" s="83"/>
      <c r="C95" s="101"/>
      <c r="D95" s="84"/>
      <c r="E95" s="84"/>
      <c r="F95" s="94"/>
      <c r="G95" s="95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  <c r="AS95" s="139"/>
      <c r="AT95" s="139"/>
      <c r="AU95" s="139"/>
      <c r="AV95" s="139"/>
      <c r="AW95" s="139"/>
      <c r="AX95" s="139"/>
      <c r="AY95" s="139"/>
      <c r="AZ95" s="139"/>
      <c r="BA95" s="139"/>
      <c r="BB95" s="139"/>
      <c r="BC95" s="139"/>
      <c r="BD95" s="139"/>
      <c r="BE95" s="139"/>
      <c r="BF95" s="139"/>
      <c r="BG95" s="139"/>
      <c r="BH95" s="139"/>
      <c r="BI95" s="139"/>
      <c r="BJ95" s="139"/>
      <c r="BK95" s="139"/>
      <c r="BL95" s="139"/>
      <c r="BM95" s="139"/>
      <c r="BN95" s="139"/>
      <c r="BO95" s="139"/>
      <c r="BP95" s="139"/>
      <c r="BQ95" s="139"/>
      <c r="BR95" s="139"/>
      <c r="BS95" s="139"/>
      <c r="BT95" s="139"/>
    </row>
    <row r="96" spans="1:72" s="140" customFormat="1" ht="15.75" customHeight="1" x14ac:dyDescent="0.2">
      <c r="A96" s="82"/>
      <c r="B96" s="83"/>
      <c r="C96" s="101"/>
      <c r="D96" s="84"/>
      <c r="E96" s="84"/>
      <c r="F96" s="94"/>
      <c r="G96" s="141">
        <f>SUM(G97:G100)</f>
        <v>3839.28</v>
      </c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39"/>
      <c r="Z96" s="139"/>
      <c r="AA96" s="139"/>
      <c r="AB96" s="139"/>
      <c r="AC96" s="139"/>
      <c r="AD96" s="139"/>
      <c r="AE96" s="139"/>
      <c r="AF96" s="139"/>
      <c r="AG96" s="139"/>
      <c r="AH96" s="139"/>
      <c r="AI96" s="139"/>
      <c r="AJ96" s="139"/>
      <c r="AK96" s="139"/>
      <c r="AL96" s="139"/>
      <c r="AM96" s="139"/>
      <c r="AN96" s="139"/>
      <c r="AO96" s="139"/>
      <c r="AP96" s="139"/>
      <c r="AQ96" s="139"/>
      <c r="AR96" s="139"/>
      <c r="AS96" s="139"/>
      <c r="AT96" s="139"/>
      <c r="AU96" s="139"/>
      <c r="AV96" s="139"/>
      <c r="AW96" s="139"/>
      <c r="AX96" s="139"/>
      <c r="AY96" s="139"/>
      <c r="AZ96" s="139"/>
      <c r="BA96" s="139"/>
      <c r="BB96" s="139"/>
      <c r="BC96" s="139"/>
      <c r="BD96" s="139"/>
      <c r="BE96" s="139"/>
      <c r="BF96" s="139"/>
      <c r="BG96" s="139"/>
      <c r="BH96" s="139"/>
      <c r="BI96" s="139"/>
      <c r="BJ96" s="139"/>
      <c r="BK96" s="139"/>
      <c r="BL96" s="139"/>
      <c r="BM96" s="139"/>
      <c r="BN96" s="139"/>
      <c r="BO96" s="139"/>
      <c r="BP96" s="139"/>
      <c r="BQ96" s="139"/>
      <c r="BR96" s="139"/>
      <c r="BS96" s="139"/>
      <c r="BT96" s="139"/>
    </row>
    <row r="97" spans="1:72" s="140" customFormat="1" ht="15.75" customHeight="1" x14ac:dyDescent="0.2">
      <c r="A97" s="82"/>
      <c r="B97" s="83"/>
      <c r="C97" s="101"/>
      <c r="D97" s="84"/>
      <c r="E97" s="84" t="s">
        <v>40</v>
      </c>
      <c r="F97" s="94" t="s">
        <v>59</v>
      </c>
      <c r="G97" s="95">
        <f>357.32</f>
        <v>357.32</v>
      </c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  <c r="AG97" s="139"/>
      <c r="AH97" s="139"/>
      <c r="AI97" s="139"/>
      <c r="AJ97" s="139"/>
      <c r="AK97" s="139"/>
      <c r="AL97" s="139"/>
      <c r="AM97" s="139"/>
      <c r="AN97" s="139"/>
      <c r="AO97" s="139"/>
      <c r="AP97" s="139"/>
      <c r="AQ97" s="139"/>
      <c r="AR97" s="139"/>
      <c r="AS97" s="139"/>
      <c r="AT97" s="139"/>
      <c r="AU97" s="139"/>
      <c r="AV97" s="139"/>
      <c r="AW97" s="139"/>
      <c r="AX97" s="139"/>
      <c r="AY97" s="139"/>
      <c r="AZ97" s="139"/>
      <c r="BA97" s="139"/>
      <c r="BB97" s="139"/>
      <c r="BC97" s="139"/>
      <c r="BD97" s="139"/>
      <c r="BE97" s="139"/>
      <c r="BF97" s="139"/>
      <c r="BG97" s="139"/>
      <c r="BH97" s="139"/>
      <c r="BI97" s="139"/>
      <c r="BJ97" s="139"/>
      <c r="BK97" s="139"/>
      <c r="BL97" s="139"/>
      <c r="BM97" s="139"/>
      <c r="BN97" s="139"/>
      <c r="BO97" s="139"/>
      <c r="BP97" s="139"/>
      <c r="BQ97" s="139"/>
      <c r="BR97" s="139"/>
      <c r="BS97" s="139"/>
      <c r="BT97" s="139"/>
    </row>
    <row r="98" spans="1:72" s="140" customFormat="1" ht="15.75" customHeight="1" x14ac:dyDescent="0.2">
      <c r="A98" s="82"/>
      <c r="B98" s="83"/>
      <c r="C98" s="101"/>
      <c r="D98" s="84"/>
      <c r="E98" s="84" t="s">
        <v>69</v>
      </c>
      <c r="F98" s="94" t="s">
        <v>59</v>
      </c>
      <c r="G98" s="95">
        <f>55-55</f>
        <v>0</v>
      </c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39"/>
      <c r="Z98" s="139"/>
      <c r="AA98" s="139"/>
      <c r="AB98" s="139"/>
      <c r="AC98" s="139"/>
      <c r="AD98" s="139"/>
      <c r="AE98" s="139"/>
      <c r="AF98" s="139"/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  <c r="AQ98" s="139"/>
      <c r="AR98" s="139"/>
      <c r="AS98" s="139"/>
      <c r="AT98" s="139"/>
      <c r="AU98" s="139"/>
      <c r="AV98" s="139"/>
      <c r="AW98" s="139"/>
      <c r="AX98" s="139"/>
      <c r="AY98" s="139"/>
      <c r="AZ98" s="139"/>
      <c r="BA98" s="139"/>
      <c r="BB98" s="139"/>
      <c r="BC98" s="139"/>
      <c r="BD98" s="139"/>
      <c r="BE98" s="139"/>
      <c r="BF98" s="139"/>
      <c r="BG98" s="139"/>
      <c r="BH98" s="139"/>
      <c r="BI98" s="139"/>
      <c r="BJ98" s="139"/>
      <c r="BK98" s="139"/>
      <c r="BL98" s="139"/>
      <c r="BM98" s="139"/>
      <c r="BN98" s="139"/>
      <c r="BO98" s="139"/>
      <c r="BP98" s="139"/>
      <c r="BQ98" s="139"/>
      <c r="BR98" s="139"/>
      <c r="BS98" s="139"/>
      <c r="BT98" s="139"/>
    </row>
    <row r="99" spans="1:72" s="140" customFormat="1" ht="15.75" customHeight="1" x14ac:dyDescent="0.2">
      <c r="A99" s="82"/>
      <c r="B99" s="83"/>
      <c r="C99" s="101"/>
      <c r="D99" s="84"/>
      <c r="E99" s="84" t="s">
        <v>81</v>
      </c>
      <c r="F99" s="94" t="s">
        <v>59</v>
      </c>
      <c r="G99" s="95">
        <f>1562.39+768.26-222.03+770.82</f>
        <v>2879.44</v>
      </c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39"/>
      <c r="Z99" s="139"/>
      <c r="AA99" s="139"/>
      <c r="AB99" s="139"/>
      <c r="AC99" s="139"/>
      <c r="AD99" s="139"/>
      <c r="AE99" s="139"/>
      <c r="AF99" s="139"/>
      <c r="AG99" s="139"/>
      <c r="AH99" s="139"/>
      <c r="AI99" s="139"/>
      <c r="AJ99" s="139"/>
      <c r="AK99" s="139"/>
      <c r="AL99" s="139"/>
      <c r="AM99" s="139"/>
      <c r="AN99" s="139"/>
      <c r="AO99" s="139"/>
      <c r="AP99" s="139"/>
      <c r="AQ99" s="139"/>
      <c r="AR99" s="139"/>
      <c r="AS99" s="139"/>
      <c r="AT99" s="139"/>
      <c r="AU99" s="139"/>
      <c r="AV99" s="139"/>
      <c r="AW99" s="139"/>
      <c r="AX99" s="139"/>
      <c r="AY99" s="139"/>
      <c r="AZ99" s="139"/>
      <c r="BA99" s="139"/>
      <c r="BB99" s="139"/>
      <c r="BC99" s="139"/>
      <c r="BD99" s="139"/>
      <c r="BE99" s="139"/>
      <c r="BF99" s="139"/>
      <c r="BG99" s="139"/>
      <c r="BH99" s="139"/>
      <c r="BI99" s="139"/>
      <c r="BJ99" s="139"/>
      <c r="BK99" s="139"/>
      <c r="BL99" s="139"/>
      <c r="BM99" s="139"/>
      <c r="BN99" s="139"/>
      <c r="BO99" s="139"/>
      <c r="BP99" s="139"/>
      <c r="BQ99" s="139"/>
      <c r="BR99" s="139"/>
      <c r="BS99" s="139"/>
      <c r="BT99" s="139"/>
    </row>
    <row r="100" spans="1:72" s="140" customFormat="1" ht="15.75" customHeight="1" x14ac:dyDescent="0.2">
      <c r="A100" s="82"/>
      <c r="B100" s="83"/>
      <c r="C100" s="101"/>
      <c r="D100" s="84"/>
      <c r="E100" s="84" t="s">
        <v>70</v>
      </c>
      <c r="F100" s="94" t="s">
        <v>59</v>
      </c>
      <c r="G100" s="95">
        <f>306.66+187.76-80.29+188.39</f>
        <v>602.52</v>
      </c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/>
      <c r="AF100" s="139"/>
      <c r="AG100" s="139"/>
      <c r="AH100" s="139"/>
      <c r="AI100" s="139"/>
      <c r="AJ100" s="139"/>
      <c r="AK100" s="139"/>
      <c r="AL100" s="139"/>
      <c r="AM100" s="139"/>
      <c r="AN100" s="139"/>
      <c r="AO100" s="139"/>
      <c r="AP100" s="139"/>
      <c r="AQ100" s="139"/>
      <c r="AR100" s="139"/>
      <c r="AS100" s="139"/>
      <c r="AT100" s="139"/>
      <c r="AU100" s="139"/>
      <c r="AV100" s="139"/>
      <c r="AW100" s="139"/>
      <c r="AX100" s="139"/>
      <c r="AY100" s="139"/>
      <c r="AZ100" s="139"/>
      <c r="BA100" s="139"/>
      <c r="BB100" s="139"/>
      <c r="BC100" s="139"/>
      <c r="BD100" s="139"/>
      <c r="BE100" s="139"/>
      <c r="BF100" s="139"/>
      <c r="BG100" s="139"/>
      <c r="BH100" s="139"/>
      <c r="BI100" s="139"/>
      <c r="BJ100" s="139"/>
      <c r="BK100" s="139"/>
      <c r="BL100" s="139"/>
      <c r="BM100" s="139"/>
      <c r="BN100" s="139"/>
      <c r="BO100" s="139"/>
      <c r="BP100" s="139"/>
      <c r="BQ100" s="139"/>
      <c r="BR100" s="139"/>
      <c r="BS100" s="139"/>
      <c r="BT100" s="139"/>
    </row>
    <row r="101" spans="1:72" s="140" customFormat="1" ht="15.75" customHeight="1" x14ac:dyDescent="0.2">
      <c r="A101" s="82"/>
      <c r="B101" s="83"/>
      <c r="C101" s="101"/>
      <c r="D101" s="84"/>
      <c r="E101" s="84"/>
      <c r="F101" s="94"/>
      <c r="G101" s="95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/>
      <c r="AF101" s="139"/>
      <c r="AG101" s="139"/>
      <c r="AH101" s="139"/>
      <c r="AI101" s="139"/>
      <c r="AJ101" s="139"/>
      <c r="AK101" s="139"/>
      <c r="AL101" s="139"/>
      <c r="AM101" s="139"/>
      <c r="AN101" s="139"/>
      <c r="AO101" s="139"/>
      <c r="AP101" s="139"/>
      <c r="AQ101" s="139"/>
      <c r="AR101" s="139"/>
      <c r="AS101" s="139"/>
      <c r="AT101" s="139"/>
      <c r="AU101" s="139"/>
      <c r="AV101" s="139"/>
      <c r="AW101" s="139"/>
      <c r="AX101" s="139"/>
      <c r="AY101" s="139"/>
      <c r="AZ101" s="139"/>
      <c r="BA101" s="139"/>
      <c r="BB101" s="139"/>
      <c r="BC101" s="139"/>
      <c r="BD101" s="139"/>
      <c r="BE101" s="139"/>
      <c r="BF101" s="139"/>
      <c r="BG101" s="139"/>
      <c r="BH101" s="139"/>
      <c r="BI101" s="139"/>
      <c r="BJ101" s="139"/>
      <c r="BK101" s="139"/>
      <c r="BL101" s="139"/>
      <c r="BM101" s="139"/>
      <c r="BN101" s="139"/>
      <c r="BO101" s="139"/>
      <c r="BP101" s="139"/>
      <c r="BQ101" s="139"/>
      <c r="BR101" s="139"/>
      <c r="BS101" s="139"/>
      <c r="BT101" s="139"/>
    </row>
    <row r="102" spans="1:72" s="140" customFormat="1" ht="15.75" customHeight="1" x14ac:dyDescent="0.2">
      <c r="A102" s="82"/>
      <c r="B102" s="142" t="s">
        <v>37</v>
      </c>
      <c r="C102" s="84" t="s">
        <v>79</v>
      </c>
      <c r="D102" s="84" t="s">
        <v>87</v>
      </c>
      <c r="E102" s="90" t="s">
        <v>59</v>
      </c>
      <c r="F102" s="91" t="s">
        <v>59</v>
      </c>
      <c r="G102" s="92">
        <f>SUM(G104)</f>
        <v>77929.69</v>
      </c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139"/>
      <c r="AJ102" s="139"/>
      <c r="AK102" s="139"/>
      <c r="AL102" s="139"/>
      <c r="AM102" s="139"/>
      <c r="AN102" s="139"/>
      <c r="AO102" s="139"/>
      <c r="AP102" s="139"/>
      <c r="AQ102" s="139"/>
      <c r="AR102" s="139"/>
      <c r="AS102" s="139"/>
      <c r="AT102" s="139"/>
      <c r="AU102" s="139"/>
      <c r="AV102" s="139"/>
      <c r="AW102" s="139"/>
      <c r="AX102" s="139"/>
      <c r="AY102" s="139"/>
      <c r="AZ102" s="139"/>
      <c r="BA102" s="139"/>
      <c r="BB102" s="139"/>
      <c r="BC102" s="139"/>
      <c r="BD102" s="139"/>
      <c r="BE102" s="139"/>
      <c r="BF102" s="139"/>
      <c r="BG102" s="139"/>
      <c r="BH102" s="139"/>
      <c r="BI102" s="139"/>
      <c r="BJ102" s="139"/>
      <c r="BK102" s="139"/>
      <c r="BL102" s="139"/>
      <c r="BM102" s="139"/>
      <c r="BN102" s="139"/>
      <c r="BO102" s="139"/>
      <c r="BP102" s="139"/>
      <c r="BQ102" s="139"/>
      <c r="BR102" s="139"/>
      <c r="BS102" s="139"/>
      <c r="BT102" s="139"/>
    </row>
    <row r="103" spans="1:72" s="140" customFormat="1" ht="12.75" customHeight="1" x14ac:dyDescent="0.2">
      <c r="A103" s="82"/>
      <c r="B103" s="83"/>
      <c r="C103" s="101"/>
      <c r="D103" s="84"/>
      <c r="E103" s="84"/>
      <c r="F103" s="94"/>
      <c r="G103" s="95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Z103" s="139"/>
      <c r="AA103" s="139"/>
      <c r="AB103" s="139"/>
      <c r="AC103" s="139"/>
      <c r="AD103" s="139"/>
      <c r="AE103" s="139"/>
      <c r="AF103" s="139"/>
      <c r="AG103" s="139"/>
      <c r="AH103" s="139"/>
      <c r="AI103" s="139"/>
      <c r="AJ103" s="139"/>
      <c r="AK103" s="139"/>
      <c r="AL103" s="139"/>
      <c r="AM103" s="139"/>
      <c r="AN103" s="139"/>
      <c r="AO103" s="139"/>
      <c r="AP103" s="139"/>
      <c r="AQ103" s="139"/>
      <c r="AR103" s="139"/>
      <c r="AS103" s="139"/>
      <c r="AT103" s="139"/>
      <c r="AU103" s="139"/>
      <c r="AV103" s="139"/>
      <c r="AW103" s="139"/>
      <c r="AX103" s="139"/>
      <c r="AY103" s="139"/>
      <c r="AZ103" s="139"/>
      <c r="BA103" s="139"/>
      <c r="BB103" s="139"/>
      <c r="BC103" s="139"/>
      <c r="BD103" s="139"/>
      <c r="BE103" s="139"/>
      <c r="BF103" s="139"/>
      <c r="BG103" s="139"/>
      <c r="BH103" s="139"/>
      <c r="BI103" s="139"/>
      <c r="BJ103" s="139"/>
      <c r="BK103" s="139"/>
      <c r="BL103" s="139"/>
      <c r="BM103" s="139"/>
      <c r="BN103" s="139"/>
      <c r="BO103" s="139"/>
      <c r="BP103" s="139"/>
      <c r="BQ103" s="139"/>
      <c r="BR103" s="139"/>
      <c r="BS103" s="139"/>
      <c r="BT103" s="139"/>
    </row>
    <row r="104" spans="1:72" s="140" customFormat="1" ht="15.75" customHeight="1" x14ac:dyDescent="0.2">
      <c r="A104" s="82"/>
      <c r="B104" s="83"/>
      <c r="C104" s="101"/>
      <c r="D104" s="84"/>
      <c r="E104" s="84"/>
      <c r="F104" s="94"/>
      <c r="G104" s="141">
        <f>SUM(G105:G109)</f>
        <v>77929.69</v>
      </c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39"/>
      <c r="AW104" s="139"/>
      <c r="AX104" s="139"/>
      <c r="AY104" s="139"/>
      <c r="AZ104" s="139"/>
      <c r="BA104" s="139"/>
      <c r="BB104" s="139"/>
      <c r="BC104" s="139"/>
      <c r="BD104" s="139"/>
      <c r="BE104" s="139"/>
      <c r="BF104" s="139"/>
      <c r="BG104" s="139"/>
      <c r="BH104" s="139"/>
      <c r="BI104" s="139"/>
      <c r="BJ104" s="139"/>
      <c r="BK104" s="139"/>
      <c r="BL104" s="139"/>
      <c r="BM104" s="139"/>
      <c r="BN104" s="139"/>
      <c r="BO104" s="139"/>
      <c r="BP104" s="139"/>
      <c r="BQ104" s="139"/>
      <c r="BR104" s="139"/>
      <c r="BS104" s="139"/>
      <c r="BT104" s="139"/>
    </row>
    <row r="105" spans="1:72" s="140" customFormat="1" ht="15.75" customHeight="1" x14ac:dyDescent="0.2">
      <c r="A105" s="82"/>
      <c r="B105" s="83"/>
      <c r="C105" s="101"/>
      <c r="D105" s="84"/>
      <c r="E105" s="84" t="s">
        <v>40</v>
      </c>
      <c r="F105" s="94" t="s">
        <v>59</v>
      </c>
      <c r="G105" s="95">
        <f>1500+20459</f>
        <v>21959</v>
      </c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39"/>
      <c r="AA105" s="139"/>
      <c r="AB105" s="139"/>
      <c r="AC105" s="139"/>
      <c r="AD105" s="139"/>
      <c r="AE105" s="139"/>
      <c r="AF105" s="139"/>
      <c r="AG105" s="139"/>
      <c r="AH105" s="139"/>
      <c r="AI105" s="139"/>
      <c r="AJ105" s="139"/>
      <c r="AK105" s="139"/>
      <c r="AL105" s="139"/>
      <c r="AM105" s="139"/>
      <c r="AN105" s="139"/>
      <c r="AO105" s="139"/>
      <c r="AP105" s="139"/>
      <c r="AQ105" s="139"/>
      <c r="AR105" s="139"/>
      <c r="AS105" s="139"/>
      <c r="AT105" s="139"/>
      <c r="AU105" s="139"/>
      <c r="AV105" s="139"/>
      <c r="AW105" s="139"/>
      <c r="AX105" s="139"/>
      <c r="AY105" s="139"/>
      <c r="AZ105" s="139"/>
      <c r="BA105" s="139"/>
      <c r="BB105" s="139"/>
      <c r="BC105" s="139"/>
      <c r="BD105" s="139"/>
      <c r="BE105" s="139"/>
      <c r="BF105" s="139"/>
      <c r="BG105" s="139"/>
      <c r="BH105" s="139"/>
      <c r="BI105" s="139"/>
      <c r="BJ105" s="139"/>
      <c r="BK105" s="139"/>
      <c r="BL105" s="139"/>
      <c r="BM105" s="139"/>
      <c r="BN105" s="139"/>
      <c r="BO105" s="139"/>
      <c r="BP105" s="139"/>
      <c r="BQ105" s="139"/>
      <c r="BR105" s="139"/>
      <c r="BS105" s="139"/>
      <c r="BT105" s="139"/>
    </row>
    <row r="106" spans="1:72" s="140" customFormat="1" ht="15.75" customHeight="1" x14ac:dyDescent="0.2">
      <c r="A106" s="82"/>
      <c r="B106" s="83"/>
      <c r="C106" s="101"/>
      <c r="D106" s="84"/>
      <c r="E106" s="84" t="s">
        <v>64</v>
      </c>
      <c r="F106" s="94" t="s">
        <v>59</v>
      </c>
      <c r="G106" s="95">
        <f>167.03</f>
        <v>167.03</v>
      </c>
      <c r="H106" s="139"/>
      <c r="I106" s="139"/>
      <c r="J106" s="139"/>
      <c r="K106" s="139"/>
      <c r="L106" s="139"/>
      <c r="M106" s="139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39"/>
      <c r="AA106" s="139"/>
      <c r="AB106" s="139"/>
      <c r="AC106" s="139"/>
      <c r="AD106" s="139"/>
      <c r="AE106" s="139"/>
      <c r="AF106" s="139"/>
      <c r="AG106" s="139"/>
      <c r="AH106" s="139"/>
      <c r="AI106" s="139"/>
      <c r="AJ106" s="139"/>
      <c r="AK106" s="139"/>
      <c r="AL106" s="139"/>
      <c r="AM106" s="139"/>
      <c r="AN106" s="139"/>
      <c r="AO106" s="139"/>
      <c r="AP106" s="139"/>
      <c r="AQ106" s="139"/>
      <c r="AR106" s="139"/>
      <c r="AS106" s="139"/>
      <c r="AT106" s="139"/>
      <c r="AU106" s="139"/>
      <c r="AV106" s="139"/>
      <c r="AW106" s="139"/>
      <c r="AX106" s="139"/>
      <c r="AY106" s="139"/>
      <c r="AZ106" s="139"/>
      <c r="BA106" s="139"/>
      <c r="BB106" s="139"/>
      <c r="BC106" s="139"/>
      <c r="BD106" s="139"/>
      <c r="BE106" s="139"/>
      <c r="BF106" s="139"/>
      <c r="BG106" s="139"/>
      <c r="BH106" s="139"/>
      <c r="BI106" s="139"/>
      <c r="BJ106" s="139"/>
      <c r="BK106" s="139"/>
      <c r="BL106" s="139"/>
      <c r="BM106" s="139"/>
      <c r="BN106" s="139"/>
      <c r="BO106" s="139"/>
      <c r="BP106" s="139"/>
      <c r="BQ106" s="139"/>
      <c r="BR106" s="139"/>
      <c r="BS106" s="139"/>
      <c r="BT106" s="139"/>
    </row>
    <row r="107" spans="1:72" s="140" customFormat="1" ht="15.75" customHeight="1" x14ac:dyDescent="0.2">
      <c r="A107" s="82"/>
      <c r="B107" s="83"/>
      <c r="C107" s="101"/>
      <c r="D107" s="84"/>
      <c r="E107" s="84" t="s">
        <v>81</v>
      </c>
      <c r="F107" s="94" t="s">
        <v>59</v>
      </c>
      <c r="G107" s="95">
        <f>13343.1+22918.28+12450.95-19756.38+12141.03</f>
        <v>41096.980000000003</v>
      </c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  <c r="Z107" s="139"/>
      <c r="AA107" s="139"/>
      <c r="AB107" s="139"/>
      <c r="AC107" s="139"/>
      <c r="AD107" s="139"/>
      <c r="AE107" s="139"/>
      <c r="AF107" s="139"/>
      <c r="AG107" s="139"/>
      <c r="AH107" s="139"/>
      <c r="AI107" s="139"/>
      <c r="AJ107" s="139"/>
      <c r="AK107" s="139"/>
      <c r="AL107" s="139"/>
      <c r="AM107" s="139"/>
      <c r="AN107" s="139"/>
      <c r="AO107" s="139"/>
      <c r="AP107" s="139"/>
      <c r="AQ107" s="139"/>
      <c r="AR107" s="139"/>
      <c r="AS107" s="139"/>
      <c r="AT107" s="139"/>
      <c r="AU107" s="139"/>
      <c r="AV107" s="139"/>
      <c r="AW107" s="139"/>
      <c r="AX107" s="139"/>
      <c r="AY107" s="139"/>
      <c r="AZ107" s="139"/>
      <c r="BA107" s="139"/>
      <c r="BB107" s="139"/>
      <c r="BC107" s="139"/>
      <c r="BD107" s="139"/>
      <c r="BE107" s="139"/>
      <c r="BF107" s="139"/>
      <c r="BG107" s="139"/>
      <c r="BH107" s="139"/>
      <c r="BI107" s="139"/>
      <c r="BJ107" s="139"/>
      <c r="BK107" s="139"/>
      <c r="BL107" s="139"/>
      <c r="BM107" s="139"/>
      <c r="BN107" s="139"/>
      <c r="BO107" s="139"/>
      <c r="BP107" s="139"/>
      <c r="BQ107" s="139"/>
      <c r="BR107" s="139"/>
      <c r="BS107" s="139"/>
      <c r="BT107" s="139"/>
    </row>
    <row r="108" spans="1:72" s="140" customFormat="1" ht="15.75" customHeight="1" x14ac:dyDescent="0.2">
      <c r="A108" s="82"/>
      <c r="B108" s="83"/>
      <c r="C108" s="101"/>
      <c r="D108" s="84"/>
      <c r="E108" s="84" t="s">
        <v>70</v>
      </c>
      <c r="F108" s="94" t="s">
        <v>59</v>
      </c>
      <c r="G108" s="95">
        <f>4235+5331.27+3043.01-3894.55+2967.05</f>
        <v>11681.779999999999</v>
      </c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/>
      <c r="AF108" s="139"/>
      <c r="AG108" s="139"/>
      <c r="AH108" s="139"/>
      <c r="AI108" s="139"/>
      <c r="AJ108" s="139"/>
      <c r="AK108" s="139"/>
      <c r="AL108" s="139"/>
      <c r="AM108" s="139"/>
      <c r="AN108" s="139"/>
      <c r="AO108" s="139"/>
      <c r="AP108" s="139"/>
      <c r="AQ108" s="139"/>
      <c r="AR108" s="139"/>
      <c r="AS108" s="139"/>
      <c r="AT108" s="139"/>
      <c r="AU108" s="139"/>
      <c r="AV108" s="139"/>
      <c r="AW108" s="139"/>
      <c r="AX108" s="139"/>
      <c r="AY108" s="139"/>
      <c r="AZ108" s="139"/>
      <c r="BA108" s="139"/>
      <c r="BB108" s="139"/>
      <c r="BC108" s="139"/>
      <c r="BD108" s="139"/>
      <c r="BE108" s="139"/>
      <c r="BF108" s="139"/>
      <c r="BG108" s="139"/>
      <c r="BH108" s="139"/>
      <c r="BI108" s="139"/>
      <c r="BJ108" s="139"/>
      <c r="BK108" s="139"/>
      <c r="BL108" s="139"/>
      <c r="BM108" s="139"/>
      <c r="BN108" s="139"/>
      <c r="BO108" s="139"/>
      <c r="BP108" s="139"/>
      <c r="BQ108" s="139"/>
      <c r="BR108" s="139"/>
      <c r="BS108" s="139"/>
      <c r="BT108" s="139"/>
    </row>
    <row r="109" spans="1:72" s="140" customFormat="1" ht="15.75" customHeight="1" x14ac:dyDescent="0.2">
      <c r="A109" s="82"/>
      <c r="B109" s="83"/>
      <c r="C109" s="101"/>
      <c r="D109" s="84"/>
      <c r="E109" s="84" t="s">
        <v>102</v>
      </c>
      <c r="F109" s="94" t="s">
        <v>59</v>
      </c>
      <c r="G109" s="95">
        <f>3024.9</f>
        <v>3024.9</v>
      </c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/>
      <c r="AF109" s="139"/>
      <c r="AG109" s="139"/>
      <c r="AH109" s="139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39"/>
      <c r="AU109" s="139"/>
      <c r="AV109" s="139"/>
      <c r="AW109" s="139"/>
      <c r="AX109" s="139"/>
      <c r="AY109" s="139"/>
      <c r="AZ109" s="139"/>
      <c r="BA109" s="139"/>
      <c r="BB109" s="139"/>
      <c r="BC109" s="139"/>
      <c r="BD109" s="139"/>
      <c r="BE109" s="139"/>
      <c r="BF109" s="139"/>
      <c r="BG109" s="139"/>
      <c r="BH109" s="139"/>
      <c r="BI109" s="139"/>
      <c r="BJ109" s="139"/>
      <c r="BK109" s="139"/>
      <c r="BL109" s="139"/>
      <c r="BM109" s="139"/>
      <c r="BN109" s="139"/>
      <c r="BO109" s="139"/>
      <c r="BP109" s="139"/>
      <c r="BQ109" s="139"/>
      <c r="BR109" s="139"/>
      <c r="BS109" s="139"/>
      <c r="BT109" s="139"/>
    </row>
    <row r="110" spans="1:72" s="140" customFormat="1" ht="10.5" customHeight="1" x14ac:dyDescent="0.2">
      <c r="A110" s="96"/>
      <c r="B110" s="97"/>
      <c r="C110" s="98"/>
      <c r="D110" s="85"/>
      <c r="E110" s="85"/>
      <c r="F110" s="87"/>
      <c r="G110" s="99"/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39"/>
      <c r="AA110" s="139"/>
      <c r="AB110" s="139"/>
      <c r="AC110" s="139"/>
      <c r="AD110" s="139"/>
      <c r="AE110" s="139"/>
      <c r="AF110" s="139"/>
      <c r="AG110" s="139"/>
      <c r="AH110" s="139"/>
      <c r="AI110" s="139"/>
      <c r="AJ110" s="139"/>
      <c r="AK110" s="139"/>
      <c r="AL110" s="139"/>
      <c r="AM110" s="139"/>
      <c r="AN110" s="139"/>
      <c r="AO110" s="139"/>
      <c r="AP110" s="139"/>
      <c r="AQ110" s="139"/>
      <c r="AR110" s="139"/>
      <c r="AS110" s="139"/>
      <c r="AT110" s="139"/>
      <c r="AU110" s="139"/>
      <c r="AV110" s="139"/>
      <c r="AW110" s="139"/>
      <c r="AX110" s="139"/>
      <c r="AY110" s="139"/>
      <c r="AZ110" s="139"/>
      <c r="BA110" s="139"/>
      <c r="BB110" s="139"/>
      <c r="BC110" s="139"/>
      <c r="BD110" s="139"/>
      <c r="BE110" s="139"/>
      <c r="BF110" s="139"/>
      <c r="BG110" s="139"/>
      <c r="BH110" s="139"/>
      <c r="BI110" s="139"/>
      <c r="BJ110" s="139"/>
      <c r="BK110" s="139"/>
      <c r="BL110" s="139"/>
      <c r="BM110" s="139"/>
      <c r="BN110" s="139"/>
      <c r="BO110" s="139"/>
      <c r="BP110" s="139"/>
      <c r="BQ110" s="139"/>
      <c r="BR110" s="139"/>
      <c r="BS110" s="139"/>
      <c r="BT110" s="139"/>
    </row>
    <row r="111" spans="1:72" s="140" customFormat="1" ht="19.5" customHeight="1" x14ac:dyDescent="0.2">
      <c r="A111" s="82"/>
      <c r="B111" s="142" t="s">
        <v>37</v>
      </c>
      <c r="C111" s="84" t="s">
        <v>79</v>
      </c>
      <c r="D111" s="84" t="s">
        <v>88</v>
      </c>
      <c r="E111" s="85" t="s">
        <v>59</v>
      </c>
      <c r="F111" s="87" t="s">
        <v>59</v>
      </c>
      <c r="G111" s="86">
        <f>SUM(G113)</f>
        <v>10028.529999999999</v>
      </c>
      <c r="H111" s="139"/>
      <c r="I111" s="139"/>
      <c r="J111" s="139"/>
      <c r="K111" s="139"/>
      <c r="L111" s="139"/>
      <c r="M111" s="139"/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39"/>
      <c r="AA111" s="139"/>
      <c r="AB111" s="139"/>
      <c r="AC111" s="139"/>
      <c r="AD111" s="139"/>
      <c r="AE111" s="139"/>
      <c r="AF111" s="139"/>
      <c r="AG111" s="139"/>
      <c r="AH111" s="139"/>
      <c r="AI111" s="139"/>
      <c r="AJ111" s="139"/>
      <c r="AK111" s="139"/>
      <c r="AL111" s="139"/>
      <c r="AM111" s="139"/>
      <c r="AN111" s="139"/>
      <c r="AO111" s="139"/>
      <c r="AP111" s="139"/>
      <c r="AQ111" s="139"/>
      <c r="AR111" s="139"/>
      <c r="AS111" s="139"/>
      <c r="AT111" s="139"/>
      <c r="AU111" s="139"/>
      <c r="AV111" s="139"/>
      <c r="AW111" s="139"/>
      <c r="AX111" s="139"/>
      <c r="AY111" s="139"/>
      <c r="AZ111" s="139"/>
      <c r="BA111" s="139"/>
      <c r="BB111" s="139"/>
      <c r="BC111" s="139"/>
      <c r="BD111" s="139"/>
      <c r="BE111" s="139"/>
      <c r="BF111" s="139"/>
      <c r="BG111" s="139"/>
      <c r="BH111" s="139"/>
      <c r="BI111" s="139"/>
      <c r="BJ111" s="139"/>
      <c r="BK111" s="139"/>
      <c r="BL111" s="139"/>
      <c r="BM111" s="139"/>
      <c r="BN111" s="139"/>
      <c r="BO111" s="139"/>
      <c r="BP111" s="139"/>
      <c r="BQ111" s="139"/>
      <c r="BR111" s="139"/>
      <c r="BS111" s="139"/>
      <c r="BT111" s="139"/>
    </row>
    <row r="112" spans="1:72" s="140" customFormat="1" ht="9" customHeight="1" x14ac:dyDescent="0.2">
      <c r="A112" s="82"/>
      <c r="B112" s="83"/>
      <c r="C112" s="101"/>
      <c r="D112" s="84"/>
      <c r="E112" s="84"/>
      <c r="F112" s="94"/>
      <c r="G112" s="95"/>
      <c r="H112" s="139"/>
      <c r="I112" s="139"/>
      <c r="J112" s="139"/>
      <c r="K112" s="139"/>
      <c r="L112" s="139"/>
      <c r="M112" s="139"/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39"/>
      <c r="AA112" s="139"/>
      <c r="AB112" s="139"/>
      <c r="AC112" s="139"/>
      <c r="AD112" s="139"/>
      <c r="AE112" s="139"/>
      <c r="AF112" s="139"/>
      <c r="AG112" s="139"/>
      <c r="AH112" s="139"/>
      <c r="AI112" s="139"/>
      <c r="AJ112" s="139"/>
      <c r="AK112" s="139"/>
      <c r="AL112" s="139"/>
      <c r="AM112" s="139"/>
      <c r="AN112" s="139"/>
      <c r="AO112" s="139"/>
      <c r="AP112" s="139"/>
      <c r="AQ112" s="139"/>
      <c r="AR112" s="139"/>
      <c r="AS112" s="139"/>
      <c r="AT112" s="139"/>
      <c r="AU112" s="139"/>
      <c r="AV112" s="139"/>
      <c r="AW112" s="139"/>
      <c r="AX112" s="139"/>
      <c r="AY112" s="139"/>
      <c r="AZ112" s="139"/>
      <c r="BA112" s="139"/>
      <c r="BB112" s="139"/>
      <c r="BC112" s="139"/>
      <c r="BD112" s="139"/>
      <c r="BE112" s="139"/>
      <c r="BF112" s="139"/>
      <c r="BG112" s="139"/>
      <c r="BH112" s="139"/>
      <c r="BI112" s="139"/>
      <c r="BJ112" s="139"/>
      <c r="BK112" s="139"/>
      <c r="BL112" s="139"/>
      <c r="BM112" s="139"/>
      <c r="BN112" s="139"/>
      <c r="BO112" s="139"/>
      <c r="BP112" s="139"/>
      <c r="BQ112" s="139"/>
      <c r="BR112" s="139"/>
      <c r="BS112" s="139"/>
      <c r="BT112" s="139"/>
    </row>
    <row r="113" spans="1:72" s="140" customFormat="1" ht="15.75" customHeight="1" x14ac:dyDescent="0.2">
      <c r="A113" s="82"/>
      <c r="B113" s="83"/>
      <c r="C113" s="101"/>
      <c r="D113" s="84"/>
      <c r="E113" s="84"/>
      <c r="F113" s="94"/>
      <c r="G113" s="141">
        <f>SUM(G114:G117)</f>
        <v>10028.529999999999</v>
      </c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39"/>
      <c r="AA113" s="139"/>
      <c r="AB113" s="139"/>
      <c r="AC113" s="139"/>
      <c r="AD113" s="139"/>
      <c r="AE113" s="139"/>
      <c r="AF113" s="139"/>
      <c r="AG113" s="139"/>
      <c r="AH113" s="139"/>
      <c r="AI113" s="139"/>
      <c r="AJ113" s="139"/>
      <c r="AK113" s="139"/>
      <c r="AL113" s="139"/>
      <c r="AM113" s="139"/>
      <c r="AN113" s="139"/>
      <c r="AO113" s="139"/>
      <c r="AP113" s="139"/>
      <c r="AQ113" s="139"/>
      <c r="AR113" s="139"/>
      <c r="AS113" s="139"/>
      <c r="AT113" s="139"/>
      <c r="AU113" s="139"/>
      <c r="AV113" s="139"/>
      <c r="AW113" s="139"/>
      <c r="AX113" s="139"/>
      <c r="AY113" s="139"/>
      <c r="AZ113" s="139"/>
      <c r="BA113" s="139"/>
      <c r="BB113" s="139"/>
      <c r="BC113" s="139"/>
      <c r="BD113" s="139"/>
      <c r="BE113" s="139"/>
      <c r="BF113" s="139"/>
      <c r="BG113" s="139"/>
      <c r="BH113" s="139"/>
      <c r="BI113" s="139"/>
      <c r="BJ113" s="139"/>
      <c r="BK113" s="139"/>
      <c r="BL113" s="139"/>
      <c r="BM113" s="139"/>
      <c r="BN113" s="139"/>
      <c r="BO113" s="139"/>
      <c r="BP113" s="139"/>
      <c r="BQ113" s="139"/>
      <c r="BR113" s="139"/>
      <c r="BS113" s="139"/>
      <c r="BT113" s="139"/>
    </row>
    <row r="114" spans="1:72" s="140" customFormat="1" ht="15.75" customHeight="1" x14ac:dyDescent="0.2">
      <c r="A114" s="82"/>
      <c r="B114" s="83"/>
      <c r="C114" s="101"/>
      <c r="D114" s="84"/>
      <c r="E114" s="84" t="s">
        <v>40</v>
      </c>
      <c r="F114" s="94" t="s">
        <v>59</v>
      </c>
      <c r="G114" s="95">
        <f>35.28</f>
        <v>35.28</v>
      </c>
      <c r="H114" s="139"/>
      <c r="I114" s="139"/>
      <c r="J114" s="139"/>
      <c r="K114" s="139"/>
      <c r="L114" s="139"/>
      <c r="M114" s="139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39"/>
      <c r="AA114" s="139"/>
      <c r="AB114" s="139"/>
      <c r="AC114" s="139"/>
      <c r="AD114" s="139"/>
      <c r="AE114" s="139"/>
      <c r="AF114" s="139"/>
      <c r="AG114" s="139"/>
      <c r="AH114" s="139"/>
      <c r="AI114" s="139"/>
      <c r="AJ114" s="139"/>
      <c r="AK114" s="139"/>
      <c r="AL114" s="139"/>
      <c r="AM114" s="139"/>
      <c r="AN114" s="139"/>
      <c r="AO114" s="139"/>
      <c r="AP114" s="139"/>
      <c r="AQ114" s="139"/>
      <c r="AR114" s="139"/>
      <c r="AS114" s="139"/>
      <c r="AT114" s="139"/>
      <c r="AU114" s="139"/>
      <c r="AV114" s="139"/>
      <c r="AW114" s="139"/>
      <c r="AX114" s="139"/>
      <c r="AY114" s="139"/>
      <c r="AZ114" s="139"/>
      <c r="BA114" s="139"/>
      <c r="BB114" s="139"/>
      <c r="BC114" s="139"/>
      <c r="BD114" s="139"/>
      <c r="BE114" s="139"/>
      <c r="BF114" s="139"/>
      <c r="BG114" s="139"/>
      <c r="BH114" s="139"/>
      <c r="BI114" s="139"/>
      <c r="BJ114" s="139"/>
      <c r="BK114" s="139"/>
      <c r="BL114" s="139"/>
      <c r="BM114" s="139"/>
      <c r="BN114" s="139"/>
      <c r="BO114" s="139"/>
      <c r="BP114" s="139"/>
      <c r="BQ114" s="139"/>
      <c r="BR114" s="139"/>
      <c r="BS114" s="139"/>
      <c r="BT114" s="139"/>
    </row>
    <row r="115" spans="1:72" s="140" customFormat="1" ht="15.75" customHeight="1" x14ac:dyDescent="0.2">
      <c r="A115" s="82"/>
      <c r="B115" s="83"/>
      <c r="C115" s="101"/>
      <c r="D115" s="84"/>
      <c r="E115" s="84" t="s">
        <v>81</v>
      </c>
      <c r="F115" s="94" t="s">
        <v>59</v>
      </c>
      <c r="G115" s="95">
        <f>4177.13+1939.42-717+1944.54</f>
        <v>7344.09</v>
      </c>
      <c r="H115" s="139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39"/>
      <c r="AA115" s="139"/>
      <c r="AB115" s="139"/>
      <c r="AC115" s="139"/>
      <c r="AD115" s="139"/>
      <c r="AE115" s="139"/>
      <c r="AF115" s="139"/>
      <c r="AG115" s="139"/>
      <c r="AH115" s="139"/>
      <c r="AI115" s="139"/>
      <c r="AJ115" s="139"/>
      <c r="AK115" s="139"/>
      <c r="AL115" s="139"/>
      <c r="AM115" s="139"/>
      <c r="AN115" s="139"/>
      <c r="AO115" s="139"/>
      <c r="AP115" s="139"/>
      <c r="AQ115" s="139"/>
      <c r="AR115" s="139"/>
      <c r="AS115" s="139"/>
      <c r="AT115" s="139"/>
      <c r="AU115" s="139"/>
      <c r="AV115" s="139"/>
      <c r="AW115" s="139"/>
      <c r="AX115" s="139"/>
      <c r="AY115" s="139"/>
      <c r="AZ115" s="139"/>
      <c r="BA115" s="139"/>
      <c r="BB115" s="139"/>
      <c r="BC115" s="139"/>
      <c r="BD115" s="139"/>
      <c r="BE115" s="139"/>
      <c r="BF115" s="139"/>
      <c r="BG115" s="139"/>
      <c r="BH115" s="139"/>
      <c r="BI115" s="139"/>
      <c r="BJ115" s="139"/>
      <c r="BK115" s="139"/>
      <c r="BL115" s="139"/>
      <c r="BM115" s="139"/>
      <c r="BN115" s="139"/>
      <c r="BO115" s="139"/>
      <c r="BP115" s="139"/>
      <c r="BQ115" s="139"/>
      <c r="BR115" s="139"/>
      <c r="BS115" s="139"/>
      <c r="BT115" s="139"/>
    </row>
    <row r="116" spans="1:72" s="140" customFormat="1" ht="15.75" customHeight="1" x14ac:dyDescent="0.2">
      <c r="A116" s="82"/>
      <c r="B116" s="83"/>
      <c r="C116" s="101"/>
      <c r="D116" s="84"/>
      <c r="E116" s="84" t="s">
        <v>70</v>
      </c>
      <c r="F116" s="94" t="s">
        <v>59</v>
      </c>
      <c r="G116" s="95">
        <f>1018.21+473.99+475.24</f>
        <v>1967.44</v>
      </c>
      <c r="H116" s="139"/>
      <c r="I116" s="139"/>
      <c r="J116" s="139"/>
      <c r="K116" s="139"/>
      <c r="L116" s="139"/>
      <c r="M116" s="139"/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39"/>
      <c r="AA116" s="139"/>
      <c r="AB116" s="139"/>
      <c r="AC116" s="139"/>
      <c r="AD116" s="139"/>
      <c r="AE116" s="139"/>
      <c r="AF116" s="139"/>
      <c r="AG116" s="139"/>
      <c r="AH116" s="139"/>
      <c r="AI116" s="139"/>
      <c r="AJ116" s="139"/>
      <c r="AK116" s="139"/>
      <c r="AL116" s="139"/>
      <c r="AM116" s="139"/>
      <c r="AN116" s="139"/>
      <c r="AO116" s="139"/>
      <c r="AP116" s="139"/>
      <c r="AQ116" s="139"/>
      <c r="AR116" s="139"/>
      <c r="AS116" s="139"/>
      <c r="AT116" s="139"/>
      <c r="AU116" s="139"/>
      <c r="AV116" s="139"/>
      <c r="AW116" s="139"/>
      <c r="AX116" s="139"/>
      <c r="AY116" s="139"/>
      <c r="AZ116" s="139"/>
      <c r="BA116" s="139"/>
      <c r="BB116" s="139"/>
      <c r="BC116" s="139"/>
      <c r="BD116" s="139"/>
      <c r="BE116" s="139"/>
      <c r="BF116" s="139"/>
      <c r="BG116" s="139"/>
      <c r="BH116" s="139"/>
      <c r="BI116" s="139"/>
      <c r="BJ116" s="139"/>
      <c r="BK116" s="139"/>
      <c r="BL116" s="139"/>
      <c r="BM116" s="139"/>
      <c r="BN116" s="139"/>
      <c r="BO116" s="139"/>
      <c r="BP116" s="139"/>
      <c r="BQ116" s="139"/>
      <c r="BR116" s="139"/>
      <c r="BS116" s="139"/>
      <c r="BT116" s="139"/>
    </row>
    <row r="117" spans="1:72" s="140" customFormat="1" ht="15.75" customHeight="1" x14ac:dyDescent="0.2">
      <c r="A117" s="82"/>
      <c r="B117" s="83"/>
      <c r="C117" s="101"/>
      <c r="D117" s="84"/>
      <c r="E117" s="84" t="s">
        <v>102</v>
      </c>
      <c r="F117" s="94" t="s">
        <v>59</v>
      </c>
      <c r="G117" s="95">
        <f>681.72</f>
        <v>681.72</v>
      </c>
      <c r="H117" s="139"/>
      <c r="I117" s="139"/>
      <c r="J117" s="139"/>
      <c r="K117" s="139"/>
      <c r="L117" s="139"/>
      <c r="M117" s="139"/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39"/>
      <c r="AA117" s="139"/>
      <c r="AB117" s="139"/>
      <c r="AC117" s="139"/>
      <c r="AD117" s="139"/>
      <c r="AE117" s="139"/>
      <c r="AF117" s="139"/>
      <c r="AG117" s="139"/>
      <c r="AH117" s="139"/>
      <c r="AI117" s="139"/>
      <c r="AJ117" s="139"/>
      <c r="AK117" s="139"/>
      <c r="AL117" s="139"/>
      <c r="AM117" s="139"/>
      <c r="AN117" s="139"/>
      <c r="AO117" s="139"/>
      <c r="AP117" s="139"/>
      <c r="AQ117" s="139"/>
      <c r="AR117" s="139"/>
      <c r="AS117" s="139"/>
      <c r="AT117" s="139"/>
      <c r="AU117" s="139"/>
      <c r="AV117" s="139"/>
      <c r="AW117" s="139"/>
      <c r="AX117" s="139"/>
      <c r="AY117" s="139"/>
      <c r="AZ117" s="139"/>
      <c r="BA117" s="139"/>
      <c r="BB117" s="139"/>
      <c r="BC117" s="139"/>
      <c r="BD117" s="139"/>
      <c r="BE117" s="139"/>
      <c r="BF117" s="139"/>
      <c r="BG117" s="139"/>
      <c r="BH117" s="139"/>
      <c r="BI117" s="139"/>
      <c r="BJ117" s="139"/>
      <c r="BK117" s="139"/>
      <c r="BL117" s="139"/>
      <c r="BM117" s="139"/>
      <c r="BN117" s="139"/>
      <c r="BO117" s="139"/>
      <c r="BP117" s="139"/>
      <c r="BQ117" s="139"/>
      <c r="BR117" s="139"/>
      <c r="BS117" s="139"/>
      <c r="BT117" s="139"/>
    </row>
    <row r="118" spans="1:72" s="140" customFormat="1" ht="10.5" customHeight="1" x14ac:dyDescent="0.2">
      <c r="A118" s="96"/>
      <c r="B118" s="97"/>
      <c r="C118" s="98"/>
      <c r="D118" s="85"/>
      <c r="E118" s="85"/>
      <c r="F118" s="87"/>
      <c r="G118" s="99"/>
      <c r="H118" s="139"/>
      <c r="I118" s="139"/>
      <c r="J118" s="139"/>
      <c r="K118" s="139"/>
      <c r="L118" s="139"/>
      <c r="M118" s="139"/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39"/>
      <c r="AA118" s="139"/>
      <c r="AB118" s="139"/>
      <c r="AC118" s="139"/>
      <c r="AD118" s="139"/>
      <c r="AE118" s="139"/>
      <c r="AF118" s="139"/>
      <c r="AG118" s="139"/>
      <c r="AH118" s="139"/>
      <c r="AI118" s="139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139"/>
      <c r="AT118" s="139"/>
      <c r="AU118" s="139"/>
      <c r="AV118" s="139"/>
      <c r="AW118" s="139"/>
      <c r="AX118" s="139"/>
      <c r="AY118" s="139"/>
      <c r="AZ118" s="139"/>
      <c r="BA118" s="139"/>
      <c r="BB118" s="139"/>
      <c r="BC118" s="139"/>
      <c r="BD118" s="139"/>
      <c r="BE118" s="139"/>
      <c r="BF118" s="139"/>
      <c r="BG118" s="139"/>
      <c r="BH118" s="139"/>
      <c r="BI118" s="139"/>
      <c r="BJ118" s="139"/>
      <c r="BK118" s="139"/>
      <c r="BL118" s="139"/>
      <c r="BM118" s="139"/>
      <c r="BN118" s="139"/>
      <c r="BO118" s="139"/>
      <c r="BP118" s="139"/>
      <c r="BQ118" s="139"/>
      <c r="BR118" s="139"/>
      <c r="BS118" s="139"/>
      <c r="BT118" s="139"/>
    </row>
    <row r="119" spans="1:72" s="140" customFormat="1" ht="15.75" customHeight="1" x14ac:dyDescent="0.2">
      <c r="A119" s="82"/>
      <c r="B119" s="83"/>
      <c r="C119" s="84"/>
      <c r="D119" s="84"/>
      <c r="E119" s="85" t="s">
        <v>19</v>
      </c>
      <c r="F119" s="86">
        <f>6242.96+5773.4+1431.89+1201.64+991.36</f>
        <v>15641.25</v>
      </c>
      <c r="G119" s="87" t="s">
        <v>59</v>
      </c>
      <c r="H119" s="139"/>
      <c r="I119" s="139"/>
      <c r="J119" s="139"/>
      <c r="K119" s="139"/>
      <c r="L119" s="139"/>
      <c r="M119" s="139"/>
      <c r="N119" s="139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39"/>
      <c r="AA119" s="139"/>
      <c r="AB119" s="139"/>
      <c r="AC119" s="139"/>
      <c r="AD119" s="139"/>
      <c r="AE119" s="139"/>
      <c r="AF119" s="139"/>
      <c r="AG119" s="139"/>
      <c r="AH119" s="139"/>
      <c r="AI119" s="139"/>
      <c r="AJ119" s="139"/>
      <c r="AK119" s="139"/>
      <c r="AL119" s="139"/>
      <c r="AM119" s="139"/>
      <c r="AN119" s="139"/>
      <c r="AO119" s="139"/>
      <c r="AP119" s="139"/>
      <c r="AQ119" s="139"/>
      <c r="AR119" s="139"/>
      <c r="AS119" s="139"/>
      <c r="AT119" s="139"/>
      <c r="AU119" s="139"/>
      <c r="AV119" s="139"/>
      <c r="AW119" s="139"/>
      <c r="AX119" s="139"/>
      <c r="AY119" s="139"/>
      <c r="AZ119" s="139"/>
      <c r="BA119" s="139"/>
      <c r="BB119" s="139"/>
      <c r="BC119" s="139"/>
      <c r="BD119" s="139"/>
      <c r="BE119" s="139"/>
      <c r="BF119" s="139"/>
      <c r="BG119" s="139"/>
      <c r="BH119" s="139"/>
      <c r="BI119" s="139"/>
      <c r="BJ119" s="139"/>
      <c r="BK119" s="139"/>
      <c r="BL119" s="139"/>
      <c r="BM119" s="139"/>
      <c r="BN119" s="139"/>
      <c r="BO119" s="139"/>
      <c r="BP119" s="139"/>
      <c r="BQ119" s="139"/>
      <c r="BR119" s="139"/>
      <c r="BS119" s="139"/>
      <c r="BT119" s="139"/>
    </row>
    <row r="120" spans="1:72" s="140" customFormat="1" ht="24" customHeight="1" x14ac:dyDescent="0.2">
      <c r="A120" s="88" t="s">
        <v>89</v>
      </c>
      <c r="B120" s="100" t="s">
        <v>90</v>
      </c>
      <c r="C120" s="84" t="s">
        <v>91</v>
      </c>
      <c r="D120" s="84" t="s">
        <v>92</v>
      </c>
      <c r="E120" s="90" t="s">
        <v>59</v>
      </c>
      <c r="F120" s="91" t="s">
        <v>59</v>
      </c>
      <c r="G120" s="92">
        <f>SUM(G122)</f>
        <v>15641.25</v>
      </c>
      <c r="H120" s="139"/>
      <c r="I120" s="139"/>
      <c r="J120" s="139"/>
      <c r="K120" s="139"/>
      <c r="L120" s="139"/>
      <c r="M120" s="139"/>
      <c r="N120" s="139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39"/>
      <c r="AA120" s="139"/>
      <c r="AB120" s="139"/>
      <c r="AC120" s="139"/>
      <c r="AD120" s="139"/>
      <c r="AE120" s="139"/>
      <c r="AF120" s="139"/>
      <c r="AG120" s="139"/>
      <c r="AH120" s="139"/>
      <c r="AI120" s="139"/>
      <c r="AJ120" s="139"/>
      <c r="AK120" s="139"/>
      <c r="AL120" s="139"/>
      <c r="AM120" s="139"/>
      <c r="AN120" s="139"/>
      <c r="AO120" s="139"/>
      <c r="AP120" s="139"/>
      <c r="AQ120" s="139"/>
      <c r="AR120" s="139"/>
      <c r="AS120" s="139"/>
      <c r="AT120" s="139"/>
      <c r="AU120" s="139"/>
      <c r="AV120" s="139"/>
      <c r="AW120" s="139"/>
      <c r="AX120" s="139"/>
      <c r="AY120" s="139"/>
      <c r="AZ120" s="139"/>
      <c r="BA120" s="139"/>
      <c r="BB120" s="139"/>
      <c r="BC120" s="139"/>
      <c r="BD120" s="139"/>
      <c r="BE120" s="139"/>
      <c r="BF120" s="139"/>
      <c r="BG120" s="139"/>
      <c r="BH120" s="139"/>
      <c r="BI120" s="139"/>
      <c r="BJ120" s="139"/>
      <c r="BK120" s="139"/>
      <c r="BL120" s="139"/>
      <c r="BM120" s="139"/>
      <c r="BN120" s="139"/>
      <c r="BO120" s="139"/>
      <c r="BP120" s="139"/>
      <c r="BQ120" s="139"/>
      <c r="BR120" s="139"/>
      <c r="BS120" s="139"/>
      <c r="BT120" s="139"/>
    </row>
    <row r="121" spans="1:72" s="140" customFormat="1" ht="8.25" customHeight="1" x14ac:dyDescent="0.2">
      <c r="A121" s="82"/>
      <c r="B121" s="93"/>
      <c r="C121" s="84"/>
      <c r="D121" s="84"/>
      <c r="E121" s="84"/>
      <c r="F121" s="94"/>
      <c r="G121" s="141"/>
      <c r="H121" s="139"/>
      <c r="I121" s="139"/>
      <c r="J121" s="139"/>
      <c r="K121" s="139"/>
      <c r="L121" s="139"/>
      <c r="M121" s="139"/>
      <c r="N121" s="139"/>
      <c r="O121" s="139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39"/>
      <c r="AA121" s="139"/>
      <c r="AB121" s="139"/>
      <c r="AC121" s="139"/>
      <c r="AD121" s="139"/>
      <c r="AE121" s="139"/>
      <c r="AF121" s="139"/>
      <c r="AG121" s="139"/>
      <c r="AH121" s="139"/>
      <c r="AI121" s="139"/>
      <c r="AJ121" s="139"/>
      <c r="AK121" s="139"/>
      <c r="AL121" s="139"/>
      <c r="AM121" s="139"/>
      <c r="AN121" s="139"/>
      <c r="AO121" s="139"/>
      <c r="AP121" s="139"/>
      <c r="AQ121" s="139"/>
      <c r="AR121" s="139"/>
      <c r="AS121" s="139"/>
      <c r="AT121" s="139"/>
      <c r="AU121" s="139"/>
      <c r="AV121" s="139"/>
      <c r="AW121" s="139"/>
      <c r="AX121" s="139"/>
      <c r="AY121" s="139"/>
      <c r="AZ121" s="139"/>
      <c r="BA121" s="139"/>
      <c r="BB121" s="139"/>
      <c r="BC121" s="139"/>
      <c r="BD121" s="139"/>
      <c r="BE121" s="139"/>
      <c r="BF121" s="139"/>
      <c r="BG121" s="139"/>
      <c r="BH121" s="139"/>
      <c r="BI121" s="139"/>
      <c r="BJ121" s="139"/>
      <c r="BK121" s="139"/>
      <c r="BL121" s="139"/>
      <c r="BM121" s="139"/>
      <c r="BN121" s="139"/>
      <c r="BO121" s="139"/>
      <c r="BP121" s="139"/>
      <c r="BQ121" s="139"/>
      <c r="BR121" s="139"/>
      <c r="BS121" s="139"/>
      <c r="BT121" s="139"/>
    </row>
    <row r="122" spans="1:72" s="140" customFormat="1" ht="15.75" customHeight="1" x14ac:dyDescent="0.2">
      <c r="A122" s="82"/>
      <c r="B122" s="142" t="s">
        <v>48</v>
      </c>
      <c r="C122" s="84"/>
      <c r="D122" s="84"/>
      <c r="E122" s="84"/>
      <c r="F122" s="94"/>
      <c r="G122" s="141">
        <f>SUM(G123:G124)</f>
        <v>15641.25</v>
      </c>
      <c r="H122" s="139"/>
      <c r="I122" s="139"/>
      <c r="J122" s="139"/>
      <c r="K122" s="139"/>
      <c r="L122" s="139"/>
      <c r="M122" s="139"/>
      <c r="N122" s="139"/>
      <c r="O122" s="139"/>
      <c r="P122" s="139"/>
      <c r="Q122" s="139"/>
      <c r="R122" s="139"/>
      <c r="S122" s="139"/>
      <c r="T122" s="139"/>
      <c r="U122" s="139"/>
      <c r="V122" s="139"/>
      <c r="W122" s="139"/>
      <c r="X122" s="139"/>
      <c r="Y122" s="139"/>
      <c r="Z122" s="139"/>
      <c r="AA122" s="139"/>
      <c r="AB122" s="139"/>
      <c r="AC122" s="139"/>
      <c r="AD122" s="139"/>
      <c r="AE122" s="139"/>
      <c r="AF122" s="139"/>
      <c r="AG122" s="139"/>
      <c r="AH122" s="139"/>
      <c r="AI122" s="139"/>
      <c r="AJ122" s="139"/>
      <c r="AK122" s="139"/>
      <c r="AL122" s="139"/>
      <c r="AM122" s="139"/>
      <c r="AN122" s="139"/>
      <c r="AO122" s="139"/>
      <c r="AP122" s="139"/>
      <c r="AQ122" s="139"/>
      <c r="AR122" s="139"/>
      <c r="AS122" s="139"/>
      <c r="AT122" s="139"/>
      <c r="AU122" s="139"/>
      <c r="AV122" s="139"/>
      <c r="AW122" s="139"/>
      <c r="AX122" s="139"/>
      <c r="AY122" s="139"/>
      <c r="AZ122" s="139"/>
      <c r="BA122" s="139"/>
      <c r="BB122" s="139"/>
      <c r="BC122" s="139"/>
      <c r="BD122" s="139"/>
      <c r="BE122" s="139"/>
      <c r="BF122" s="139"/>
      <c r="BG122" s="139"/>
      <c r="BH122" s="139"/>
      <c r="BI122" s="139"/>
      <c r="BJ122" s="139"/>
      <c r="BK122" s="139"/>
      <c r="BL122" s="139"/>
      <c r="BM122" s="139"/>
      <c r="BN122" s="139"/>
      <c r="BO122" s="139"/>
      <c r="BP122" s="139"/>
      <c r="BQ122" s="139"/>
      <c r="BR122" s="139"/>
      <c r="BS122" s="139"/>
      <c r="BT122" s="139"/>
    </row>
    <row r="123" spans="1:72" s="140" customFormat="1" ht="15.75" customHeight="1" x14ac:dyDescent="0.2">
      <c r="A123" s="82"/>
      <c r="B123" s="83"/>
      <c r="C123" s="101"/>
      <c r="D123" s="84"/>
      <c r="E123" s="84" t="s">
        <v>69</v>
      </c>
      <c r="F123" s="94" t="s">
        <v>59</v>
      </c>
      <c r="G123" s="95">
        <f>1004.38+11240.6+828.62</f>
        <v>13073.6</v>
      </c>
      <c r="H123" s="139"/>
      <c r="I123" s="139"/>
      <c r="J123" s="139"/>
      <c r="K123" s="139"/>
      <c r="L123" s="139"/>
      <c r="M123" s="139"/>
      <c r="N123" s="139"/>
      <c r="O123" s="139"/>
      <c r="P123" s="139"/>
      <c r="Q123" s="139"/>
      <c r="R123" s="139"/>
      <c r="S123" s="139"/>
      <c r="T123" s="139"/>
      <c r="U123" s="139"/>
      <c r="V123" s="139"/>
      <c r="W123" s="139"/>
      <c r="X123" s="139"/>
      <c r="Y123" s="139"/>
      <c r="Z123" s="139"/>
      <c r="AA123" s="139"/>
      <c r="AB123" s="139"/>
      <c r="AC123" s="139"/>
      <c r="AD123" s="139"/>
      <c r="AE123" s="139"/>
      <c r="AF123" s="139"/>
      <c r="AG123" s="139"/>
      <c r="AH123" s="139"/>
      <c r="AI123" s="139"/>
      <c r="AJ123" s="139"/>
      <c r="AK123" s="139"/>
      <c r="AL123" s="139"/>
      <c r="AM123" s="139"/>
      <c r="AN123" s="139"/>
      <c r="AO123" s="139"/>
      <c r="AP123" s="139"/>
      <c r="AQ123" s="139"/>
      <c r="AR123" s="139"/>
      <c r="AS123" s="139"/>
      <c r="AT123" s="139"/>
      <c r="AU123" s="139"/>
      <c r="AV123" s="139"/>
      <c r="AW123" s="139"/>
      <c r="AX123" s="139"/>
      <c r="AY123" s="139"/>
      <c r="AZ123" s="139"/>
      <c r="BA123" s="139"/>
      <c r="BB123" s="139"/>
      <c r="BC123" s="139"/>
      <c r="BD123" s="139"/>
      <c r="BE123" s="139"/>
      <c r="BF123" s="139"/>
      <c r="BG123" s="139"/>
      <c r="BH123" s="139"/>
      <c r="BI123" s="139"/>
      <c r="BJ123" s="139"/>
      <c r="BK123" s="139"/>
      <c r="BL123" s="139"/>
      <c r="BM123" s="139"/>
      <c r="BN123" s="139"/>
      <c r="BO123" s="139"/>
      <c r="BP123" s="139"/>
      <c r="BQ123" s="139"/>
      <c r="BR123" s="139"/>
      <c r="BS123" s="139"/>
      <c r="BT123" s="139"/>
    </row>
    <row r="124" spans="1:72" s="140" customFormat="1" ht="15.75" customHeight="1" x14ac:dyDescent="0.2">
      <c r="A124" s="82"/>
      <c r="B124" s="83"/>
      <c r="C124" s="101"/>
      <c r="D124" s="84"/>
      <c r="E124" s="84" t="s">
        <v>70</v>
      </c>
      <c r="F124" s="94" t="s">
        <v>59</v>
      </c>
      <c r="G124" s="95">
        <f>197.26+2207.65+162.74</f>
        <v>2567.6499999999996</v>
      </c>
      <c r="H124" s="139"/>
      <c r="I124" s="139"/>
      <c r="J124" s="139"/>
      <c r="K124" s="139"/>
      <c r="L124" s="139"/>
      <c r="M124" s="139"/>
      <c r="N124" s="139"/>
      <c r="O124" s="139"/>
      <c r="P124" s="139"/>
      <c r="Q124" s="139"/>
      <c r="R124" s="139"/>
      <c r="S124" s="139"/>
      <c r="T124" s="139"/>
      <c r="U124" s="139"/>
      <c r="V124" s="139"/>
      <c r="W124" s="139"/>
      <c r="X124" s="139"/>
      <c r="Y124" s="139"/>
      <c r="Z124" s="139"/>
      <c r="AA124" s="139"/>
      <c r="AB124" s="139"/>
      <c r="AC124" s="139"/>
      <c r="AD124" s="139"/>
      <c r="AE124" s="139"/>
      <c r="AF124" s="139"/>
      <c r="AG124" s="139"/>
      <c r="AH124" s="139"/>
      <c r="AI124" s="139"/>
      <c r="AJ124" s="139"/>
      <c r="AK124" s="139"/>
      <c r="AL124" s="139"/>
      <c r="AM124" s="139"/>
      <c r="AN124" s="139"/>
      <c r="AO124" s="139"/>
      <c r="AP124" s="139"/>
      <c r="AQ124" s="139"/>
      <c r="AR124" s="139"/>
      <c r="AS124" s="139"/>
      <c r="AT124" s="139"/>
      <c r="AU124" s="139"/>
      <c r="AV124" s="139"/>
      <c r="AW124" s="139"/>
      <c r="AX124" s="139"/>
      <c r="AY124" s="139"/>
      <c r="AZ124" s="139"/>
      <c r="BA124" s="139"/>
      <c r="BB124" s="139"/>
      <c r="BC124" s="139"/>
      <c r="BD124" s="139"/>
      <c r="BE124" s="139"/>
      <c r="BF124" s="139"/>
      <c r="BG124" s="139"/>
      <c r="BH124" s="139"/>
      <c r="BI124" s="139"/>
      <c r="BJ124" s="139"/>
      <c r="BK124" s="139"/>
      <c r="BL124" s="139"/>
      <c r="BM124" s="139"/>
      <c r="BN124" s="139"/>
      <c r="BO124" s="139"/>
      <c r="BP124" s="139"/>
      <c r="BQ124" s="139"/>
      <c r="BR124" s="139"/>
      <c r="BS124" s="139"/>
      <c r="BT124" s="139"/>
    </row>
    <row r="125" spans="1:72" s="140" customFormat="1" ht="8.25" customHeight="1" x14ac:dyDescent="0.2">
      <c r="A125" s="96"/>
      <c r="B125" s="97"/>
      <c r="C125" s="98"/>
      <c r="D125" s="85"/>
      <c r="E125" s="85"/>
      <c r="F125" s="87"/>
      <c r="G125" s="99"/>
      <c r="H125" s="139"/>
      <c r="I125" s="139"/>
      <c r="J125" s="139"/>
      <c r="K125" s="139"/>
      <c r="L125" s="139"/>
      <c r="M125" s="139"/>
      <c r="N125" s="139"/>
      <c r="O125" s="139"/>
      <c r="P125" s="139"/>
      <c r="Q125" s="139"/>
      <c r="R125" s="139"/>
      <c r="S125" s="139"/>
      <c r="T125" s="139"/>
      <c r="U125" s="139"/>
      <c r="V125" s="139"/>
      <c r="W125" s="139"/>
      <c r="X125" s="139"/>
      <c r="Y125" s="139"/>
      <c r="Z125" s="139"/>
      <c r="AA125" s="139"/>
      <c r="AB125" s="139"/>
      <c r="AC125" s="139"/>
      <c r="AD125" s="139"/>
      <c r="AE125" s="139"/>
      <c r="AF125" s="139"/>
      <c r="AG125" s="139"/>
      <c r="AH125" s="139"/>
      <c r="AI125" s="139"/>
      <c r="AJ125" s="139"/>
      <c r="AK125" s="139"/>
      <c r="AL125" s="139"/>
      <c r="AM125" s="139"/>
      <c r="AN125" s="139"/>
      <c r="AO125" s="139"/>
      <c r="AP125" s="139"/>
      <c r="AQ125" s="139"/>
      <c r="AR125" s="139"/>
      <c r="AS125" s="139"/>
      <c r="AT125" s="139"/>
      <c r="AU125" s="139"/>
      <c r="AV125" s="139"/>
      <c r="AW125" s="139"/>
      <c r="AX125" s="139"/>
      <c r="AY125" s="139"/>
      <c r="AZ125" s="139"/>
      <c r="BA125" s="139"/>
      <c r="BB125" s="139"/>
      <c r="BC125" s="139"/>
      <c r="BD125" s="139"/>
      <c r="BE125" s="139"/>
      <c r="BF125" s="139"/>
      <c r="BG125" s="139"/>
      <c r="BH125" s="139"/>
      <c r="BI125" s="139"/>
      <c r="BJ125" s="139"/>
      <c r="BK125" s="139"/>
      <c r="BL125" s="139"/>
      <c r="BM125" s="139"/>
      <c r="BN125" s="139"/>
      <c r="BO125" s="139"/>
      <c r="BP125" s="139"/>
      <c r="BQ125" s="139"/>
      <c r="BR125" s="139"/>
      <c r="BS125" s="139"/>
      <c r="BT125" s="139"/>
    </row>
    <row r="126" spans="1:72" s="140" customFormat="1" ht="15.75" customHeight="1" x14ac:dyDescent="0.2">
      <c r="A126" s="82"/>
      <c r="B126" s="83"/>
      <c r="C126" s="84"/>
      <c r="D126" s="84"/>
      <c r="E126" s="85" t="s">
        <v>19</v>
      </c>
      <c r="F126" s="86">
        <f>193360+150000+300000+1504+122160+1824+289960+50000+4384+2816+100000+171240+484680</f>
        <v>1871928</v>
      </c>
      <c r="G126" s="87" t="s">
        <v>59</v>
      </c>
      <c r="H126" s="139"/>
      <c r="I126" s="139"/>
      <c r="J126" s="139"/>
      <c r="K126" s="139"/>
      <c r="L126" s="139"/>
      <c r="M126" s="139"/>
      <c r="N126" s="139"/>
      <c r="O126" s="139"/>
      <c r="P126" s="139"/>
      <c r="Q126" s="139"/>
      <c r="R126" s="139"/>
      <c r="S126" s="139"/>
      <c r="T126" s="139"/>
      <c r="U126" s="139"/>
      <c r="V126" s="139"/>
      <c r="W126" s="139"/>
      <c r="X126" s="139"/>
      <c r="Y126" s="139"/>
      <c r="Z126" s="139"/>
      <c r="AA126" s="139"/>
      <c r="AB126" s="139"/>
      <c r="AC126" s="139"/>
      <c r="AD126" s="139"/>
      <c r="AE126" s="139"/>
      <c r="AF126" s="139"/>
      <c r="AG126" s="139"/>
      <c r="AH126" s="139"/>
      <c r="AI126" s="139"/>
      <c r="AJ126" s="139"/>
      <c r="AK126" s="139"/>
      <c r="AL126" s="139"/>
      <c r="AM126" s="139"/>
      <c r="AN126" s="139"/>
      <c r="AO126" s="139"/>
      <c r="AP126" s="139"/>
      <c r="AQ126" s="139"/>
      <c r="AR126" s="139"/>
      <c r="AS126" s="139"/>
      <c r="AT126" s="139"/>
      <c r="AU126" s="139"/>
      <c r="AV126" s="139"/>
      <c r="AW126" s="139"/>
      <c r="AX126" s="139"/>
      <c r="AY126" s="139"/>
      <c r="AZ126" s="139"/>
      <c r="BA126" s="139"/>
      <c r="BB126" s="139"/>
      <c r="BC126" s="139"/>
      <c r="BD126" s="139"/>
      <c r="BE126" s="139"/>
      <c r="BF126" s="139"/>
      <c r="BG126" s="139"/>
      <c r="BH126" s="139"/>
      <c r="BI126" s="139"/>
      <c r="BJ126" s="139"/>
      <c r="BK126" s="139"/>
      <c r="BL126" s="139"/>
      <c r="BM126" s="139"/>
      <c r="BN126" s="139"/>
      <c r="BO126" s="139"/>
      <c r="BP126" s="139"/>
      <c r="BQ126" s="139"/>
      <c r="BR126" s="139"/>
      <c r="BS126" s="139"/>
      <c r="BT126" s="139"/>
    </row>
    <row r="127" spans="1:72" s="140" customFormat="1" ht="25.5" customHeight="1" x14ac:dyDescent="0.2">
      <c r="A127" s="88" t="s">
        <v>93</v>
      </c>
      <c r="B127" s="89" t="s">
        <v>94</v>
      </c>
      <c r="C127" s="84" t="s">
        <v>95</v>
      </c>
      <c r="D127" s="84" t="s">
        <v>96</v>
      </c>
      <c r="E127" s="90" t="s">
        <v>59</v>
      </c>
      <c r="F127" s="91" t="s">
        <v>59</v>
      </c>
      <c r="G127" s="92">
        <f>SUM(G129)</f>
        <v>1871928</v>
      </c>
      <c r="H127" s="139"/>
      <c r="I127" s="139"/>
      <c r="J127" s="139"/>
      <c r="K127" s="139"/>
      <c r="L127" s="139"/>
      <c r="M127" s="139"/>
      <c r="N127" s="139"/>
      <c r="O127" s="139"/>
      <c r="P127" s="139"/>
      <c r="Q127" s="139"/>
      <c r="R127" s="139"/>
      <c r="S127" s="139"/>
      <c r="T127" s="139"/>
      <c r="U127" s="139"/>
      <c r="V127" s="139"/>
      <c r="W127" s="139"/>
      <c r="X127" s="139"/>
      <c r="Y127" s="139"/>
      <c r="Z127" s="139"/>
      <c r="AA127" s="139"/>
      <c r="AB127" s="139"/>
      <c r="AC127" s="139"/>
      <c r="AD127" s="139"/>
      <c r="AE127" s="139"/>
      <c r="AF127" s="139"/>
      <c r="AG127" s="139"/>
      <c r="AH127" s="139"/>
      <c r="AI127" s="139"/>
      <c r="AJ127" s="139"/>
      <c r="AK127" s="139"/>
      <c r="AL127" s="139"/>
      <c r="AM127" s="139"/>
      <c r="AN127" s="139"/>
      <c r="AO127" s="139"/>
      <c r="AP127" s="139"/>
      <c r="AQ127" s="139"/>
      <c r="AR127" s="139"/>
      <c r="AS127" s="139"/>
      <c r="AT127" s="139"/>
      <c r="AU127" s="139"/>
      <c r="AV127" s="139"/>
      <c r="AW127" s="139"/>
      <c r="AX127" s="139"/>
      <c r="AY127" s="139"/>
      <c r="AZ127" s="139"/>
      <c r="BA127" s="139"/>
      <c r="BB127" s="139"/>
      <c r="BC127" s="139"/>
      <c r="BD127" s="139"/>
      <c r="BE127" s="139"/>
      <c r="BF127" s="139"/>
      <c r="BG127" s="139"/>
      <c r="BH127" s="139"/>
      <c r="BI127" s="139"/>
      <c r="BJ127" s="139"/>
      <c r="BK127" s="139"/>
      <c r="BL127" s="139"/>
      <c r="BM127" s="139"/>
      <c r="BN127" s="139"/>
      <c r="BO127" s="139"/>
      <c r="BP127" s="139"/>
      <c r="BQ127" s="139"/>
      <c r="BR127" s="139"/>
      <c r="BS127" s="139"/>
      <c r="BT127" s="139"/>
    </row>
    <row r="128" spans="1:72" s="140" customFormat="1" ht="10.5" customHeight="1" x14ac:dyDescent="0.2">
      <c r="A128" s="82"/>
      <c r="B128" s="93"/>
      <c r="C128" s="84"/>
      <c r="D128" s="84"/>
      <c r="E128" s="84"/>
      <c r="F128" s="94"/>
      <c r="G128" s="141"/>
      <c r="H128" s="139"/>
      <c r="I128" s="139"/>
      <c r="J128" s="139"/>
      <c r="K128" s="139"/>
      <c r="L128" s="139"/>
      <c r="M128" s="139"/>
      <c r="N128" s="139"/>
      <c r="O128" s="139"/>
      <c r="P128" s="139"/>
      <c r="Q128" s="139"/>
      <c r="R128" s="139"/>
      <c r="S128" s="139"/>
      <c r="T128" s="139"/>
      <c r="U128" s="139"/>
      <c r="V128" s="139"/>
      <c r="W128" s="139"/>
      <c r="X128" s="139"/>
      <c r="Y128" s="139"/>
      <c r="Z128" s="139"/>
      <c r="AA128" s="139"/>
      <c r="AB128" s="139"/>
      <c r="AC128" s="139"/>
      <c r="AD128" s="139"/>
      <c r="AE128" s="139"/>
      <c r="AF128" s="139"/>
      <c r="AG128" s="139"/>
      <c r="AH128" s="139"/>
      <c r="AI128" s="139"/>
      <c r="AJ128" s="139"/>
      <c r="AK128" s="139"/>
      <c r="AL128" s="139"/>
      <c r="AM128" s="139"/>
      <c r="AN128" s="139"/>
      <c r="AO128" s="139"/>
      <c r="AP128" s="139"/>
      <c r="AQ128" s="139"/>
      <c r="AR128" s="139"/>
      <c r="AS128" s="139"/>
      <c r="AT128" s="139"/>
      <c r="AU128" s="139"/>
      <c r="AV128" s="139"/>
      <c r="AW128" s="139"/>
      <c r="AX128" s="139"/>
      <c r="AY128" s="139"/>
      <c r="AZ128" s="139"/>
      <c r="BA128" s="139"/>
      <c r="BB128" s="139"/>
      <c r="BC128" s="139"/>
      <c r="BD128" s="139"/>
      <c r="BE128" s="139"/>
      <c r="BF128" s="139"/>
      <c r="BG128" s="139"/>
      <c r="BH128" s="139"/>
      <c r="BI128" s="139"/>
      <c r="BJ128" s="139"/>
      <c r="BK128" s="139"/>
      <c r="BL128" s="139"/>
      <c r="BM128" s="139"/>
      <c r="BN128" s="139"/>
      <c r="BO128" s="139"/>
      <c r="BP128" s="139"/>
      <c r="BQ128" s="139"/>
      <c r="BR128" s="139"/>
      <c r="BS128" s="139"/>
      <c r="BT128" s="139"/>
    </row>
    <row r="129" spans="1:72" s="140" customFormat="1" ht="15.75" customHeight="1" x14ac:dyDescent="0.2">
      <c r="A129" s="82"/>
      <c r="B129" s="142" t="s">
        <v>33</v>
      </c>
      <c r="C129" s="84"/>
      <c r="D129" s="84"/>
      <c r="E129" s="84"/>
      <c r="F129" s="94"/>
      <c r="G129" s="141">
        <f>SUM(G130:G132)</f>
        <v>1871928</v>
      </c>
      <c r="H129" s="139"/>
      <c r="I129" s="139"/>
      <c r="J129" s="139"/>
      <c r="K129" s="139"/>
      <c r="L129" s="139"/>
      <c r="M129" s="139"/>
      <c r="N129" s="139"/>
      <c r="O129" s="139"/>
      <c r="P129" s="139"/>
      <c r="Q129" s="139"/>
      <c r="R129" s="139"/>
      <c r="S129" s="139"/>
      <c r="T129" s="139"/>
      <c r="U129" s="139"/>
      <c r="V129" s="139"/>
      <c r="W129" s="139"/>
      <c r="X129" s="139"/>
      <c r="Y129" s="139"/>
      <c r="Z129" s="139"/>
      <c r="AA129" s="139"/>
      <c r="AB129" s="139"/>
      <c r="AC129" s="139"/>
      <c r="AD129" s="139"/>
      <c r="AE129" s="139"/>
      <c r="AF129" s="139"/>
      <c r="AG129" s="139"/>
      <c r="AH129" s="139"/>
      <c r="AI129" s="139"/>
      <c r="AJ129" s="139"/>
      <c r="AK129" s="139"/>
      <c r="AL129" s="139"/>
      <c r="AM129" s="139"/>
      <c r="AN129" s="139"/>
      <c r="AO129" s="139"/>
      <c r="AP129" s="139"/>
      <c r="AQ129" s="139"/>
      <c r="AR129" s="139"/>
      <c r="AS129" s="139"/>
      <c r="AT129" s="139"/>
      <c r="AU129" s="139"/>
      <c r="AV129" s="139"/>
      <c r="AW129" s="139"/>
      <c r="AX129" s="139"/>
      <c r="AY129" s="139"/>
      <c r="AZ129" s="139"/>
      <c r="BA129" s="139"/>
      <c r="BB129" s="139"/>
      <c r="BC129" s="139"/>
      <c r="BD129" s="139"/>
      <c r="BE129" s="139"/>
      <c r="BF129" s="139"/>
      <c r="BG129" s="139"/>
      <c r="BH129" s="139"/>
      <c r="BI129" s="139"/>
      <c r="BJ129" s="139"/>
      <c r="BK129" s="139"/>
      <c r="BL129" s="139"/>
      <c r="BM129" s="139"/>
      <c r="BN129" s="139"/>
      <c r="BO129" s="139"/>
      <c r="BP129" s="139"/>
      <c r="BQ129" s="139"/>
      <c r="BR129" s="139"/>
      <c r="BS129" s="139"/>
      <c r="BT129" s="139"/>
    </row>
    <row r="130" spans="1:72" s="140" customFormat="1" ht="15.75" customHeight="1" x14ac:dyDescent="0.2">
      <c r="A130" s="82"/>
      <c r="B130" s="83"/>
      <c r="C130" s="101"/>
      <c r="D130" s="84"/>
      <c r="E130" s="84" t="s">
        <v>97</v>
      </c>
      <c r="F130" s="94" t="s">
        <v>59</v>
      </c>
      <c r="G130" s="95">
        <f>1055480+50000+100000+655920</f>
        <v>1861400</v>
      </c>
      <c r="H130" s="139"/>
      <c r="I130" s="139"/>
      <c r="J130" s="139"/>
      <c r="K130" s="139"/>
      <c r="L130" s="139"/>
      <c r="M130" s="139"/>
      <c r="N130" s="139"/>
      <c r="O130" s="139"/>
      <c r="P130" s="139"/>
      <c r="Q130" s="139"/>
      <c r="R130" s="139"/>
      <c r="S130" s="139"/>
      <c r="T130" s="139"/>
      <c r="U130" s="139"/>
      <c r="V130" s="139"/>
      <c r="W130" s="139"/>
      <c r="X130" s="139"/>
      <c r="Y130" s="139"/>
      <c r="Z130" s="139"/>
      <c r="AA130" s="139"/>
      <c r="AB130" s="139"/>
      <c r="AC130" s="139"/>
      <c r="AD130" s="139"/>
      <c r="AE130" s="139"/>
      <c r="AF130" s="139"/>
      <c r="AG130" s="139"/>
      <c r="AH130" s="139"/>
      <c r="AI130" s="139"/>
      <c r="AJ130" s="139"/>
      <c r="AK130" s="139"/>
      <c r="AL130" s="139"/>
      <c r="AM130" s="139"/>
      <c r="AN130" s="139"/>
      <c r="AO130" s="139"/>
      <c r="AP130" s="139"/>
      <c r="AQ130" s="139"/>
      <c r="AR130" s="139"/>
      <c r="AS130" s="139"/>
      <c r="AT130" s="139"/>
      <c r="AU130" s="139"/>
      <c r="AV130" s="139"/>
      <c r="AW130" s="139"/>
      <c r="AX130" s="139"/>
      <c r="AY130" s="139"/>
      <c r="AZ130" s="139"/>
      <c r="BA130" s="139"/>
      <c r="BB130" s="139"/>
      <c r="BC130" s="139"/>
      <c r="BD130" s="139"/>
      <c r="BE130" s="139"/>
      <c r="BF130" s="139"/>
      <c r="BG130" s="139"/>
      <c r="BH130" s="139"/>
      <c r="BI130" s="139"/>
      <c r="BJ130" s="139"/>
      <c r="BK130" s="139"/>
      <c r="BL130" s="139"/>
      <c r="BM130" s="139"/>
      <c r="BN130" s="139"/>
      <c r="BO130" s="139"/>
      <c r="BP130" s="139"/>
      <c r="BQ130" s="139"/>
      <c r="BR130" s="139"/>
      <c r="BS130" s="139"/>
      <c r="BT130" s="139"/>
    </row>
    <row r="131" spans="1:72" s="140" customFormat="1" ht="15.75" customHeight="1" x14ac:dyDescent="0.2">
      <c r="A131" s="82"/>
      <c r="B131" s="83"/>
      <c r="C131" s="101"/>
      <c r="D131" s="84"/>
      <c r="E131" s="84" t="s">
        <v>69</v>
      </c>
      <c r="F131" s="94" t="s">
        <v>59</v>
      </c>
      <c r="G131" s="103">
        <f>2774+3656+2348</f>
        <v>8778</v>
      </c>
      <c r="H131" s="139"/>
      <c r="I131" s="139"/>
      <c r="J131" s="139"/>
      <c r="K131" s="139"/>
      <c r="L131" s="139"/>
      <c r="M131" s="139"/>
      <c r="N131" s="139"/>
      <c r="O131" s="139"/>
      <c r="P131" s="139"/>
      <c r="Q131" s="139"/>
      <c r="R131" s="139"/>
      <c r="S131" s="139"/>
      <c r="T131" s="139"/>
      <c r="U131" s="139"/>
      <c r="V131" s="139"/>
      <c r="W131" s="139"/>
      <c r="X131" s="139"/>
      <c r="Y131" s="139"/>
      <c r="Z131" s="139"/>
      <c r="AA131" s="139"/>
      <c r="AB131" s="139"/>
      <c r="AC131" s="139"/>
      <c r="AD131" s="139"/>
      <c r="AE131" s="139"/>
      <c r="AF131" s="139"/>
      <c r="AG131" s="139"/>
      <c r="AH131" s="139"/>
      <c r="AI131" s="139"/>
      <c r="AJ131" s="139"/>
      <c r="AK131" s="139"/>
      <c r="AL131" s="139"/>
      <c r="AM131" s="139"/>
      <c r="AN131" s="139"/>
      <c r="AO131" s="139"/>
      <c r="AP131" s="139"/>
      <c r="AQ131" s="139"/>
      <c r="AR131" s="139"/>
      <c r="AS131" s="139"/>
      <c r="AT131" s="139"/>
      <c r="AU131" s="139"/>
      <c r="AV131" s="139"/>
      <c r="AW131" s="139"/>
      <c r="AX131" s="139"/>
      <c r="AY131" s="139"/>
      <c r="AZ131" s="139"/>
      <c r="BA131" s="139"/>
      <c r="BB131" s="139"/>
      <c r="BC131" s="139"/>
      <c r="BD131" s="139"/>
      <c r="BE131" s="139"/>
      <c r="BF131" s="139"/>
      <c r="BG131" s="139"/>
      <c r="BH131" s="139"/>
      <c r="BI131" s="139"/>
      <c r="BJ131" s="139"/>
      <c r="BK131" s="139"/>
      <c r="BL131" s="139"/>
      <c r="BM131" s="139"/>
      <c r="BN131" s="139"/>
      <c r="BO131" s="139"/>
      <c r="BP131" s="139"/>
      <c r="BQ131" s="139"/>
      <c r="BR131" s="139"/>
      <c r="BS131" s="139"/>
      <c r="BT131" s="139"/>
    </row>
    <row r="132" spans="1:72" s="140" customFormat="1" ht="15.75" customHeight="1" x14ac:dyDescent="0.2">
      <c r="A132" s="82"/>
      <c r="B132" s="83"/>
      <c r="C132" s="101"/>
      <c r="D132" s="84"/>
      <c r="E132" s="84" t="s">
        <v>70</v>
      </c>
      <c r="F132" s="94" t="s">
        <v>59</v>
      </c>
      <c r="G132" s="95">
        <f>485+69+728+468</f>
        <v>1750</v>
      </c>
      <c r="H132" s="139"/>
      <c r="I132" s="139"/>
      <c r="J132" s="139"/>
      <c r="K132" s="139"/>
      <c r="L132" s="139"/>
      <c r="M132" s="139"/>
      <c r="N132" s="139"/>
      <c r="O132" s="139"/>
      <c r="P132" s="139"/>
      <c r="Q132" s="139"/>
      <c r="R132" s="139"/>
      <c r="S132" s="139"/>
      <c r="T132" s="139"/>
      <c r="U132" s="139"/>
      <c r="V132" s="139"/>
      <c r="W132" s="139"/>
      <c r="X132" s="139"/>
      <c r="Y132" s="139"/>
      <c r="Z132" s="139"/>
      <c r="AA132" s="139"/>
      <c r="AB132" s="139"/>
      <c r="AC132" s="139"/>
      <c r="AD132" s="139"/>
      <c r="AE132" s="139"/>
      <c r="AF132" s="139"/>
      <c r="AG132" s="139"/>
      <c r="AH132" s="139"/>
      <c r="AI132" s="139"/>
      <c r="AJ132" s="139"/>
      <c r="AK132" s="139"/>
      <c r="AL132" s="139"/>
      <c r="AM132" s="139"/>
      <c r="AN132" s="139"/>
      <c r="AO132" s="139"/>
      <c r="AP132" s="139"/>
      <c r="AQ132" s="139"/>
      <c r="AR132" s="139"/>
      <c r="AS132" s="139"/>
      <c r="AT132" s="139"/>
      <c r="AU132" s="139"/>
      <c r="AV132" s="139"/>
      <c r="AW132" s="139"/>
      <c r="AX132" s="139"/>
      <c r="AY132" s="139"/>
      <c r="AZ132" s="139"/>
      <c r="BA132" s="139"/>
      <c r="BB132" s="139"/>
      <c r="BC132" s="139"/>
      <c r="BD132" s="139"/>
      <c r="BE132" s="139"/>
      <c r="BF132" s="139"/>
      <c r="BG132" s="139"/>
      <c r="BH132" s="139"/>
      <c r="BI132" s="139"/>
      <c r="BJ132" s="139"/>
      <c r="BK132" s="139"/>
      <c r="BL132" s="139"/>
      <c r="BM132" s="139"/>
      <c r="BN132" s="139"/>
      <c r="BO132" s="139"/>
      <c r="BP132" s="139"/>
      <c r="BQ132" s="139"/>
      <c r="BR132" s="139"/>
      <c r="BS132" s="139"/>
      <c r="BT132" s="139"/>
    </row>
    <row r="133" spans="1:72" s="140" customFormat="1" ht="11.25" customHeight="1" x14ac:dyDescent="0.2">
      <c r="A133" s="96"/>
      <c r="B133" s="97"/>
      <c r="C133" s="98"/>
      <c r="D133" s="85"/>
      <c r="E133" s="85"/>
      <c r="F133" s="87"/>
      <c r="G133" s="99"/>
      <c r="H133" s="139"/>
      <c r="I133" s="139"/>
      <c r="J133" s="139"/>
      <c r="K133" s="139"/>
      <c r="L133" s="139"/>
      <c r="M133" s="139"/>
      <c r="N133" s="139"/>
      <c r="O133" s="139"/>
      <c r="P133" s="139"/>
      <c r="Q133" s="139"/>
      <c r="R133" s="139"/>
      <c r="S133" s="139"/>
      <c r="T133" s="139"/>
      <c r="U133" s="139"/>
      <c r="V133" s="139"/>
      <c r="W133" s="139"/>
      <c r="X133" s="139"/>
      <c r="Y133" s="139"/>
      <c r="Z133" s="139"/>
      <c r="AA133" s="139"/>
      <c r="AB133" s="139"/>
      <c r="AC133" s="139"/>
      <c r="AD133" s="139"/>
      <c r="AE133" s="139"/>
      <c r="AF133" s="139"/>
      <c r="AG133" s="139"/>
      <c r="AH133" s="139"/>
      <c r="AI133" s="139"/>
      <c r="AJ133" s="139"/>
      <c r="AK133" s="139"/>
      <c r="AL133" s="139"/>
      <c r="AM133" s="139"/>
      <c r="AN133" s="139"/>
      <c r="AO133" s="139"/>
      <c r="AP133" s="139"/>
      <c r="AQ133" s="139"/>
      <c r="AR133" s="139"/>
      <c r="AS133" s="139"/>
      <c r="AT133" s="139"/>
      <c r="AU133" s="139"/>
      <c r="AV133" s="139"/>
      <c r="AW133" s="139"/>
      <c r="AX133" s="139"/>
      <c r="AY133" s="139"/>
      <c r="AZ133" s="139"/>
      <c r="BA133" s="139"/>
      <c r="BB133" s="139"/>
      <c r="BC133" s="139"/>
      <c r="BD133" s="139"/>
      <c r="BE133" s="139"/>
      <c r="BF133" s="139"/>
      <c r="BG133" s="139"/>
      <c r="BH133" s="139"/>
      <c r="BI133" s="139"/>
      <c r="BJ133" s="139"/>
      <c r="BK133" s="139"/>
      <c r="BL133" s="139"/>
      <c r="BM133" s="139"/>
      <c r="BN133" s="139"/>
      <c r="BO133" s="139"/>
      <c r="BP133" s="139"/>
      <c r="BQ133" s="139"/>
      <c r="BR133" s="139"/>
      <c r="BS133" s="139"/>
      <c r="BT133" s="139"/>
    </row>
    <row r="134" spans="1:72" s="140" customFormat="1" ht="15.75" customHeight="1" x14ac:dyDescent="0.2">
      <c r="A134" s="82"/>
      <c r="B134" s="83"/>
      <c r="C134" s="84"/>
      <c r="D134" s="84"/>
      <c r="E134" s="85" t="s">
        <v>19</v>
      </c>
      <c r="F134" s="86">
        <f>195780+264660+288000+244500</f>
        <v>992940</v>
      </c>
      <c r="G134" s="87" t="s">
        <v>59</v>
      </c>
      <c r="H134" s="139"/>
      <c r="I134" s="139"/>
      <c r="J134" s="139"/>
      <c r="K134" s="139"/>
      <c r="L134" s="139"/>
      <c r="M134" s="139"/>
      <c r="N134" s="139"/>
      <c r="O134" s="139"/>
      <c r="P134" s="139"/>
      <c r="Q134" s="139"/>
      <c r="R134" s="139"/>
      <c r="S134" s="139"/>
      <c r="T134" s="139"/>
      <c r="U134" s="139"/>
      <c r="V134" s="139"/>
      <c r="W134" s="139"/>
      <c r="X134" s="139"/>
      <c r="Y134" s="139"/>
      <c r="Z134" s="139"/>
      <c r="AA134" s="139"/>
      <c r="AB134" s="139"/>
      <c r="AC134" s="139"/>
      <c r="AD134" s="139"/>
      <c r="AE134" s="139"/>
      <c r="AF134" s="139"/>
      <c r="AG134" s="139"/>
      <c r="AH134" s="139"/>
      <c r="AI134" s="139"/>
      <c r="AJ134" s="139"/>
      <c r="AK134" s="139"/>
      <c r="AL134" s="139"/>
      <c r="AM134" s="139"/>
      <c r="AN134" s="139"/>
      <c r="AO134" s="139"/>
      <c r="AP134" s="139"/>
      <c r="AQ134" s="139"/>
      <c r="AR134" s="139"/>
      <c r="AS134" s="139"/>
      <c r="AT134" s="139"/>
      <c r="AU134" s="139"/>
      <c r="AV134" s="139"/>
      <c r="AW134" s="139"/>
      <c r="AX134" s="139"/>
      <c r="AY134" s="139"/>
      <c r="AZ134" s="139"/>
      <c r="BA134" s="139"/>
      <c r="BB134" s="139"/>
      <c r="BC134" s="139"/>
      <c r="BD134" s="139"/>
      <c r="BE134" s="139"/>
      <c r="BF134" s="139"/>
      <c r="BG134" s="139"/>
      <c r="BH134" s="139"/>
      <c r="BI134" s="139"/>
      <c r="BJ134" s="139"/>
      <c r="BK134" s="139"/>
      <c r="BL134" s="139"/>
      <c r="BM134" s="139"/>
      <c r="BN134" s="139"/>
      <c r="BO134" s="139"/>
      <c r="BP134" s="139"/>
      <c r="BQ134" s="139"/>
      <c r="BR134" s="139"/>
      <c r="BS134" s="139"/>
      <c r="BT134" s="139"/>
    </row>
    <row r="135" spans="1:72" s="140" customFormat="1" ht="23.25" customHeight="1" x14ac:dyDescent="0.2">
      <c r="A135" s="88" t="s">
        <v>98</v>
      </c>
      <c r="B135" s="89" t="s">
        <v>99</v>
      </c>
      <c r="C135" s="84" t="s">
        <v>95</v>
      </c>
      <c r="D135" s="84" t="s">
        <v>96</v>
      </c>
      <c r="E135" s="90" t="s">
        <v>59</v>
      </c>
      <c r="F135" s="91" t="s">
        <v>59</v>
      </c>
      <c r="G135" s="92">
        <f>SUM(G137,G140,G145)</f>
        <v>992939.99999999977</v>
      </c>
      <c r="H135" s="139"/>
      <c r="I135" s="139"/>
      <c r="J135" s="139"/>
      <c r="K135" s="139"/>
      <c r="L135" s="139"/>
      <c r="M135" s="139"/>
      <c r="N135" s="139"/>
      <c r="O135" s="139"/>
      <c r="P135" s="139"/>
      <c r="Q135" s="139"/>
      <c r="R135" s="139"/>
      <c r="S135" s="139"/>
      <c r="T135" s="139"/>
      <c r="U135" s="139"/>
      <c r="V135" s="139"/>
      <c r="W135" s="139"/>
      <c r="X135" s="139"/>
      <c r="Y135" s="139"/>
      <c r="Z135" s="139"/>
      <c r="AA135" s="139"/>
      <c r="AB135" s="139"/>
      <c r="AC135" s="139"/>
      <c r="AD135" s="139"/>
      <c r="AE135" s="139"/>
      <c r="AF135" s="139"/>
      <c r="AG135" s="139"/>
      <c r="AH135" s="139"/>
      <c r="AI135" s="139"/>
      <c r="AJ135" s="139"/>
      <c r="AK135" s="139"/>
      <c r="AL135" s="139"/>
      <c r="AM135" s="139"/>
      <c r="AN135" s="139"/>
      <c r="AO135" s="139"/>
      <c r="AP135" s="139"/>
      <c r="AQ135" s="139"/>
      <c r="AR135" s="139"/>
      <c r="AS135" s="139"/>
      <c r="AT135" s="139"/>
      <c r="AU135" s="139"/>
      <c r="AV135" s="139"/>
      <c r="AW135" s="139"/>
      <c r="AX135" s="139"/>
      <c r="AY135" s="139"/>
      <c r="AZ135" s="139"/>
      <c r="BA135" s="139"/>
      <c r="BB135" s="139"/>
      <c r="BC135" s="139"/>
      <c r="BD135" s="139"/>
      <c r="BE135" s="139"/>
      <c r="BF135" s="139"/>
      <c r="BG135" s="139"/>
      <c r="BH135" s="139"/>
      <c r="BI135" s="139"/>
      <c r="BJ135" s="139"/>
      <c r="BK135" s="139"/>
      <c r="BL135" s="139"/>
      <c r="BM135" s="139"/>
      <c r="BN135" s="139"/>
      <c r="BO135" s="139"/>
      <c r="BP135" s="139"/>
      <c r="BQ135" s="139"/>
      <c r="BR135" s="139"/>
      <c r="BS135" s="139"/>
      <c r="BT135" s="139"/>
    </row>
    <row r="136" spans="1:72" s="140" customFormat="1" ht="9.75" customHeight="1" x14ac:dyDescent="0.2">
      <c r="A136" s="82"/>
      <c r="B136" s="93"/>
      <c r="C136" s="84"/>
      <c r="D136" s="84"/>
      <c r="E136" s="84"/>
      <c r="F136" s="94"/>
      <c r="G136" s="141"/>
      <c r="H136" s="139"/>
      <c r="I136" s="139"/>
      <c r="J136" s="139"/>
      <c r="K136" s="139"/>
      <c r="L136" s="139"/>
      <c r="M136" s="139"/>
      <c r="N136" s="139"/>
      <c r="O136" s="139"/>
      <c r="P136" s="139"/>
      <c r="Q136" s="139"/>
      <c r="R136" s="139"/>
      <c r="S136" s="139"/>
      <c r="T136" s="139"/>
      <c r="U136" s="139"/>
      <c r="V136" s="139"/>
      <c r="W136" s="139"/>
      <c r="X136" s="139"/>
      <c r="Y136" s="139"/>
      <c r="Z136" s="139"/>
      <c r="AA136" s="139"/>
      <c r="AB136" s="139"/>
      <c r="AC136" s="139"/>
      <c r="AD136" s="139"/>
      <c r="AE136" s="139"/>
      <c r="AF136" s="139"/>
      <c r="AG136" s="139"/>
      <c r="AH136" s="139"/>
      <c r="AI136" s="139"/>
      <c r="AJ136" s="139"/>
      <c r="AK136" s="139"/>
      <c r="AL136" s="139"/>
      <c r="AM136" s="139"/>
      <c r="AN136" s="139"/>
      <c r="AO136" s="139"/>
      <c r="AP136" s="139"/>
      <c r="AQ136" s="139"/>
      <c r="AR136" s="139"/>
      <c r="AS136" s="139"/>
      <c r="AT136" s="139"/>
      <c r="AU136" s="139"/>
      <c r="AV136" s="139"/>
      <c r="AW136" s="139"/>
      <c r="AX136" s="139"/>
      <c r="AY136" s="139"/>
      <c r="AZ136" s="139"/>
      <c r="BA136" s="139"/>
      <c r="BB136" s="139"/>
      <c r="BC136" s="139"/>
      <c r="BD136" s="139"/>
      <c r="BE136" s="139"/>
      <c r="BF136" s="139"/>
      <c r="BG136" s="139"/>
      <c r="BH136" s="139"/>
      <c r="BI136" s="139"/>
      <c r="BJ136" s="139"/>
      <c r="BK136" s="139"/>
      <c r="BL136" s="139"/>
      <c r="BM136" s="139"/>
      <c r="BN136" s="139"/>
      <c r="BO136" s="139"/>
      <c r="BP136" s="139"/>
      <c r="BQ136" s="139"/>
      <c r="BR136" s="139"/>
      <c r="BS136" s="139"/>
      <c r="BT136" s="139"/>
    </row>
    <row r="137" spans="1:72" s="140" customFormat="1" ht="25.5" customHeight="1" x14ac:dyDescent="0.2">
      <c r="A137" s="82"/>
      <c r="B137" s="143" t="s">
        <v>100</v>
      </c>
      <c r="C137" s="84"/>
      <c r="D137" s="84"/>
      <c r="E137" s="84"/>
      <c r="F137" s="94"/>
      <c r="G137" s="141">
        <f>SUM(G138:G138)</f>
        <v>869310.8899999999</v>
      </c>
      <c r="H137" s="139"/>
      <c r="I137" s="139"/>
      <c r="J137" s="139"/>
      <c r="K137" s="139"/>
      <c r="L137" s="139"/>
      <c r="M137" s="139"/>
      <c r="N137" s="139"/>
      <c r="O137" s="139"/>
      <c r="P137" s="139"/>
      <c r="Q137" s="139"/>
      <c r="R137" s="139"/>
      <c r="S137" s="139"/>
      <c r="T137" s="139"/>
      <c r="U137" s="139"/>
      <c r="V137" s="139"/>
      <c r="W137" s="139"/>
      <c r="X137" s="139"/>
      <c r="Y137" s="139"/>
      <c r="Z137" s="139"/>
      <c r="AA137" s="139"/>
      <c r="AB137" s="139"/>
      <c r="AC137" s="139"/>
      <c r="AD137" s="139"/>
      <c r="AE137" s="139"/>
      <c r="AF137" s="139"/>
      <c r="AG137" s="139"/>
      <c r="AH137" s="139"/>
      <c r="AI137" s="139"/>
      <c r="AJ137" s="139"/>
      <c r="AK137" s="139"/>
      <c r="AL137" s="139"/>
      <c r="AM137" s="139"/>
      <c r="AN137" s="139"/>
      <c r="AO137" s="139"/>
      <c r="AP137" s="139"/>
      <c r="AQ137" s="139"/>
      <c r="AR137" s="139"/>
      <c r="AS137" s="139"/>
      <c r="AT137" s="139"/>
      <c r="AU137" s="139"/>
      <c r="AV137" s="139"/>
      <c r="AW137" s="139"/>
      <c r="AX137" s="139"/>
      <c r="AY137" s="139"/>
      <c r="AZ137" s="139"/>
      <c r="BA137" s="139"/>
      <c r="BB137" s="139"/>
      <c r="BC137" s="139"/>
      <c r="BD137" s="139"/>
      <c r="BE137" s="139"/>
      <c r="BF137" s="139"/>
      <c r="BG137" s="139"/>
      <c r="BH137" s="139"/>
      <c r="BI137" s="139"/>
      <c r="BJ137" s="139"/>
      <c r="BK137" s="139"/>
      <c r="BL137" s="139"/>
      <c r="BM137" s="139"/>
      <c r="BN137" s="139"/>
      <c r="BO137" s="139"/>
      <c r="BP137" s="139"/>
      <c r="BQ137" s="139"/>
      <c r="BR137" s="139"/>
      <c r="BS137" s="139"/>
      <c r="BT137" s="139"/>
    </row>
    <row r="138" spans="1:72" s="140" customFormat="1" ht="15.75" customHeight="1" x14ac:dyDescent="0.2">
      <c r="A138" s="82"/>
      <c r="B138" s="83"/>
      <c r="C138" s="101"/>
      <c r="D138" s="84"/>
      <c r="E138" s="84" t="s">
        <v>64</v>
      </c>
      <c r="F138" s="94" t="s">
        <v>59</v>
      </c>
      <c r="G138" s="95">
        <f>288000+431742.16-40114.41+244500-23763.41-31053.45</f>
        <v>869310.8899999999</v>
      </c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139"/>
      <c r="AH138" s="139"/>
      <c r="AI138" s="139"/>
      <c r="AJ138" s="139"/>
      <c r="AK138" s="139"/>
      <c r="AL138" s="139"/>
      <c r="AM138" s="139"/>
      <c r="AN138" s="139"/>
      <c r="AO138" s="139"/>
      <c r="AP138" s="139"/>
      <c r="AQ138" s="139"/>
      <c r="AR138" s="139"/>
      <c r="AS138" s="139"/>
      <c r="AT138" s="139"/>
      <c r="AU138" s="139"/>
      <c r="AV138" s="139"/>
      <c r="AW138" s="139"/>
      <c r="AX138" s="139"/>
      <c r="AY138" s="139"/>
      <c r="AZ138" s="139"/>
      <c r="BA138" s="139"/>
      <c r="BB138" s="139"/>
      <c r="BC138" s="139"/>
      <c r="BD138" s="139"/>
      <c r="BE138" s="139"/>
      <c r="BF138" s="139"/>
      <c r="BG138" s="139"/>
      <c r="BH138" s="139"/>
      <c r="BI138" s="139"/>
      <c r="BJ138" s="139"/>
      <c r="BK138" s="139"/>
      <c r="BL138" s="139"/>
      <c r="BM138" s="139"/>
      <c r="BN138" s="139"/>
      <c r="BO138" s="139"/>
      <c r="BP138" s="139"/>
      <c r="BQ138" s="139"/>
      <c r="BR138" s="139"/>
      <c r="BS138" s="139"/>
      <c r="BT138" s="139"/>
    </row>
    <row r="139" spans="1:72" s="140" customFormat="1" ht="10.5" customHeight="1" x14ac:dyDescent="0.2">
      <c r="A139" s="96"/>
      <c r="B139" s="97"/>
      <c r="C139" s="98"/>
      <c r="D139" s="85"/>
      <c r="E139" s="85"/>
      <c r="F139" s="87"/>
      <c r="G139" s="99"/>
      <c r="H139" s="139"/>
      <c r="I139" s="139"/>
      <c r="J139" s="139"/>
      <c r="K139" s="139"/>
      <c r="L139" s="139"/>
      <c r="M139" s="139"/>
      <c r="N139" s="139"/>
      <c r="O139" s="139"/>
      <c r="P139" s="139"/>
      <c r="Q139" s="139"/>
      <c r="R139" s="139"/>
      <c r="S139" s="139"/>
      <c r="T139" s="139"/>
      <c r="U139" s="139"/>
      <c r="V139" s="139"/>
      <c r="W139" s="139"/>
      <c r="X139" s="139"/>
      <c r="Y139" s="139"/>
      <c r="Z139" s="139"/>
      <c r="AA139" s="139"/>
      <c r="AB139" s="139"/>
      <c r="AC139" s="139"/>
      <c r="AD139" s="139"/>
      <c r="AE139" s="139"/>
      <c r="AF139" s="139"/>
      <c r="AG139" s="139"/>
      <c r="AH139" s="139"/>
      <c r="AI139" s="139"/>
      <c r="AJ139" s="139"/>
      <c r="AK139" s="139"/>
      <c r="AL139" s="139"/>
      <c r="AM139" s="139"/>
      <c r="AN139" s="139"/>
      <c r="AO139" s="139"/>
      <c r="AP139" s="139"/>
      <c r="AQ139" s="139"/>
      <c r="AR139" s="139"/>
      <c r="AS139" s="139"/>
      <c r="AT139" s="139"/>
      <c r="AU139" s="139"/>
      <c r="AV139" s="139"/>
      <c r="AW139" s="139"/>
      <c r="AX139" s="139"/>
      <c r="AY139" s="139"/>
      <c r="AZ139" s="139"/>
      <c r="BA139" s="139"/>
      <c r="BB139" s="139"/>
      <c r="BC139" s="139"/>
      <c r="BD139" s="139"/>
      <c r="BE139" s="139"/>
      <c r="BF139" s="139"/>
      <c r="BG139" s="139"/>
      <c r="BH139" s="139"/>
      <c r="BI139" s="139"/>
      <c r="BJ139" s="139"/>
      <c r="BK139" s="139"/>
      <c r="BL139" s="139"/>
      <c r="BM139" s="139"/>
      <c r="BN139" s="139"/>
      <c r="BO139" s="139"/>
      <c r="BP139" s="139"/>
      <c r="BQ139" s="139"/>
      <c r="BR139" s="139"/>
      <c r="BS139" s="139"/>
      <c r="BT139" s="139"/>
    </row>
    <row r="140" spans="1:72" s="140" customFormat="1" ht="19.5" customHeight="1" x14ac:dyDescent="0.2">
      <c r="A140" s="82"/>
      <c r="B140" s="142" t="s">
        <v>101</v>
      </c>
      <c r="C140" s="84"/>
      <c r="D140" s="84"/>
      <c r="E140" s="84"/>
      <c r="F140" s="94"/>
      <c r="G140" s="141">
        <f>SUM(G141:G143)</f>
        <v>123315.41999999998</v>
      </c>
      <c r="H140" s="139"/>
      <c r="I140" s="139"/>
      <c r="J140" s="139"/>
      <c r="K140" s="139"/>
      <c r="L140" s="139"/>
      <c r="M140" s="139"/>
      <c r="N140" s="139"/>
      <c r="O140" s="139"/>
      <c r="P140" s="139"/>
      <c r="Q140" s="139"/>
      <c r="R140" s="139"/>
      <c r="S140" s="139"/>
      <c r="T140" s="139"/>
      <c r="U140" s="139"/>
      <c r="V140" s="139"/>
      <c r="W140" s="139"/>
      <c r="X140" s="139"/>
      <c r="Y140" s="139"/>
      <c r="Z140" s="139"/>
      <c r="AA140" s="139"/>
      <c r="AB140" s="139"/>
      <c r="AC140" s="139"/>
      <c r="AD140" s="139"/>
      <c r="AE140" s="139"/>
      <c r="AF140" s="139"/>
      <c r="AG140" s="139"/>
      <c r="AH140" s="139"/>
      <c r="AI140" s="139"/>
      <c r="AJ140" s="139"/>
      <c r="AK140" s="139"/>
      <c r="AL140" s="139"/>
      <c r="AM140" s="139"/>
      <c r="AN140" s="139"/>
      <c r="AO140" s="139"/>
      <c r="AP140" s="139"/>
      <c r="AQ140" s="139"/>
      <c r="AR140" s="139"/>
      <c r="AS140" s="139"/>
      <c r="AT140" s="139"/>
      <c r="AU140" s="139"/>
      <c r="AV140" s="139"/>
      <c r="AW140" s="139"/>
      <c r="AX140" s="139"/>
      <c r="AY140" s="139"/>
      <c r="AZ140" s="139"/>
      <c r="BA140" s="139"/>
      <c r="BB140" s="139"/>
      <c r="BC140" s="139"/>
      <c r="BD140" s="139"/>
      <c r="BE140" s="139"/>
      <c r="BF140" s="139"/>
      <c r="BG140" s="139"/>
      <c r="BH140" s="139"/>
      <c r="BI140" s="139"/>
      <c r="BJ140" s="139"/>
      <c r="BK140" s="139"/>
      <c r="BL140" s="139"/>
      <c r="BM140" s="139"/>
      <c r="BN140" s="139"/>
      <c r="BO140" s="139"/>
      <c r="BP140" s="139"/>
      <c r="BQ140" s="139"/>
      <c r="BR140" s="139"/>
      <c r="BS140" s="139"/>
      <c r="BT140" s="139"/>
    </row>
    <row r="141" spans="1:72" s="140" customFormat="1" ht="15.75" customHeight="1" x14ac:dyDescent="0.2">
      <c r="A141" s="82"/>
      <c r="B141" s="142"/>
      <c r="C141" s="101"/>
      <c r="D141" s="84"/>
      <c r="E141" s="84" t="s">
        <v>40</v>
      </c>
      <c r="F141" s="94" t="s">
        <v>59</v>
      </c>
      <c r="G141" s="95">
        <v>386.17</v>
      </c>
      <c r="H141" s="139"/>
      <c r="I141" s="139"/>
      <c r="J141" s="139"/>
      <c r="K141" s="139"/>
      <c r="L141" s="139"/>
      <c r="M141" s="139"/>
      <c r="N141" s="139"/>
      <c r="O141" s="139"/>
      <c r="P141" s="139"/>
      <c r="Q141" s="139"/>
      <c r="R141" s="139"/>
      <c r="S141" s="139"/>
      <c r="T141" s="139"/>
      <c r="U141" s="139"/>
      <c r="V141" s="139"/>
      <c r="W141" s="139"/>
      <c r="X141" s="139"/>
      <c r="Y141" s="139"/>
      <c r="Z141" s="139"/>
      <c r="AA141" s="139"/>
      <c r="AB141" s="139"/>
      <c r="AC141" s="139"/>
      <c r="AD141" s="139"/>
      <c r="AE141" s="139"/>
      <c r="AF141" s="139"/>
      <c r="AG141" s="139"/>
      <c r="AH141" s="139"/>
      <c r="AI141" s="139"/>
      <c r="AJ141" s="139"/>
      <c r="AK141" s="139"/>
      <c r="AL141" s="139"/>
      <c r="AM141" s="139"/>
      <c r="AN141" s="139"/>
      <c r="AO141" s="139"/>
      <c r="AP141" s="139"/>
      <c r="AQ141" s="139"/>
      <c r="AR141" s="139"/>
      <c r="AS141" s="139"/>
      <c r="AT141" s="139"/>
      <c r="AU141" s="139"/>
      <c r="AV141" s="139"/>
      <c r="AW141" s="139"/>
      <c r="AX141" s="139"/>
      <c r="AY141" s="139"/>
      <c r="AZ141" s="139"/>
      <c r="BA141" s="139"/>
      <c r="BB141" s="139"/>
      <c r="BC141" s="139"/>
      <c r="BD141" s="139"/>
      <c r="BE141" s="139"/>
      <c r="BF141" s="139"/>
      <c r="BG141" s="139"/>
      <c r="BH141" s="139"/>
      <c r="BI141" s="139"/>
      <c r="BJ141" s="139"/>
      <c r="BK141" s="139"/>
      <c r="BL141" s="139"/>
      <c r="BM141" s="139"/>
      <c r="BN141" s="139"/>
      <c r="BO141" s="139"/>
      <c r="BP141" s="139"/>
      <c r="BQ141" s="139"/>
      <c r="BR141" s="139"/>
      <c r="BS141" s="139"/>
      <c r="BT141" s="139"/>
    </row>
    <row r="142" spans="1:72" s="140" customFormat="1" ht="15.75" customHeight="1" x14ac:dyDescent="0.2">
      <c r="A142" s="82"/>
      <c r="B142" s="83"/>
      <c r="C142" s="101"/>
      <c r="D142" s="84"/>
      <c r="E142" s="84" t="s">
        <v>64</v>
      </c>
      <c r="F142" s="94" t="s">
        <v>59</v>
      </c>
      <c r="G142" s="95">
        <f>2056.23+12473.87+3535.72+7349.78</f>
        <v>25415.599999999999</v>
      </c>
      <c r="H142" s="139"/>
      <c r="I142" s="139"/>
      <c r="J142" s="139"/>
      <c r="K142" s="139"/>
      <c r="L142" s="139"/>
      <c r="M142" s="139"/>
      <c r="N142" s="139"/>
      <c r="O142" s="139"/>
      <c r="P142" s="139"/>
      <c r="Q142" s="139"/>
      <c r="R142" s="139"/>
      <c r="S142" s="139"/>
      <c r="T142" s="139"/>
      <c r="U142" s="139"/>
      <c r="V142" s="139"/>
      <c r="W142" s="139"/>
      <c r="X142" s="139"/>
      <c r="Y142" s="139"/>
      <c r="Z142" s="139"/>
      <c r="AA142" s="139"/>
      <c r="AB142" s="139"/>
      <c r="AC142" s="139"/>
      <c r="AD142" s="139"/>
      <c r="AE142" s="139"/>
      <c r="AF142" s="139"/>
      <c r="AG142" s="139"/>
      <c r="AH142" s="139"/>
      <c r="AI142" s="139"/>
      <c r="AJ142" s="139"/>
      <c r="AK142" s="139"/>
      <c r="AL142" s="139"/>
      <c r="AM142" s="139"/>
      <c r="AN142" s="139"/>
      <c r="AO142" s="139"/>
      <c r="AP142" s="139"/>
      <c r="AQ142" s="139"/>
      <c r="AR142" s="139"/>
      <c r="AS142" s="139"/>
      <c r="AT142" s="139"/>
      <c r="AU142" s="139"/>
      <c r="AV142" s="139"/>
      <c r="AW142" s="139"/>
      <c r="AX142" s="139"/>
      <c r="AY142" s="139"/>
      <c r="AZ142" s="139"/>
      <c r="BA142" s="139"/>
      <c r="BB142" s="139"/>
      <c r="BC142" s="139"/>
      <c r="BD142" s="139"/>
      <c r="BE142" s="139"/>
      <c r="BF142" s="139"/>
      <c r="BG142" s="139"/>
      <c r="BH142" s="139"/>
      <c r="BI142" s="139"/>
      <c r="BJ142" s="139"/>
      <c r="BK142" s="139"/>
      <c r="BL142" s="139"/>
      <c r="BM142" s="139"/>
      <c r="BN142" s="139"/>
      <c r="BO142" s="139"/>
      <c r="BP142" s="139"/>
      <c r="BQ142" s="139"/>
      <c r="BR142" s="139"/>
      <c r="BS142" s="139"/>
      <c r="BT142" s="139"/>
    </row>
    <row r="143" spans="1:72" s="140" customFormat="1" ht="15.75" customHeight="1" x14ac:dyDescent="0.2">
      <c r="A143" s="82"/>
      <c r="B143" s="83"/>
      <c r="C143" s="101"/>
      <c r="D143" s="84"/>
      <c r="E143" s="84" t="s">
        <v>102</v>
      </c>
      <c r="F143" s="94" t="s">
        <v>59</v>
      </c>
      <c r="G143" s="95">
        <f>26641.61+27326.85+19841.52+23703.67</f>
        <v>97513.65</v>
      </c>
      <c r="H143" s="139"/>
      <c r="I143" s="139"/>
      <c r="J143" s="139"/>
      <c r="K143" s="139"/>
      <c r="L143" s="139"/>
      <c r="M143" s="139"/>
      <c r="N143" s="139"/>
      <c r="O143" s="139"/>
      <c r="P143" s="139"/>
      <c r="Q143" s="139"/>
      <c r="R143" s="139"/>
      <c r="S143" s="139"/>
      <c r="T143" s="139"/>
      <c r="U143" s="139"/>
      <c r="V143" s="139"/>
      <c r="W143" s="139"/>
      <c r="X143" s="139"/>
      <c r="Y143" s="139"/>
      <c r="Z143" s="139"/>
      <c r="AA143" s="139"/>
      <c r="AB143" s="139"/>
      <c r="AC143" s="139"/>
      <c r="AD143" s="139"/>
      <c r="AE143" s="139"/>
      <c r="AF143" s="139"/>
      <c r="AG143" s="139"/>
      <c r="AH143" s="139"/>
      <c r="AI143" s="139"/>
      <c r="AJ143" s="139"/>
      <c r="AK143" s="139"/>
      <c r="AL143" s="139"/>
      <c r="AM143" s="139"/>
      <c r="AN143" s="139"/>
      <c r="AO143" s="139"/>
      <c r="AP143" s="139"/>
      <c r="AQ143" s="139"/>
      <c r="AR143" s="139"/>
      <c r="AS143" s="139"/>
      <c r="AT143" s="139"/>
      <c r="AU143" s="139"/>
      <c r="AV143" s="139"/>
      <c r="AW143" s="139"/>
      <c r="AX143" s="139"/>
      <c r="AY143" s="139"/>
      <c r="AZ143" s="139"/>
      <c r="BA143" s="139"/>
      <c r="BB143" s="139"/>
      <c r="BC143" s="139"/>
      <c r="BD143" s="139"/>
      <c r="BE143" s="139"/>
      <c r="BF143" s="139"/>
      <c r="BG143" s="139"/>
      <c r="BH143" s="139"/>
      <c r="BI143" s="139"/>
      <c r="BJ143" s="139"/>
      <c r="BK143" s="139"/>
      <c r="BL143" s="139"/>
      <c r="BM143" s="139"/>
      <c r="BN143" s="139"/>
      <c r="BO143" s="139"/>
      <c r="BP143" s="139"/>
      <c r="BQ143" s="139"/>
      <c r="BR143" s="139"/>
      <c r="BS143" s="139"/>
      <c r="BT143" s="139"/>
    </row>
    <row r="144" spans="1:72" s="140" customFormat="1" ht="15.75" customHeight="1" x14ac:dyDescent="0.2">
      <c r="A144" s="82"/>
      <c r="B144" s="83"/>
      <c r="C144" s="101"/>
      <c r="D144" s="84"/>
      <c r="E144" s="84"/>
      <c r="F144" s="94"/>
      <c r="G144" s="95"/>
      <c r="H144" s="139"/>
      <c r="I144" s="139"/>
      <c r="J144" s="139"/>
      <c r="K144" s="139"/>
      <c r="L144" s="139"/>
      <c r="M144" s="139"/>
      <c r="N144" s="139"/>
      <c r="O144" s="139"/>
      <c r="P144" s="139"/>
      <c r="Q144" s="139"/>
      <c r="R144" s="139"/>
      <c r="S144" s="139"/>
      <c r="T144" s="139"/>
      <c r="U144" s="139"/>
      <c r="V144" s="139"/>
      <c r="W144" s="139"/>
      <c r="X144" s="139"/>
      <c r="Y144" s="139"/>
      <c r="Z144" s="139"/>
      <c r="AA144" s="139"/>
      <c r="AB144" s="139"/>
      <c r="AC144" s="139"/>
      <c r="AD144" s="139"/>
      <c r="AE144" s="139"/>
      <c r="AF144" s="139"/>
      <c r="AG144" s="139"/>
      <c r="AH144" s="139"/>
      <c r="AI144" s="139"/>
      <c r="AJ144" s="139"/>
      <c r="AK144" s="139"/>
      <c r="AL144" s="139"/>
      <c r="AM144" s="139"/>
      <c r="AN144" s="139"/>
      <c r="AO144" s="139"/>
      <c r="AP144" s="139"/>
      <c r="AQ144" s="139"/>
      <c r="AR144" s="139"/>
      <c r="AS144" s="139"/>
      <c r="AT144" s="139"/>
      <c r="AU144" s="139"/>
      <c r="AV144" s="139"/>
      <c r="AW144" s="139"/>
      <c r="AX144" s="139"/>
      <c r="AY144" s="139"/>
      <c r="AZ144" s="139"/>
      <c r="BA144" s="139"/>
      <c r="BB144" s="139"/>
      <c r="BC144" s="139"/>
      <c r="BD144" s="139"/>
      <c r="BE144" s="139"/>
      <c r="BF144" s="139"/>
      <c r="BG144" s="139"/>
      <c r="BH144" s="139"/>
      <c r="BI144" s="139"/>
      <c r="BJ144" s="139"/>
      <c r="BK144" s="139"/>
      <c r="BL144" s="139"/>
      <c r="BM144" s="139"/>
      <c r="BN144" s="139"/>
      <c r="BO144" s="139"/>
      <c r="BP144" s="139"/>
      <c r="BQ144" s="139"/>
      <c r="BR144" s="139"/>
      <c r="BS144" s="139"/>
      <c r="BT144" s="139"/>
    </row>
    <row r="145" spans="1:72" s="140" customFormat="1" ht="25.5" customHeight="1" x14ac:dyDescent="0.2">
      <c r="A145" s="82"/>
      <c r="B145" s="143" t="s">
        <v>103</v>
      </c>
      <c r="C145" s="84"/>
      <c r="D145" s="84"/>
      <c r="E145" s="84"/>
      <c r="F145" s="94"/>
      <c r="G145" s="141">
        <f>SUM(G146:G146)</f>
        <v>313.69</v>
      </c>
      <c r="H145" s="139"/>
      <c r="I145" s="139"/>
      <c r="J145" s="139"/>
      <c r="K145" s="139"/>
      <c r="L145" s="139"/>
      <c r="M145" s="139"/>
      <c r="N145" s="139"/>
      <c r="O145" s="139"/>
      <c r="P145" s="139"/>
      <c r="Q145" s="139"/>
      <c r="R145" s="139"/>
      <c r="S145" s="139"/>
      <c r="T145" s="139"/>
      <c r="U145" s="139"/>
      <c r="V145" s="139"/>
      <c r="W145" s="139"/>
      <c r="X145" s="139"/>
      <c r="Y145" s="139"/>
      <c r="Z145" s="139"/>
      <c r="AA145" s="139"/>
      <c r="AB145" s="139"/>
      <c r="AC145" s="139"/>
      <c r="AD145" s="139"/>
      <c r="AE145" s="139"/>
      <c r="AF145" s="139"/>
      <c r="AG145" s="139"/>
      <c r="AH145" s="139"/>
      <c r="AI145" s="139"/>
      <c r="AJ145" s="139"/>
      <c r="AK145" s="139"/>
      <c r="AL145" s="139"/>
      <c r="AM145" s="139"/>
      <c r="AN145" s="139"/>
      <c r="AO145" s="139"/>
      <c r="AP145" s="139"/>
      <c r="AQ145" s="139"/>
      <c r="AR145" s="139"/>
      <c r="AS145" s="139"/>
      <c r="AT145" s="139"/>
      <c r="AU145" s="139"/>
      <c r="AV145" s="139"/>
      <c r="AW145" s="139"/>
      <c r="AX145" s="139"/>
      <c r="AY145" s="139"/>
      <c r="AZ145" s="139"/>
      <c r="BA145" s="139"/>
      <c r="BB145" s="139"/>
      <c r="BC145" s="139"/>
      <c r="BD145" s="139"/>
      <c r="BE145" s="139"/>
      <c r="BF145" s="139"/>
      <c r="BG145" s="139"/>
      <c r="BH145" s="139"/>
      <c r="BI145" s="139"/>
      <c r="BJ145" s="139"/>
      <c r="BK145" s="139"/>
      <c r="BL145" s="139"/>
      <c r="BM145" s="139"/>
      <c r="BN145" s="139"/>
      <c r="BO145" s="139"/>
      <c r="BP145" s="139"/>
      <c r="BQ145" s="139"/>
      <c r="BR145" s="139"/>
      <c r="BS145" s="139"/>
      <c r="BT145" s="139"/>
    </row>
    <row r="146" spans="1:72" s="140" customFormat="1" ht="15.75" customHeight="1" x14ac:dyDescent="0.2">
      <c r="A146" s="82"/>
      <c r="B146" s="83"/>
      <c r="C146" s="101"/>
      <c r="D146" s="84"/>
      <c r="E146" s="84" t="s">
        <v>40</v>
      </c>
      <c r="F146" s="94" t="s">
        <v>59</v>
      </c>
      <c r="G146" s="95">
        <v>313.69</v>
      </c>
      <c r="H146" s="139"/>
      <c r="I146" s="139"/>
      <c r="J146" s="139"/>
      <c r="K146" s="139"/>
      <c r="L146" s="139"/>
      <c r="M146" s="139"/>
      <c r="N146" s="139"/>
      <c r="O146" s="139"/>
      <c r="P146" s="139"/>
      <c r="Q146" s="139"/>
      <c r="R146" s="139"/>
      <c r="S146" s="139"/>
      <c r="T146" s="139"/>
      <c r="U146" s="139"/>
      <c r="V146" s="139"/>
      <c r="W146" s="139"/>
      <c r="X146" s="139"/>
      <c r="Y146" s="139"/>
      <c r="Z146" s="139"/>
      <c r="AA146" s="139"/>
      <c r="AB146" s="139"/>
      <c r="AC146" s="139"/>
      <c r="AD146" s="139"/>
      <c r="AE146" s="139"/>
      <c r="AF146" s="139"/>
      <c r="AG146" s="139"/>
      <c r="AH146" s="139"/>
      <c r="AI146" s="139"/>
      <c r="AJ146" s="139"/>
      <c r="AK146" s="139"/>
      <c r="AL146" s="139"/>
      <c r="AM146" s="139"/>
      <c r="AN146" s="139"/>
      <c r="AO146" s="139"/>
      <c r="AP146" s="139"/>
      <c r="AQ146" s="139"/>
      <c r="AR146" s="139"/>
      <c r="AS146" s="139"/>
      <c r="AT146" s="139"/>
      <c r="AU146" s="139"/>
      <c r="AV146" s="139"/>
      <c r="AW146" s="139"/>
      <c r="AX146" s="139"/>
      <c r="AY146" s="139"/>
      <c r="AZ146" s="139"/>
      <c r="BA146" s="139"/>
      <c r="BB146" s="139"/>
      <c r="BC146" s="139"/>
      <c r="BD146" s="139"/>
      <c r="BE146" s="139"/>
      <c r="BF146" s="139"/>
      <c r="BG146" s="139"/>
      <c r="BH146" s="139"/>
      <c r="BI146" s="139"/>
      <c r="BJ146" s="139"/>
      <c r="BK146" s="139"/>
      <c r="BL146" s="139"/>
      <c r="BM146" s="139"/>
      <c r="BN146" s="139"/>
      <c r="BO146" s="139"/>
      <c r="BP146" s="139"/>
      <c r="BQ146" s="139"/>
      <c r="BR146" s="139"/>
      <c r="BS146" s="139"/>
      <c r="BT146" s="139"/>
    </row>
    <row r="147" spans="1:72" s="140" customFormat="1" ht="15.75" customHeight="1" x14ac:dyDescent="0.2">
      <c r="A147" s="96"/>
      <c r="B147" s="97"/>
      <c r="C147" s="98"/>
      <c r="D147" s="85"/>
      <c r="E147" s="85"/>
      <c r="F147" s="87"/>
      <c r="G147" s="9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139"/>
      <c r="AH147" s="139"/>
      <c r="AI147" s="139"/>
      <c r="AJ147" s="139"/>
      <c r="AK147" s="139"/>
      <c r="AL147" s="139"/>
      <c r="AM147" s="139"/>
      <c r="AN147" s="139"/>
      <c r="AO147" s="139"/>
      <c r="AP147" s="139"/>
      <c r="AQ147" s="139"/>
      <c r="AR147" s="139"/>
      <c r="AS147" s="139"/>
      <c r="AT147" s="139"/>
      <c r="AU147" s="139"/>
      <c r="AV147" s="139"/>
      <c r="AW147" s="139"/>
      <c r="AX147" s="139"/>
      <c r="AY147" s="139"/>
      <c r="AZ147" s="139"/>
      <c r="BA147" s="139"/>
      <c r="BB147" s="139"/>
      <c r="BC147" s="139"/>
      <c r="BD147" s="139"/>
      <c r="BE147" s="139"/>
      <c r="BF147" s="139"/>
      <c r="BG147" s="139"/>
      <c r="BH147" s="139"/>
      <c r="BI147" s="139"/>
      <c r="BJ147" s="139"/>
      <c r="BK147" s="139"/>
      <c r="BL147" s="139"/>
      <c r="BM147" s="139"/>
      <c r="BN147" s="139"/>
      <c r="BO147" s="139"/>
      <c r="BP147" s="139"/>
      <c r="BQ147" s="139"/>
      <c r="BR147" s="139"/>
      <c r="BS147" s="139"/>
      <c r="BT147" s="139"/>
    </row>
    <row r="148" spans="1:72" s="140" customFormat="1" ht="15.75" customHeight="1" x14ac:dyDescent="0.2">
      <c r="A148" s="82"/>
      <c r="B148" s="83"/>
      <c r="C148" s="84"/>
      <c r="D148" s="84"/>
      <c r="E148" s="85" t="s">
        <v>19</v>
      </c>
      <c r="F148" s="86">
        <v>295.87</v>
      </c>
      <c r="G148" s="87" t="s">
        <v>59</v>
      </c>
      <c r="H148" s="139"/>
      <c r="I148" s="139"/>
      <c r="J148" s="139"/>
      <c r="K148" s="139"/>
      <c r="L148" s="139"/>
      <c r="M148" s="139"/>
      <c r="N148" s="139"/>
      <c r="O148" s="139"/>
      <c r="P148" s="139"/>
      <c r="Q148" s="139"/>
      <c r="R148" s="139"/>
      <c r="S148" s="139"/>
      <c r="T148" s="139"/>
      <c r="U148" s="139"/>
      <c r="V148" s="139"/>
      <c r="W148" s="139"/>
      <c r="X148" s="139"/>
      <c r="Y148" s="139"/>
      <c r="Z148" s="139"/>
      <c r="AA148" s="139"/>
      <c r="AB148" s="139"/>
      <c r="AC148" s="139"/>
      <c r="AD148" s="139"/>
      <c r="AE148" s="139"/>
      <c r="AF148" s="139"/>
      <c r="AG148" s="139"/>
      <c r="AH148" s="139"/>
      <c r="AI148" s="139"/>
      <c r="AJ148" s="139"/>
      <c r="AK148" s="139"/>
      <c r="AL148" s="139"/>
      <c r="AM148" s="139"/>
      <c r="AN148" s="139"/>
      <c r="AO148" s="139"/>
      <c r="AP148" s="139"/>
      <c r="AQ148" s="139"/>
      <c r="AR148" s="139"/>
      <c r="AS148" s="139"/>
      <c r="AT148" s="139"/>
      <c r="AU148" s="139"/>
      <c r="AV148" s="139"/>
      <c r="AW148" s="139"/>
      <c r="AX148" s="139"/>
      <c r="AY148" s="139"/>
      <c r="AZ148" s="139"/>
      <c r="BA148" s="139"/>
      <c r="BB148" s="139"/>
      <c r="BC148" s="139"/>
      <c r="BD148" s="139"/>
      <c r="BE148" s="139"/>
      <c r="BF148" s="139"/>
      <c r="BG148" s="139"/>
      <c r="BH148" s="139"/>
      <c r="BI148" s="139"/>
      <c r="BJ148" s="139"/>
      <c r="BK148" s="139"/>
      <c r="BL148" s="139"/>
      <c r="BM148" s="139"/>
      <c r="BN148" s="139"/>
      <c r="BO148" s="139"/>
      <c r="BP148" s="139"/>
      <c r="BQ148" s="139"/>
      <c r="BR148" s="139"/>
      <c r="BS148" s="139"/>
      <c r="BT148" s="139"/>
    </row>
    <row r="149" spans="1:72" s="140" customFormat="1" ht="24" customHeight="1" x14ac:dyDescent="0.2">
      <c r="A149" s="88" t="s">
        <v>104</v>
      </c>
      <c r="B149" s="89" t="s">
        <v>105</v>
      </c>
      <c r="C149" s="84" t="s">
        <v>106</v>
      </c>
      <c r="D149" s="84" t="s">
        <v>107</v>
      </c>
      <c r="E149" s="90" t="s">
        <v>59</v>
      </c>
      <c r="F149" s="91" t="s">
        <v>59</v>
      </c>
      <c r="G149" s="92">
        <f>SUM(G151)</f>
        <v>295.87</v>
      </c>
      <c r="H149" s="139"/>
      <c r="I149" s="139"/>
      <c r="J149" s="139"/>
      <c r="K149" s="139"/>
      <c r="L149" s="139"/>
      <c r="M149" s="139"/>
      <c r="N149" s="139"/>
      <c r="O149" s="139"/>
      <c r="P149" s="139"/>
      <c r="Q149" s="139"/>
      <c r="R149" s="139"/>
      <c r="S149" s="139"/>
      <c r="T149" s="139"/>
      <c r="U149" s="139"/>
      <c r="V149" s="139"/>
      <c r="W149" s="139"/>
      <c r="X149" s="139"/>
      <c r="Y149" s="139"/>
      <c r="Z149" s="139"/>
      <c r="AA149" s="139"/>
      <c r="AB149" s="139"/>
      <c r="AC149" s="139"/>
      <c r="AD149" s="139"/>
      <c r="AE149" s="139"/>
      <c r="AF149" s="139"/>
      <c r="AG149" s="139"/>
      <c r="AH149" s="139"/>
      <c r="AI149" s="139"/>
      <c r="AJ149" s="139"/>
      <c r="AK149" s="139"/>
      <c r="AL149" s="139"/>
      <c r="AM149" s="139"/>
      <c r="AN149" s="139"/>
      <c r="AO149" s="139"/>
      <c r="AP149" s="139"/>
      <c r="AQ149" s="139"/>
      <c r="AR149" s="139"/>
      <c r="AS149" s="139"/>
      <c r="AT149" s="139"/>
      <c r="AU149" s="139"/>
      <c r="AV149" s="139"/>
      <c r="AW149" s="139"/>
      <c r="AX149" s="139"/>
      <c r="AY149" s="139"/>
      <c r="AZ149" s="139"/>
      <c r="BA149" s="139"/>
      <c r="BB149" s="139"/>
      <c r="BC149" s="139"/>
      <c r="BD149" s="139"/>
      <c r="BE149" s="139"/>
      <c r="BF149" s="139"/>
      <c r="BG149" s="139"/>
      <c r="BH149" s="139"/>
      <c r="BI149" s="139"/>
      <c r="BJ149" s="139"/>
      <c r="BK149" s="139"/>
      <c r="BL149" s="139"/>
      <c r="BM149" s="139"/>
      <c r="BN149" s="139"/>
      <c r="BO149" s="139"/>
      <c r="BP149" s="139"/>
      <c r="BQ149" s="139"/>
      <c r="BR149" s="139"/>
      <c r="BS149" s="139"/>
      <c r="BT149" s="139"/>
    </row>
    <row r="150" spans="1:72" s="140" customFormat="1" ht="15.75" customHeight="1" x14ac:dyDescent="0.2">
      <c r="A150" s="82"/>
      <c r="B150" s="93"/>
      <c r="C150" s="84"/>
      <c r="D150" s="84"/>
      <c r="E150" s="84"/>
      <c r="F150" s="94"/>
      <c r="G150" s="141"/>
      <c r="H150" s="139"/>
      <c r="I150" s="139"/>
      <c r="J150" s="139"/>
      <c r="K150" s="139"/>
      <c r="L150" s="139"/>
      <c r="M150" s="139"/>
      <c r="N150" s="139"/>
      <c r="O150" s="139"/>
      <c r="P150" s="139"/>
      <c r="Q150" s="139"/>
      <c r="R150" s="139"/>
      <c r="S150" s="139"/>
      <c r="T150" s="139"/>
      <c r="U150" s="139"/>
      <c r="V150" s="139"/>
      <c r="W150" s="139"/>
      <c r="X150" s="139"/>
      <c r="Y150" s="139"/>
      <c r="Z150" s="139"/>
      <c r="AA150" s="139"/>
      <c r="AB150" s="139"/>
      <c r="AC150" s="139"/>
      <c r="AD150" s="139"/>
      <c r="AE150" s="139"/>
      <c r="AF150" s="139"/>
      <c r="AG150" s="139"/>
      <c r="AH150" s="139"/>
      <c r="AI150" s="139"/>
      <c r="AJ150" s="139"/>
      <c r="AK150" s="139"/>
      <c r="AL150" s="139"/>
      <c r="AM150" s="139"/>
      <c r="AN150" s="139"/>
      <c r="AO150" s="139"/>
      <c r="AP150" s="139"/>
      <c r="AQ150" s="139"/>
      <c r="AR150" s="139"/>
      <c r="AS150" s="139"/>
      <c r="AT150" s="139"/>
      <c r="AU150" s="139"/>
      <c r="AV150" s="139"/>
      <c r="AW150" s="139"/>
      <c r="AX150" s="139"/>
      <c r="AY150" s="139"/>
      <c r="AZ150" s="139"/>
      <c r="BA150" s="139"/>
      <c r="BB150" s="139"/>
      <c r="BC150" s="139"/>
      <c r="BD150" s="139"/>
      <c r="BE150" s="139"/>
      <c r="BF150" s="139"/>
      <c r="BG150" s="139"/>
      <c r="BH150" s="139"/>
      <c r="BI150" s="139"/>
      <c r="BJ150" s="139"/>
      <c r="BK150" s="139"/>
      <c r="BL150" s="139"/>
      <c r="BM150" s="139"/>
      <c r="BN150" s="139"/>
      <c r="BO150" s="139"/>
      <c r="BP150" s="139"/>
      <c r="BQ150" s="139"/>
      <c r="BR150" s="139"/>
      <c r="BS150" s="139"/>
      <c r="BT150" s="139"/>
    </row>
    <row r="151" spans="1:72" s="140" customFormat="1" ht="15.75" customHeight="1" x14ac:dyDescent="0.2">
      <c r="A151" s="82"/>
      <c r="B151" s="143" t="s">
        <v>108</v>
      </c>
      <c r="C151" s="84"/>
      <c r="D151" s="84"/>
      <c r="E151" s="84"/>
      <c r="F151" s="94"/>
      <c r="G151" s="141">
        <f>SUM(G152:G152)</f>
        <v>295.87</v>
      </c>
      <c r="H151" s="139"/>
      <c r="I151" s="139"/>
      <c r="J151" s="139"/>
      <c r="K151" s="139"/>
      <c r="L151" s="139"/>
      <c r="M151" s="139"/>
      <c r="N151" s="139"/>
      <c r="O151" s="139"/>
      <c r="P151" s="139"/>
      <c r="Q151" s="139"/>
      <c r="R151" s="139"/>
      <c r="S151" s="139"/>
      <c r="T151" s="139"/>
      <c r="U151" s="139"/>
      <c r="V151" s="139"/>
      <c r="W151" s="139"/>
      <c r="X151" s="139"/>
      <c r="Y151" s="139"/>
      <c r="Z151" s="139"/>
      <c r="AA151" s="139"/>
      <c r="AB151" s="139"/>
      <c r="AC151" s="139"/>
      <c r="AD151" s="139"/>
      <c r="AE151" s="139"/>
      <c r="AF151" s="139"/>
      <c r="AG151" s="139"/>
      <c r="AH151" s="139"/>
      <c r="AI151" s="139"/>
      <c r="AJ151" s="139"/>
      <c r="AK151" s="139"/>
      <c r="AL151" s="139"/>
      <c r="AM151" s="139"/>
      <c r="AN151" s="139"/>
      <c r="AO151" s="139"/>
      <c r="AP151" s="139"/>
      <c r="AQ151" s="139"/>
      <c r="AR151" s="139"/>
      <c r="AS151" s="139"/>
      <c r="AT151" s="139"/>
      <c r="AU151" s="139"/>
      <c r="AV151" s="139"/>
      <c r="AW151" s="139"/>
      <c r="AX151" s="139"/>
      <c r="AY151" s="139"/>
      <c r="AZ151" s="139"/>
      <c r="BA151" s="139"/>
      <c r="BB151" s="139"/>
      <c r="BC151" s="139"/>
      <c r="BD151" s="139"/>
      <c r="BE151" s="139"/>
      <c r="BF151" s="139"/>
      <c r="BG151" s="139"/>
      <c r="BH151" s="139"/>
      <c r="BI151" s="139"/>
      <c r="BJ151" s="139"/>
      <c r="BK151" s="139"/>
      <c r="BL151" s="139"/>
      <c r="BM151" s="139"/>
      <c r="BN151" s="139"/>
      <c r="BO151" s="139"/>
      <c r="BP151" s="139"/>
      <c r="BQ151" s="139"/>
      <c r="BR151" s="139"/>
      <c r="BS151" s="139"/>
      <c r="BT151" s="139"/>
    </row>
    <row r="152" spans="1:72" s="140" customFormat="1" ht="15.75" customHeight="1" x14ac:dyDescent="0.2">
      <c r="A152" s="82"/>
      <c r="B152" s="83"/>
      <c r="C152" s="84"/>
      <c r="D152" s="84"/>
      <c r="E152" s="84" t="s">
        <v>40</v>
      </c>
      <c r="F152" s="94" t="s">
        <v>59</v>
      </c>
      <c r="G152" s="95">
        <v>295.87</v>
      </c>
      <c r="H152" s="139"/>
      <c r="I152" s="139"/>
      <c r="J152" s="139"/>
      <c r="K152" s="139"/>
      <c r="L152" s="139"/>
      <c r="M152" s="139"/>
      <c r="N152" s="139"/>
      <c r="O152" s="139"/>
      <c r="P152" s="139"/>
      <c r="Q152" s="139"/>
      <c r="R152" s="139"/>
      <c r="S152" s="139"/>
      <c r="T152" s="139"/>
      <c r="U152" s="139"/>
      <c r="V152" s="139"/>
      <c r="W152" s="139"/>
      <c r="X152" s="139"/>
      <c r="Y152" s="139"/>
      <c r="Z152" s="139"/>
      <c r="AA152" s="139"/>
      <c r="AB152" s="139"/>
      <c r="AC152" s="139"/>
      <c r="AD152" s="139"/>
      <c r="AE152" s="139"/>
      <c r="AF152" s="139"/>
      <c r="AG152" s="139"/>
      <c r="AH152" s="139"/>
      <c r="AI152" s="139"/>
      <c r="AJ152" s="139"/>
      <c r="AK152" s="139"/>
      <c r="AL152" s="139"/>
      <c r="AM152" s="139"/>
      <c r="AN152" s="139"/>
      <c r="AO152" s="139"/>
      <c r="AP152" s="139"/>
      <c r="AQ152" s="139"/>
      <c r="AR152" s="139"/>
      <c r="AS152" s="139"/>
      <c r="AT152" s="139"/>
      <c r="AU152" s="139"/>
      <c r="AV152" s="139"/>
      <c r="AW152" s="139"/>
      <c r="AX152" s="139"/>
      <c r="AY152" s="139"/>
      <c r="AZ152" s="139"/>
      <c r="BA152" s="139"/>
      <c r="BB152" s="139"/>
      <c r="BC152" s="139"/>
      <c r="BD152" s="139"/>
      <c r="BE152" s="139"/>
      <c r="BF152" s="139"/>
      <c r="BG152" s="139"/>
      <c r="BH152" s="139"/>
      <c r="BI152" s="139"/>
      <c r="BJ152" s="139"/>
      <c r="BK152" s="139"/>
      <c r="BL152" s="139"/>
      <c r="BM152" s="139"/>
      <c r="BN152" s="139"/>
      <c r="BO152" s="139"/>
      <c r="BP152" s="139"/>
      <c r="BQ152" s="139"/>
      <c r="BR152" s="139"/>
      <c r="BS152" s="139"/>
      <c r="BT152" s="139"/>
    </row>
    <row r="153" spans="1:72" s="140" customFormat="1" ht="15.75" customHeight="1" x14ac:dyDescent="0.2">
      <c r="A153" s="96"/>
      <c r="B153" s="97"/>
      <c r="C153" s="98"/>
      <c r="D153" s="85"/>
      <c r="E153" s="85"/>
      <c r="F153" s="87"/>
      <c r="G153" s="99"/>
      <c r="H153" s="139"/>
      <c r="I153" s="139"/>
      <c r="J153" s="139"/>
      <c r="K153" s="139"/>
      <c r="L153" s="139"/>
      <c r="M153" s="139"/>
      <c r="N153" s="139"/>
      <c r="O153" s="139"/>
      <c r="P153" s="139"/>
      <c r="Q153" s="139"/>
      <c r="R153" s="139"/>
      <c r="S153" s="139"/>
      <c r="T153" s="139"/>
      <c r="U153" s="139"/>
      <c r="V153" s="139"/>
      <c r="W153" s="139"/>
      <c r="X153" s="139"/>
      <c r="Y153" s="139"/>
      <c r="Z153" s="139"/>
      <c r="AA153" s="139"/>
      <c r="AB153" s="139"/>
      <c r="AC153" s="139"/>
      <c r="AD153" s="139"/>
      <c r="AE153" s="139"/>
      <c r="AF153" s="139"/>
      <c r="AG153" s="139"/>
      <c r="AH153" s="139"/>
      <c r="AI153" s="139"/>
      <c r="AJ153" s="139"/>
      <c r="AK153" s="139"/>
      <c r="AL153" s="139"/>
      <c r="AM153" s="139"/>
      <c r="AN153" s="139"/>
      <c r="AO153" s="139"/>
      <c r="AP153" s="139"/>
      <c r="AQ153" s="139"/>
      <c r="AR153" s="139"/>
      <c r="AS153" s="139"/>
      <c r="AT153" s="139"/>
      <c r="AU153" s="139"/>
      <c r="AV153" s="139"/>
      <c r="AW153" s="139"/>
      <c r="AX153" s="139"/>
      <c r="AY153" s="139"/>
      <c r="AZ153" s="139"/>
      <c r="BA153" s="139"/>
      <c r="BB153" s="139"/>
      <c r="BC153" s="139"/>
      <c r="BD153" s="139"/>
      <c r="BE153" s="139"/>
      <c r="BF153" s="139"/>
      <c r="BG153" s="139"/>
      <c r="BH153" s="139"/>
      <c r="BI153" s="139"/>
      <c r="BJ153" s="139"/>
      <c r="BK153" s="139"/>
      <c r="BL153" s="139"/>
      <c r="BM153" s="139"/>
      <c r="BN153" s="139"/>
      <c r="BO153" s="139"/>
      <c r="BP153" s="139"/>
      <c r="BQ153" s="139"/>
      <c r="BR153" s="139"/>
      <c r="BS153" s="139"/>
      <c r="BT153" s="139"/>
    </row>
    <row r="154" spans="1:72" s="140" customFormat="1" ht="15.75" customHeight="1" x14ac:dyDescent="0.2">
      <c r="A154" s="82"/>
      <c r="B154" s="83"/>
      <c r="C154" s="84"/>
      <c r="D154" s="84"/>
      <c r="E154" s="85" t="s">
        <v>19</v>
      </c>
      <c r="F154" s="86">
        <v>1050</v>
      </c>
      <c r="G154" s="87" t="s">
        <v>59</v>
      </c>
      <c r="H154" s="139"/>
      <c r="I154" s="139"/>
      <c r="J154" s="139"/>
      <c r="K154" s="139"/>
      <c r="L154" s="139"/>
      <c r="M154" s="139"/>
      <c r="N154" s="139"/>
      <c r="O154" s="139"/>
      <c r="P154" s="139"/>
      <c r="Q154" s="139"/>
      <c r="R154" s="139"/>
      <c r="S154" s="139"/>
      <c r="T154" s="139"/>
      <c r="U154" s="139"/>
      <c r="V154" s="139"/>
      <c r="W154" s="139"/>
      <c r="X154" s="139"/>
      <c r="Y154" s="139"/>
      <c r="Z154" s="139"/>
      <c r="AA154" s="139"/>
      <c r="AB154" s="139"/>
      <c r="AC154" s="139"/>
      <c r="AD154" s="139"/>
      <c r="AE154" s="139"/>
      <c r="AF154" s="139"/>
      <c r="AG154" s="139"/>
      <c r="AH154" s="139"/>
      <c r="AI154" s="139"/>
      <c r="AJ154" s="139"/>
      <c r="AK154" s="139"/>
      <c r="AL154" s="139"/>
      <c r="AM154" s="139"/>
      <c r="AN154" s="139"/>
      <c r="AO154" s="139"/>
      <c r="AP154" s="139"/>
      <c r="AQ154" s="139"/>
      <c r="AR154" s="139"/>
      <c r="AS154" s="139"/>
      <c r="AT154" s="139"/>
      <c r="AU154" s="139"/>
      <c r="AV154" s="139"/>
      <c r="AW154" s="139"/>
      <c r="AX154" s="139"/>
      <c r="AY154" s="139"/>
      <c r="AZ154" s="139"/>
      <c r="BA154" s="139"/>
      <c r="BB154" s="139"/>
      <c r="BC154" s="139"/>
      <c r="BD154" s="139"/>
      <c r="BE154" s="139"/>
      <c r="BF154" s="139"/>
      <c r="BG154" s="139"/>
      <c r="BH154" s="139"/>
      <c r="BI154" s="139"/>
      <c r="BJ154" s="139"/>
      <c r="BK154" s="139"/>
      <c r="BL154" s="139"/>
      <c r="BM154" s="139"/>
      <c r="BN154" s="139"/>
      <c r="BO154" s="139"/>
      <c r="BP154" s="139"/>
      <c r="BQ154" s="139"/>
      <c r="BR154" s="139"/>
      <c r="BS154" s="139"/>
      <c r="BT154" s="139"/>
    </row>
    <row r="155" spans="1:72" s="140" customFormat="1" ht="48" customHeight="1" x14ac:dyDescent="0.2">
      <c r="A155" s="88" t="s">
        <v>109</v>
      </c>
      <c r="B155" s="89" t="s">
        <v>110</v>
      </c>
      <c r="C155" s="84" t="s">
        <v>73</v>
      </c>
      <c r="D155" s="84" t="s">
        <v>111</v>
      </c>
      <c r="E155" s="90" t="s">
        <v>59</v>
      </c>
      <c r="F155" s="91" t="s">
        <v>59</v>
      </c>
      <c r="G155" s="92">
        <f>SUM(G157)</f>
        <v>1050</v>
      </c>
      <c r="H155" s="139"/>
      <c r="I155" s="139"/>
      <c r="J155" s="139"/>
      <c r="K155" s="139"/>
      <c r="L155" s="139"/>
      <c r="M155" s="139"/>
      <c r="N155" s="139"/>
      <c r="O155" s="139"/>
      <c r="P155" s="139"/>
      <c r="Q155" s="139"/>
      <c r="R155" s="139"/>
      <c r="S155" s="139"/>
      <c r="T155" s="139"/>
      <c r="U155" s="139"/>
      <c r="V155" s="139"/>
      <c r="W155" s="139"/>
      <c r="X155" s="139"/>
      <c r="Y155" s="139"/>
      <c r="Z155" s="139"/>
      <c r="AA155" s="139"/>
      <c r="AB155" s="139"/>
      <c r="AC155" s="139"/>
      <c r="AD155" s="139"/>
      <c r="AE155" s="139"/>
      <c r="AF155" s="139"/>
      <c r="AG155" s="139"/>
      <c r="AH155" s="139"/>
      <c r="AI155" s="139"/>
      <c r="AJ155" s="139"/>
      <c r="AK155" s="139"/>
      <c r="AL155" s="139"/>
      <c r="AM155" s="139"/>
      <c r="AN155" s="139"/>
      <c r="AO155" s="139"/>
      <c r="AP155" s="139"/>
      <c r="AQ155" s="139"/>
      <c r="AR155" s="139"/>
      <c r="AS155" s="139"/>
      <c r="AT155" s="139"/>
      <c r="AU155" s="139"/>
      <c r="AV155" s="139"/>
      <c r="AW155" s="139"/>
      <c r="AX155" s="139"/>
      <c r="AY155" s="139"/>
      <c r="AZ155" s="139"/>
      <c r="BA155" s="139"/>
      <c r="BB155" s="139"/>
      <c r="BC155" s="139"/>
      <c r="BD155" s="139"/>
      <c r="BE155" s="139"/>
      <c r="BF155" s="139"/>
      <c r="BG155" s="139"/>
      <c r="BH155" s="139"/>
      <c r="BI155" s="139"/>
      <c r="BJ155" s="139"/>
      <c r="BK155" s="139"/>
      <c r="BL155" s="139"/>
      <c r="BM155" s="139"/>
      <c r="BN155" s="139"/>
      <c r="BO155" s="139"/>
      <c r="BP155" s="139"/>
      <c r="BQ155" s="139"/>
      <c r="BR155" s="139"/>
      <c r="BS155" s="139"/>
      <c r="BT155" s="139"/>
    </row>
    <row r="156" spans="1:72" s="140" customFormat="1" ht="15.75" customHeight="1" x14ac:dyDescent="0.2">
      <c r="A156" s="82"/>
      <c r="B156" s="83"/>
      <c r="C156" s="101"/>
      <c r="D156" s="84"/>
      <c r="E156" s="84"/>
      <c r="F156" s="94"/>
      <c r="G156" s="95"/>
      <c r="H156" s="139"/>
      <c r="I156" s="139"/>
      <c r="J156" s="139"/>
      <c r="K156" s="139"/>
      <c r="L156" s="139"/>
      <c r="M156" s="139"/>
      <c r="N156" s="139"/>
      <c r="O156" s="139"/>
      <c r="P156" s="139"/>
      <c r="Q156" s="139"/>
      <c r="R156" s="139"/>
      <c r="S156" s="139"/>
      <c r="T156" s="139"/>
      <c r="U156" s="139"/>
      <c r="V156" s="139"/>
      <c r="W156" s="139"/>
      <c r="X156" s="139"/>
      <c r="Y156" s="139"/>
      <c r="Z156" s="139"/>
      <c r="AA156" s="139"/>
      <c r="AB156" s="139"/>
      <c r="AC156" s="139"/>
      <c r="AD156" s="139"/>
      <c r="AE156" s="139"/>
      <c r="AF156" s="139"/>
      <c r="AG156" s="139"/>
      <c r="AH156" s="139"/>
      <c r="AI156" s="139"/>
      <c r="AJ156" s="139"/>
      <c r="AK156" s="139"/>
      <c r="AL156" s="139"/>
      <c r="AM156" s="139"/>
      <c r="AN156" s="139"/>
      <c r="AO156" s="139"/>
      <c r="AP156" s="139"/>
      <c r="AQ156" s="139"/>
      <c r="AR156" s="139"/>
      <c r="AS156" s="139"/>
      <c r="AT156" s="139"/>
      <c r="AU156" s="139"/>
      <c r="AV156" s="139"/>
      <c r="AW156" s="139"/>
      <c r="AX156" s="139"/>
      <c r="AY156" s="139"/>
      <c r="AZ156" s="139"/>
      <c r="BA156" s="139"/>
      <c r="BB156" s="139"/>
      <c r="BC156" s="139"/>
      <c r="BD156" s="139"/>
      <c r="BE156" s="139"/>
      <c r="BF156" s="139"/>
      <c r="BG156" s="139"/>
      <c r="BH156" s="139"/>
      <c r="BI156" s="139"/>
      <c r="BJ156" s="139"/>
      <c r="BK156" s="139"/>
      <c r="BL156" s="139"/>
      <c r="BM156" s="139"/>
      <c r="BN156" s="139"/>
      <c r="BO156" s="139"/>
      <c r="BP156" s="139"/>
      <c r="BQ156" s="139"/>
      <c r="BR156" s="139"/>
      <c r="BS156" s="139"/>
      <c r="BT156" s="139"/>
    </row>
    <row r="157" spans="1:72" s="140" customFormat="1" ht="26.25" customHeight="1" x14ac:dyDescent="0.2">
      <c r="A157" s="82"/>
      <c r="B157" s="143" t="s">
        <v>112</v>
      </c>
      <c r="C157" s="84"/>
      <c r="D157" s="84"/>
      <c r="E157" s="84"/>
      <c r="F157" s="94"/>
      <c r="G157" s="141">
        <f>SUM(G158:G158)</f>
        <v>1050</v>
      </c>
      <c r="H157" s="139"/>
      <c r="I157" s="139"/>
      <c r="J157" s="139"/>
      <c r="K157" s="139"/>
      <c r="L157" s="139"/>
      <c r="M157" s="139"/>
      <c r="N157" s="139"/>
      <c r="O157" s="139"/>
      <c r="P157" s="139"/>
      <c r="Q157" s="139"/>
      <c r="R157" s="139"/>
      <c r="S157" s="139"/>
      <c r="T157" s="139"/>
      <c r="U157" s="139"/>
      <c r="V157" s="139"/>
      <c r="W157" s="139"/>
      <c r="X157" s="139"/>
      <c r="Y157" s="139"/>
      <c r="Z157" s="139"/>
      <c r="AA157" s="139"/>
      <c r="AB157" s="139"/>
      <c r="AC157" s="139"/>
      <c r="AD157" s="139"/>
      <c r="AE157" s="139"/>
      <c r="AF157" s="139"/>
      <c r="AG157" s="139"/>
      <c r="AH157" s="139"/>
      <c r="AI157" s="139"/>
      <c r="AJ157" s="139"/>
      <c r="AK157" s="139"/>
      <c r="AL157" s="139"/>
      <c r="AM157" s="139"/>
      <c r="AN157" s="139"/>
      <c r="AO157" s="139"/>
      <c r="AP157" s="139"/>
      <c r="AQ157" s="139"/>
      <c r="AR157" s="139"/>
      <c r="AS157" s="139"/>
      <c r="AT157" s="139"/>
      <c r="AU157" s="139"/>
      <c r="AV157" s="139"/>
      <c r="AW157" s="139"/>
      <c r="AX157" s="139"/>
      <c r="AY157" s="139"/>
      <c r="AZ157" s="139"/>
      <c r="BA157" s="139"/>
      <c r="BB157" s="139"/>
      <c r="BC157" s="139"/>
      <c r="BD157" s="139"/>
      <c r="BE157" s="139"/>
      <c r="BF157" s="139"/>
      <c r="BG157" s="139"/>
      <c r="BH157" s="139"/>
      <c r="BI157" s="139"/>
      <c r="BJ157" s="139"/>
      <c r="BK157" s="139"/>
      <c r="BL157" s="139"/>
      <c r="BM157" s="139"/>
      <c r="BN157" s="139"/>
      <c r="BO157" s="139"/>
      <c r="BP157" s="139"/>
      <c r="BQ157" s="139"/>
      <c r="BR157" s="139"/>
      <c r="BS157" s="139"/>
      <c r="BT157" s="139"/>
    </row>
    <row r="158" spans="1:72" s="140" customFormat="1" ht="15.75" customHeight="1" x14ac:dyDescent="0.2">
      <c r="A158" s="82"/>
      <c r="B158" s="83"/>
      <c r="C158" s="84"/>
      <c r="D158" s="84"/>
      <c r="E158" s="84" t="s">
        <v>40</v>
      </c>
      <c r="F158" s="94" t="s">
        <v>59</v>
      </c>
      <c r="G158" s="95">
        <v>1050</v>
      </c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  <c r="AH158" s="139"/>
      <c r="AI158" s="139"/>
      <c r="AJ158" s="139"/>
      <c r="AK158" s="139"/>
      <c r="AL158" s="139"/>
      <c r="AM158" s="139"/>
      <c r="AN158" s="139"/>
      <c r="AO158" s="139"/>
      <c r="AP158" s="139"/>
      <c r="AQ158" s="139"/>
      <c r="AR158" s="139"/>
      <c r="AS158" s="139"/>
      <c r="AT158" s="139"/>
      <c r="AU158" s="139"/>
      <c r="AV158" s="139"/>
      <c r="AW158" s="139"/>
      <c r="AX158" s="139"/>
      <c r="AY158" s="139"/>
      <c r="AZ158" s="139"/>
      <c r="BA158" s="139"/>
      <c r="BB158" s="139"/>
      <c r="BC158" s="139"/>
      <c r="BD158" s="139"/>
      <c r="BE158" s="139"/>
      <c r="BF158" s="139"/>
      <c r="BG158" s="139"/>
      <c r="BH158" s="139"/>
      <c r="BI158" s="139"/>
      <c r="BJ158" s="139"/>
      <c r="BK158" s="139"/>
      <c r="BL158" s="139"/>
      <c r="BM158" s="139"/>
      <c r="BN158" s="139"/>
      <c r="BO158" s="139"/>
      <c r="BP158" s="139"/>
      <c r="BQ158" s="139"/>
      <c r="BR158" s="139"/>
      <c r="BS158" s="139"/>
      <c r="BT158" s="139"/>
    </row>
    <row r="159" spans="1:72" s="140" customFormat="1" ht="15.75" customHeight="1" x14ac:dyDescent="0.2">
      <c r="A159" s="96"/>
      <c r="B159" s="97"/>
      <c r="C159" s="98"/>
      <c r="D159" s="85"/>
      <c r="E159" s="85"/>
      <c r="F159" s="87"/>
      <c r="G159" s="99"/>
      <c r="H159" s="139"/>
      <c r="I159" s="139"/>
      <c r="J159" s="139"/>
      <c r="K159" s="139"/>
      <c r="L159" s="139"/>
      <c r="M159" s="139"/>
      <c r="N159" s="139"/>
      <c r="O159" s="139"/>
      <c r="P159" s="139"/>
      <c r="Q159" s="139"/>
      <c r="R159" s="139"/>
      <c r="S159" s="139"/>
      <c r="T159" s="139"/>
      <c r="U159" s="139"/>
      <c r="V159" s="139"/>
      <c r="W159" s="139"/>
      <c r="X159" s="139"/>
      <c r="Y159" s="139"/>
      <c r="Z159" s="139"/>
      <c r="AA159" s="139"/>
      <c r="AB159" s="139"/>
      <c r="AC159" s="139"/>
      <c r="AD159" s="139"/>
      <c r="AE159" s="139"/>
      <c r="AF159" s="139"/>
      <c r="AG159" s="139"/>
      <c r="AH159" s="139"/>
      <c r="AI159" s="139"/>
      <c r="AJ159" s="139"/>
      <c r="AK159" s="139"/>
      <c r="AL159" s="139"/>
      <c r="AM159" s="139"/>
      <c r="AN159" s="139"/>
      <c r="AO159" s="139"/>
      <c r="AP159" s="139"/>
      <c r="AQ159" s="139"/>
      <c r="AR159" s="139"/>
      <c r="AS159" s="139"/>
      <c r="AT159" s="139"/>
      <c r="AU159" s="139"/>
      <c r="AV159" s="139"/>
      <c r="AW159" s="139"/>
      <c r="AX159" s="139"/>
      <c r="AY159" s="139"/>
      <c r="AZ159" s="139"/>
      <c r="BA159" s="139"/>
      <c r="BB159" s="139"/>
      <c r="BC159" s="139"/>
      <c r="BD159" s="139"/>
      <c r="BE159" s="139"/>
      <c r="BF159" s="139"/>
      <c r="BG159" s="139"/>
      <c r="BH159" s="139"/>
      <c r="BI159" s="139"/>
      <c r="BJ159" s="139"/>
      <c r="BK159" s="139"/>
      <c r="BL159" s="139"/>
      <c r="BM159" s="139"/>
      <c r="BN159" s="139"/>
      <c r="BO159" s="139"/>
      <c r="BP159" s="139"/>
      <c r="BQ159" s="139"/>
      <c r="BR159" s="139"/>
      <c r="BS159" s="139"/>
      <c r="BT159" s="139"/>
    </row>
    <row r="160" spans="1:72" s="140" customFormat="1" ht="15.75" customHeight="1" x14ac:dyDescent="0.2">
      <c r="A160" s="82"/>
      <c r="B160" s="83"/>
      <c r="C160" s="84"/>
      <c r="D160" s="84"/>
      <c r="E160" s="85" t="s">
        <v>19</v>
      </c>
      <c r="F160" s="86">
        <f>717+713</f>
        <v>1430</v>
      </c>
      <c r="G160" s="87" t="s">
        <v>59</v>
      </c>
      <c r="H160" s="139"/>
      <c r="I160" s="139"/>
      <c r="J160" s="139"/>
      <c r="K160" s="139"/>
      <c r="L160" s="139"/>
      <c r="M160" s="139"/>
      <c r="N160" s="139"/>
      <c r="O160" s="139"/>
      <c r="P160" s="139"/>
      <c r="Q160" s="139"/>
      <c r="R160" s="139"/>
      <c r="S160" s="139"/>
      <c r="T160" s="139"/>
      <c r="U160" s="139"/>
      <c r="V160" s="139"/>
      <c r="W160" s="139"/>
      <c r="X160" s="139"/>
      <c r="Y160" s="139"/>
      <c r="Z160" s="139"/>
      <c r="AA160" s="139"/>
      <c r="AB160" s="139"/>
      <c r="AC160" s="139"/>
      <c r="AD160" s="139"/>
      <c r="AE160" s="139"/>
      <c r="AF160" s="139"/>
      <c r="AG160" s="139"/>
      <c r="AH160" s="139"/>
      <c r="AI160" s="139"/>
      <c r="AJ160" s="139"/>
      <c r="AK160" s="139"/>
      <c r="AL160" s="139"/>
      <c r="AM160" s="139"/>
      <c r="AN160" s="139"/>
      <c r="AO160" s="139"/>
      <c r="AP160" s="139"/>
      <c r="AQ160" s="139"/>
      <c r="AR160" s="139"/>
      <c r="AS160" s="139"/>
      <c r="AT160" s="139"/>
      <c r="AU160" s="139"/>
      <c r="AV160" s="139"/>
      <c r="AW160" s="139"/>
      <c r="AX160" s="139"/>
      <c r="AY160" s="139"/>
      <c r="AZ160" s="139"/>
      <c r="BA160" s="139"/>
      <c r="BB160" s="139"/>
      <c r="BC160" s="139"/>
      <c r="BD160" s="139"/>
      <c r="BE160" s="139"/>
      <c r="BF160" s="139"/>
      <c r="BG160" s="139"/>
      <c r="BH160" s="139"/>
      <c r="BI160" s="139"/>
      <c r="BJ160" s="139"/>
      <c r="BK160" s="139"/>
      <c r="BL160" s="139"/>
      <c r="BM160" s="139"/>
      <c r="BN160" s="139"/>
      <c r="BO160" s="139"/>
      <c r="BP160" s="139"/>
      <c r="BQ160" s="139"/>
      <c r="BR160" s="139"/>
      <c r="BS160" s="139"/>
      <c r="BT160" s="139"/>
    </row>
    <row r="161" spans="1:72" s="140" customFormat="1" ht="15.75" customHeight="1" x14ac:dyDescent="0.2">
      <c r="A161" s="88" t="s">
        <v>165</v>
      </c>
      <c r="B161" s="100" t="s">
        <v>166</v>
      </c>
      <c r="C161" s="84" t="s">
        <v>32</v>
      </c>
      <c r="D161" s="84" t="s">
        <v>167</v>
      </c>
      <c r="E161" s="90" t="s">
        <v>59</v>
      </c>
      <c r="F161" s="91" t="s">
        <v>59</v>
      </c>
      <c r="G161" s="92">
        <f>SUM(G163)</f>
        <v>1430</v>
      </c>
      <c r="H161" s="139"/>
      <c r="I161" s="139"/>
      <c r="J161" s="139"/>
      <c r="K161" s="139"/>
      <c r="L161" s="139"/>
      <c r="M161" s="139"/>
      <c r="N161" s="139"/>
      <c r="O161" s="139"/>
      <c r="P161" s="139"/>
      <c r="Q161" s="139"/>
      <c r="R161" s="139"/>
      <c r="S161" s="139"/>
      <c r="T161" s="139"/>
      <c r="U161" s="139"/>
      <c r="V161" s="139"/>
      <c r="W161" s="139"/>
      <c r="X161" s="139"/>
      <c r="Y161" s="139"/>
      <c r="Z161" s="139"/>
      <c r="AA161" s="139"/>
      <c r="AB161" s="139"/>
      <c r="AC161" s="139"/>
      <c r="AD161" s="139"/>
      <c r="AE161" s="139"/>
      <c r="AF161" s="139"/>
      <c r="AG161" s="139"/>
      <c r="AH161" s="139"/>
      <c r="AI161" s="139"/>
      <c r="AJ161" s="139"/>
      <c r="AK161" s="139"/>
      <c r="AL161" s="139"/>
      <c r="AM161" s="139"/>
      <c r="AN161" s="139"/>
      <c r="AO161" s="139"/>
      <c r="AP161" s="139"/>
      <c r="AQ161" s="139"/>
      <c r="AR161" s="139"/>
      <c r="AS161" s="139"/>
      <c r="AT161" s="139"/>
      <c r="AU161" s="139"/>
      <c r="AV161" s="139"/>
      <c r="AW161" s="139"/>
      <c r="AX161" s="139"/>
      <c r="AY161" s="139"/>
      <c r="AZ161" s="139"/>
      <c r="BA161" s="139"/>
      <c r="BB161" s="139"/>
      <c r="BC161" s="139"/>
      <c r="BD161" s="139"/>
      <c r="BE161" s="139"/>
      <c r="BF161" s="139"/>
      <c r="BG161" s="139"/>
      <c r="BH161" s="139"/>
      <c r="BI161" s="139"/>
      <c r="BJ161" s="139"/>
      <c r="BK161" s="139"/>
      <c r="BL161" s="139"/>
      <c r="BM161" s="139"/>
      <c r="BN161" s="139"/>
      <c r="BO161" s="139"/>
      <c r="BP161" s="139"/>
      <c r="BQ161" s="139"/>
      <c r="BR161" s="139"/>
      <c r="BS161" s="139"/>
      <c r="BT161" s="139"/>
    </row>
    <row r="162" spans="1:72" s="140" customFormat="1" ht="15.75" customHeight="1" x14ac:dyDescent="0.2">
      <c r="A162" s="82"/>
      <c r="B162" s="93"/>
      <c r="C162" s="84"/>
      <c r="D162" s="84"/>
      <c r="E162" s="84"/>
      <c r="F162" s="94"/>
      <c r="G162" s="141"/>
      <c r="H162" s="139"/>
      <c r="I162" s="139"/>
      <c r="J162" s="139"/>
      <c r="K162" s="139"/>
      <c r="L162" s="139"/>
      <c r="M162" s="139"/>
      <c r="N162" s="139"/>
      <c r="O162" s="139"/>
      <c r="P162" s="139"/>
      <c r="Q162" s="139"/>
      <c r="R162" s="139"/>
      <c r="S162" s="139"/>
      <c r="T162" s="139"/>
      <c r="U162" s="139"/>
      <c r="V162" s="139"/>
      <c r="W162" s="139"/>
      <c r="X162" s="139"/>
      <c r="Y162" s="139"/>
      <c r="Z162" s="139"/>
      <c r="AA162" s="139"/>
      <c r="AB162" s="139"/>
      <c r="AC162" s="139"/>
      <c r="AD162" s="139"/>
      <c r="AE162" s="139"/>
      <c r="AF162" s="139"/>
      <c r="AG162" s="139"/>
      <c r="AH162" s="139"/>
      <c r="AI162" s="139"/>
      <c r="AJ162" s="139"/>
      <c r="AK162" s="139"/>
      <c r="AL162" s="139"/>
      <c r="AM162" s="139"/>
      <c r="AN162" s="139"/>
      <c r="AO162" s="139"/>
      <c r="AP162" s="139"/>
      <c r="AQ162" s="139"/>
      <c r="AR162" s="139"/>
      <c r="AS162" s="139"/>
      <c r="AT162" s="139"/>
      <c r="AU162" s="139"/>
      <c r="AV162" s="139"/>
      <c r="AW162" s="139"/>
      <c r="AX162" s="139"/>
      <c r="AY162" s="139"/>
      <c r="AZ162" s="139"/>
      <c r="BA162" s="139"/>
      <c r="BB162" s="139"/>
      <c r="BC162" s="139"/>
      <c r="BD162" s="139"/>
      <c r="BE162" s="139"/>
      <c r="BF162" s="139"/>
      <c r="BG162" s="139"/>
      <c r="BH162" s="139"/>
      <c r="BI162" s="139"/>
      <c r="BJ162" s="139"/>
      <c r="BK162" s="139"/>
      <c r="BL162" s="139"/>
      <c r="BM162" s="139"/>
      <c r="BN162" s="139"/>
      <c r="BO162" s="139"/>
      <c r="BP162" s="139"/>
      <c r="BQ162" s="139"/>
      <c r="BR162" s="139"/>
      <c r="BS162" s="139"/>
      <c r="BT162" s="139"/>
    </row>
    <row r="163" spans="1:72" s="140" customFormat="1" ht="15.75" customHeight="1" x14ac:dyDescent="0.2">
      <c r="A163" s="82"/>
      <c r="B163" s="142" t="s">
        <v>33</v>
      </c>
      <c r="C163" s="84"/>
      <c r="D163" s="84"/>
      <c r="E163" s="84"/>
      <c r="F163" s="94"/>
      <c r="G163" s="141">
        <f>SUM(G164:G164)</f>
        <v>1430</v>
      </c>
      <c r="H163" s="139"/>
      <c r="I163" s="139"/>
      <c r="J163" s="139"/>
      <c r="K163" s="139"/>
      <c r="L163" s="139"/>
      <c r="M163" s="139"/>
      <c r="N163" s="139"/>
      <c r="O163" s="139"/>
      <c r="P163" s="139"/>
      <c r="Q163" s="139"/>
      <c r="R163" s="139"/>
      <c r="S163" s="139"/>
      <c r="T163" s="139"/>
      <c r="U163" s="139"/>
      <c r="V163" s="139"/>
      <c r="W163" s="139"/>
      <c r="X163" s="139"/>
      <c r="Y163" s="139"/>
      <c r="Z163" s="139"/>
      <c r="AA163" s="139"/>
      <c r="AB163" s="139"/>
      <c r="AC163" s="139"/>
      <c r="AD163" s="139"/>
      <c r="AE163" s="139"/>
      <c r="AF163" s="139"/>
      <c r="AG163" s="139"/>
      <c r="AH163" s="139"/>
      <c r="AI163" s="139"/>
      <c r="AJ163" s="139"/>
      <c r="AK163" s="139"/>
      <c r="AL163" s="139"/>
      <c r="AM163" s="139"/>
      <c r="AN163" s="139"/>
      <c r="AO163" s="139"/>
      <c r="AP163" s="139"/>
      <c r="AQ163" s="139"/>
      <c r="AR163" s="139"/>
      <c r="AS163" s="139"/>
      <c r="AT163" s="139"/>
      <c r="AU163" s="139"/>
      <c r="AV163" s="139"/>
      <c r="AW163" s="139"/>
      <c r="AX163" s="139"/>
      <c r="AY163" s="139"/>
      <c r="AZ163" s="139"/>
      <c r="BA163" s="139"/>
      <c r="BB163" s="139"/>
      <c r="BC163" s="139"/>
      <c r="BD163" s="139"/>
      <c r="BE163" s="139"/>
      <c r="BF163" s="139"/>
      <c r="BG163" s="139"/>
      <c r="BH163" s="139"/>
      <c r="BI163" s="139"/>
      <c r="BJ163" s="139"/>
      <c r="BK163" s="139"/>
      <c r="BL163" s="139"/>
      <c r="BM163" s="139"/>
      <c r="BN163" s="139"/>
      <c r="BO163" s="139"/>
      <c r="BP163" s="139"/>
      <c r="BQ163" s="139"/>
      <c r="BR163" s="139"/>
      <c r="BS163" s="139"/>
      <c r="BT163" s="139"/>
    </row>
    <row r="164" spans="1:72" s="140" customFormat="1" ht="15.75" customHeight="1" x14ac:dyDescent="0.2">
      <c r="A164" s="82"/>
      <c r="B164" s="83"/>
      <c r="C164" s="101"/>
      <c r="D164" s="84"/>
      <c r="E164" s="84" t="s">
        <v>63</v>
      </c>
      <c r="F164" s="94" t="s">
        <v>59</v>
      </c>
      <c r="G164" s="95">
        <f>717+713</f>
        <v>1430</v>
      </c>
      <c r="H164" s="139"/>
      <c r="I164" s="139"/>
      <c r="J164" s="139"/>
      <c r="K164" s="139"/>
      <c r="L164" s="139"/>
      <c r="M164" s="139"/>
      <c r="N164" s="139"/>
      <c r="O164" s="139"/>
      <c r="P164" s="139"/>
      <c r="Q164" s="139"/>
      <c r="R164" s="139"/>
      <c r="S164" s="139"/>
      <c r="T164" s="139"/>
      <c r="U164" s="139"/>
      <c r="V164" s="139"/>
      <c r="W164" s="139"/>
      <c r="X164" s="139"/>
      <c r="Y164" s="139"/>
      <c r="Z164" s="139"/>
      <c r="AA164" s="139"/>
      <c r="AB164" s="139"/>
      <c r="AC164" s="139"/>
      <c r="AD164" s="139"/>
      <c r="AE164" s="139"/>
      <c r="AF164" s="139"/>
      <c r="AG164" s="139"/>
      <c r="AH164" s="139"/>
      <c r="AI164" s="139"/>
      <c r="AJ164" s="139"/>
      <c r="AK164" s="139"/>
      <c r="AL164" s="139"/>
      <c r="AM164" s="139"/>
      <c r="AN164" s="139"/>
      <c r="AO164" s="139"/>
      <c r="AP164" s="139"/>
      <c r="AQ164" s="139"/>
      <c r="AR164" s="139"/>
      <c r="AS164" s="139"/>
      <c r="AT164" s="139"/>
      <c r="AU164" s="139"/>
      <c r="AV164" s="139"/>
      <c r="AW164" s="139"/>
      <c r="AX164" s="139"/>
      <c r="AY164" s="139"/>
      <c r="AZ164" s="139"/>
      <c r="BA164" s="139"/>
      <c r="BB164" s="139"/>
      <c r="BC164" s="139"/>
      <c r="BD164" s="139"/>
      <c r="BE164" s="139"/>
      <c r="BF164" s="139"/>
      <c r="BG164" s="139"/>
      <c r="BH164" s="139"/>
      <c r="BI164" s="139"/>
      <c r="BJ164" s="139"/>
      <c r="BK164" s="139"/>
      <c r="BL164" s="139"/>
      <c r="BM164" s="139"/>
      <c r="BN164" s="139"/>
      <c r="BO164" s="139"/>
      <c r="BP164" s="139"/>
      <c r="BQ164" s="139"/>
      <c r="BR164" s="139"/>
      <c r="BS164" s="139"/>
      <c r="BT164" s="139"/>
    </row>
    <row r="165" spans="1:72" s="78" customFormat="1" ht="15.75" customHeight="1" x14ac:dyDescent="0.2">
      <c r="A165" s="96"/>
      <c r="B165" s="97"/>
      <c r="C165" s="101"/>
      <c r="D165" s="84"/>
      <c r="E165" s="85"/>
      <c r="F165" s="99"/>
      <c r="G165" s="99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/>
      <c r="AS165" s="77"/>
      <c r="AT165" s="77"/>
      <c r="AU165" s="77"/>
      <c r="AV165" s="77"/>
      <c r="AW165" s="77"/>
      <c r="AX165" s="77"/>
      <c r="AY165" s="77"/>
      <c r="AZ165" s="77"/>
      <c r="BA165" s="77"/>
      <c r="BB165" s="77"/>
      <c r="BC165" s="77"/>
      <c r="BD165" s="77"/>
      <c r="BE165" s="77"/>
      <c r="BF165" s="77"/>
      <c r="BG165" s="77"/>
      <c r="BH165" s="77"/>
      <c r="BI165" s="77"/>
      <c r="BJ165" s="77"/>
      <c r="BK165" s="77"/>
      <c r="BL165" s="77"/>
      <c r="BM165" s="77"/>
      <c r="BN165" s="77"/>
      <c r="BO165" s="77"/>
      <c r="BP165" s="77"/>
      <c r="BQ165" s="77"/>
      <c r="BR165" s="77"/>
      <c r="BS165" s="77"/>
      <c r="BT165" s="77"/>
    </row>
    <row r="166" spans="1:72" s="78" customFormat="1" ht="27" customHeight="1" x14ac:dyDescent="0.2">
      <c r="A166" s="144"/>
      <c r="B166" s="145" t="s">
        <v>113</v>
      </c>
      <c r="C166" s="146"/>
      <c r="D166" s="147"/>
      <c r="E166" s="148"/>
      <c r="F166" s="148">
        <f>SUM(F12,F19,F28,F36,F119,F126,F134,F148,F154,F160)</f>
        <v>4618426.12</v>
      </c>
      <c r="G166" s="148">
        <f>SUM(G13,G20,G29,G37,G120,G127,G135,G149,G155,G161)</f>
        <v>4618426.12</v>
      </c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  <c r="AC166" s="77"/>
      <c r="AD166" s="77"/>
      <c r="AE166" s="77"/>
      <c r="AF166" s="77"/>
      <c r="AG166" s="77"/>
      <c r="AH166" s="77"/>
      <c r="AI166" s="77"/>
      <c r="AJ166" s="77"/>
      <c r="AK166" s="77"/>
      <c r="AL166" s="77"/>
      <c r="AM166" s="77"/>
      <c r="AN166" s="77"/>
      <c r="AO166" s="77"/>
      <c r="AP166" s="77"/>
      <c r="AQ166" s="77"/>
      <c r="AR166" s="77"/>
      <c r="AS166" s="77"/>
      <c r="AT166" s="77"/>
      <c r="AU166" s="77"/>
      <c r="AV166" s="77"/>
      <c r="AW166" s="77"/>
      <c r="AX166" s="77"/>
      <c r="AY166" s="77"/>
      <c r="AZ166" s="77"/>
      <c r="BA166" s="77"/>
      <c r="BB166" s="77"/>
      <c r="BC166" s="77"/>
      <c r="BD166" s="77"/>
      <c r="BE166" s="77"/>
      <c r="BF166" s="77"/>
      <c r="BG166" s="77"/>
      <c r="BH166" s="77"/>
      <c r="BI166" s="77"/>
      <c r="BJ166" s="77"/>
      <c r="BK166" s="77"/>
      <c r="BL166" s="77"/>
      <c r="BM166" s="77"/>
      <c r="BN166" s="77"/>
      <c r="BO166" s="77"/>
      <c r="BP166" s="77"/>
      <c r="BQ166" s="77"/>
      <c r="BR166" s="77"/>
      <c r="BS166" s="77"/>
      <c r="BT166" s="77"/>
    </row>
    <row r="168" spans="1:72" s="125" customFormat="1" x14ac:dyDescent="0.25">
      <c r="A168" s="149"/>
      <c r="B168" s="138"/>
      <c r="C168" s="138"/>
      <c r="D168" s="138"/>
      <c r="E168" s="138"/>
      <c r="I168" s="16"/>
    </row>
    <row r="169" spans="1:72" s="125" customFormat="1" x14ac:dyDescent="0.25">
      <c r="A169" s="138"/>
      <c r="B169" s="138"/>
      <c r="C169" s="138"/>
      <c r="D169" s="138"/>
      <c r="E169" s="138"/>
      <c r="F169" s="123"/>
      <c r="G169" s="123"/>
    </row>
    <row r="170" spans="1:72" s="125" customFormat="1" x14ac:dyDescent="0.25">
      <c r="A170" s="138"/>
      <c r="B170" s="138"/>
      <c r="C170" s="138"/>
      <c r="D170" s="138"/>
      <c r="E170" s="138"/>
      <c r="F170" s="123"/>
      <c r="G170" s="123"/>
    </row>
    <row r="171" spans="1:72" s="125" customFormat="1" x14ac:dyDescent="0.25">
      <c r="A171" s="138"/>
      <c r="B171" s="138"/>
      <c r="C171" s="138"/>
      <c r="D171" s="138"/>
      <c r="E171" s="138"/>
      <c r="F171" s="124"/>
      <c r="G171" s="124"/>
    </row>
    <row r="172" spans="1:72" s="125" customFormat="1" x14ac:dyDescent="0.25">
      <c r="A172" s="138"/>
      <c r="B172" s="138"/>
      <c r="C172" s="138"/>
      <c r="D172" s="138"/>
      <c r="E172" s="138"/>
      <c r="F172" s="150"/>
      <c r="G172" s="150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2" manualBreakCount="2">
    <brk id="49" max="16383" man="1"/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Zał.Nr1</vt:lpstr>
      <vt:lpstr>Zał. Nr 2</vt:lpstr>
      <vt:lpstr>'Zał. Nr 2'!Tytuły_wydruku</vt:lpstr>
      <vt:lpstr>Zał.Nr1!Tytuły_wydruku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Zarządzenie nr 350/2022 Prezydenta Miasta Włocławek z dn. 13 października 2022 r.</dc:title>
  <dc:creator>Beata Duszeńska</dc:creator>
  <cp:keywords>Zrządzenie Prezydenta Miasta Włocławek</cp:keywords>
  <cp:lastModifiedBy>Karolina Budziszewska</cp:lastModifiedBy>
  <cp:lastPrinted>2022-10-17T06:44:48Z</cp:lastPrinted>
  <dcterms:created xsi:type="dcterms:W3CDTF">2022-09-19T08:29:34Z</dcterms:created>
  <dcterms:modified xsi:type="dcterms:W3CDTF">2022-10-20T10:40:53Z</dcterms:modified>
</cp:coreProperties>
</file>