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66DDD008-6144-4949-899F-CB0B939F30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26" r:id="rId1"/>
    <sheet name="Zał.Nr2" sheetId="27" r:id="rId2"/>
    <sheet name="Zał.Nr3" sheetId="28" r:id="rId3"/>
    <sheet name="Zał.Nr4" sheetId="29" r:id="rId4"/>
    <sheet name="Zał.Nr5" sheetId="30" r:id="rId5"/>
    <sheet name="Zał.Nr6" sheetId="31" r:id="rId6"/>
    <sheet name="Arkusz1" sheetId="18" r:id="rId7"/>
  </sheets>
  <definedNames>
    <definedName name="_xlnm.Print_Titles" localSheetId="0">Zał.Nr1!$7:$9</definedName>
    <definedName name="_xlnm.Print_Titles" localSheetId="3">Zał.Nr4!$10:$11</definedName>
    <definedName name="_xlnm.Print_Titles" localSheetId="5">Zał.Nr6!$10:$11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2" i="31" l="1"/>
  <c r="G181" i="31"/>
  <c r="G179" i="31" s="1"/>
  <c r="F178" i="31"/>
  <c r="G175" i="31"/>
  <c r="G173" i="31"/>
  <c r="G169" i="31"/>
  <c r="G167" i="31"/>
  <c r="G163" i="31"/>
  <c r="G161" i="31"/>
  <c r="G158" i="31" s="1"/>
  <c r="G160" i="31"/>
  <c r="G156" i="31"/>
  <c r="G155" i="31"/>
  <c r="G153" i="31" s="1"/>
  <c r="F152" i="31"/>
  <c r="G150" i="31"/>
  <c r="G149" i="31"/>
  <c r="G147" i="31" s="1"/>
  <c r="G145" i="31" s="1"/>
  <c r="G148" i="31"/>
  <c r="F144" i="31"/>
  <c r="G142" i="31"/>
  <c r="G141" i="31"/>
  <c r="G140" i="31"/>
  <c r="G138" i="31"/>
  <c r="F137" i="31"/>
  <c r="G134" i="31"/>
  <c r="G132" i="31"/>
  <c r="G130" i="31"/>
  <c r="G129" i="31"/>
  <c r="G128" i="31"/>
  <c r="G127" i="31"/>
  <c r="G126" i="31"/>
  <c r="G124" i="31" s="1"/>
  <c r="G122" i="31"/>
  <c r="G121" i="31"/>
  <c r="G119" i="31"/>
  <c r="G117" i="31"/>
  <c r="G116" i="31"/>
  <c r="G115" i="31"/>
  <c r="G114" i="31"/>
  <c r="G112" i="31" s="1"/>
  <c r="G110" i="31" s="1"/>
  <c r="G113" i="31"/>
  <c r="G108" i="31"/>
  <c r="G107" i="31" s="1"/>
  <c r="G105" i="31" s="1"/>
  <c r="G103" i="31"/>
  <c r="G102" i="31"/>
  <c r="G97" i="31" s="1"/>
  <c r="G95" i="31" s="1"/>
  <c r="G101" i="31"/>
  <c r="G100" i="31"/>
  <c r="G98" i="31"/>
  <c r="G93" i="31"/>
  <c r="G92" i="31"/>
  <c r="G91" i="31"/>
  <c r="G87" i="31" s="1"/>
  <c r="G85" i="31" s="1"/>
  <c r="G90" i="31"/>
  <c r="G89" i="31"/>
  <c r="G88" i="31"/>
  <c r="G83" i="31"/>
  <c r="G82" i="31"/>
  <c r="G81" i="31"/>
  <c r="G80" i="31"/>
  <c r="G79" i="31"/>
  <c r="G78" i="31"/>
  <c r="G77" i="31"/>
  <c r="G75" i="31" s="1"/>
  <c r="G73" i="31"/>
  <c r="G72" i="31"/>
  <c r="G70" i="31"/>
  <c r="G68" i="31"/>
  <c r="G67" i="31"/>
  <c r="G66" i="31"/>
  <c r="G65" i="31"/>
  <c r="G62" i="31" s="1"/>
  <c r="G60" i="31" s="1"/>
  <c r="G64" i="31"/>
  <c r="G63" i="31"/>
  <c r="G58" i="31"/>
  <c r="G57" i="31"/>
  <c r="G56" i="31"/>
  <c r="G55" i="31"/>
  <c r="G52" i="31" s="1"/>
  <c r="G50" i="31" s="1"/>
  <c r="G54" i="31"/>
  <c r="G53" i="31"/>
  <c r="G48" i="31"/>
  <c r="G47" i="31"/>
  <c r="G46" i="31"/>
  <c r="G45" i="31"/>
  <c r="G42" i="31" s="1"/>
  <c r="G40" i="31" s="1"/>
  <c r="G44" i="31"/>
  <c r="G43" i="31"/>
  <c r="F36" i="31"/>
  <c r="G34" i="31"/>
  <c r="G31" i="31" s="1"/>
  <c r="G29" i="31" s="1"/>
  <c r="G33" i="31"/>
  <c r="G32" i="31"/>
  <c r="F28" i="31"/>
  <c r="G26" i="31"/>
  <c r="G25" i="31"/>
  <c r="G23" i="31"/>
  <c r="G22" i="31" s="1"/>
  <c r="G20" i="31" s="1"/>
  <c r="F19" i="31"/>
  <c r="G17" i="31"/>
  <c r="G15" i="31" s="1"/>
  <c r="G13" i="31" s="1"/>
  <c r="F12" i="31"/>
  <c r="F184" i="31" s="1"/>
  <c r="G37" i="31" l="1"/>
  <c r="G184" i="31" s="1"/>
  <c r="G32" i="30" l="1"/>
  <c r="F32" i="30"/>
  <c r="E32" i="30"/>
  <c r="D32" i="30"/>
  <c r="E167" i="29" l="1"/>
  <c r="E164" i="29"/>
  <c r="E152" i="29"/>
  <c r="E150" i="29"/>
  <c r="E145" i="29"/>
  <c r="E142" i="29"/>
  <c r="E138" i="29"/>
  <c r="E125" i="29"/>
  <c r="E113" i="29"/>
  <c r="E107" i="29"/>
  <c r="E92" i="29"/>
  <c r="E90" i="29"/>
  <c r="E88" i="29"/>
  <c r="E72" i="29"/>
  <c r="E69" i="29"/>
  <c r="E59" i="29"/>
  <c r="E169" i="29" s="1"/>
  <c r="E56" i="29"/>
  <c r="E52" i="29"/>
  <c r="E50" i="29"/>
  <c r="E49" i="29"/>
  <c r="E47" i="29"/>
  <c r="E45" i="29"/>
  <c r="E44" i="29"/>
  <c r="E42" i="29"/>
  <c r="E41" i="29"/>
  <c r="E40" i="29"/>
  <c r="E38" i="29"/>
  <c r="E36" i="29"/>
  <c r="E32" i="29"/>
  <c r="E28" i="29"/>
  <c r="E20" i="29"/>
  <c r="E16" i="29"/>
  <c r="E13" i="29"/>
  <c r="I21" i="28"/>
  <c r="H21" i="28"/>
  <c r="G21" i="28"/>
  <c r="F21" i="28"/>
  <c r="E20" i="28"/>
  <c r="E19" i="28"/>
  <c r="H18" i="28"/>
  <c r="G18" i="28"/>
  <c r="F18" i="28"/>
  <c r="E18" i="28"/>
  <c r="D18" i="28"/>
  <c r="G17" i="28"/>
  <c r="F17" i="28"/>
  <c r="E17" i="28"/>
  <c r="D17" i="28"/>
  <c r="F16" i="28"/>
  <c r="E16" i="28"/>
  <c r="D16" i="28"/>
  <c r="G15" i="28"/>
  <c r="F15" i="28"/>
  <c r="E15" i="28"/>
  <c r="D15" i="28"/>
  <c r="F14" i="28"/>
  <c r="E14" i="28"/>
  <c r="E21" i="28" s="1"/>
  <c r="D14" i="28"/>
  <c r="D21" i="28" s="1"/>
  <c r="E170" i="29" l="1"/>
  <c r="H749" i="26"/>
  <c r="H748" i="26"/>
  <c r="G747" i="26"/>
  <c r="F747" i="26"/>
  <c r="H746" i="26"/>
  <c r="H745" i="26"/>
  <c r="H744" i="26"/>
  <c r="G743" i="26"/>
  <c r="F743" i="26"/>
  <c r="H740" i="26"/>
  <c r="G739" i="26"/>
  <c r="F739" i="26"/>
  <c r="H739" i="26" s="1"/>
  <c r="H738" i="26"/>
  <c r="G737" i="26"/>
  <c r="G736" i="26" s="1"/>
  <c r="F737" i="26"/>
  <c r="F736" i="26"/>
  <c r="F733" i="26" s="1"/>
  <c r="H732" i="26"/>
  <c r="H731" i="26"/>
  <c r="H730" i="26"/>
  <c r="H729" i="26"/>
  <c r="H728" i="26"/>
  <c r="H727" i="26"/>
  <c r="H726" i="26"/>
  <c r="F726" i="26"/>
  <c r="H725" i="26"/>
  <c r="H724" i="26"/>
  <c r="H723" i="26"/>
  <c r="G722" i="26"/>
  <c r="G721" i="26" s="1"/>
  <c r="G720" i="26" s="1"/>
  <c r="F722" i="26"/>
  <c r="H722" i="26" s="1"/>
  <c r="F721" i="26"/>
  <c r="H718" i="26"/>
  <c r="H717" i="26"/>
  <c r="H716" i="26"/>
  <c r="G715" i="26"/>
  <c r="G714" i="26" s="1"/>
  <c r="G713" i="26" s="1"/>
  <c r="F715" i="26"/>
  <c r="H712" i="26"/>
  <c r="H711" i="26"/>
  <c r="G710" i="26"/>
  <c r="G708" i="26" s="1"/>
  <c r="F710" i="26"/>
  <c r="H708" i="26"/>
  <c r="F708" i="26"/>
  <c r="H707" i="26"/>
  <c r="H706" i="26"/>
  <c r="H705" i="26"/>
  <c r="G704" i="26"/>
  <c r="H704" i="26" s="1"/>
  <c r="F704" i="26"/>
  <c r="H703" i="26"/>
  <c r="G702" i="26"/>
  <c r="H702" i="26" s="1"/>
  <c r="F702" i="26"/>
  <c r="F701" i="26" s="1"/>
  <c r="G701" i="26"/>
  <c r="G700" i="26" s="1"/>
  <c r="H699" i="26"/>
  <c r="H698" i="26"/>
  <c r="H697" i="26"/>
  <c r="G696" i="26"/>
  <c r="F696" i="26"/>
  <c r="H695" i="26"/>
  <c r="H694" i="26"/>
  <c r="G693" i="26"/>
  <c r="H693" i="26" s="1"/>
  <c r="F693" i="26"/>
  <c r="H689" i="26"/>
  <c r="H688" i="26"/>
  <c r="G687" i="26"/>
  <c r="F687" i="26"/>
  <c r="F686" i="26"/>
  <c r="H684" i="26"/>
  <c r="H683" i="26"/>
  <c r="H682" i="26"/>
  <c r="H681" i="26"/>
  <c r="G680" i="26"/>
  <c r="F680" i="26"/>
  <c r="G679" i="26"/>
  <c r="H678" i="26"/>
  <c r="H677" i="26"/>
  <c r="H676" i="26"/>
  <c r="G676" i="26"/>
  <c r="G675" i="26" s="1"/>
  <c r="F676" i="26"/>
  <c r="F675" i="26" s="1"/>
  <c r="H674" i="26"/>
  <c r="H673" i="26"/>
  <c r="H672" i="26"/>
  <c r="G671" i="26"/>
  <c r="F671" i="26"/>
  <c r="H671" i="26" s="1"/>
  <c r="H669" i="26"/>
  <c r="H668" i="26"/>
  <c r="H667" i="26"/>
  <c r="H666" i="26"/>
  <c r="H665" i="26"/>
  <c r="H664" i="26"/>
  <c r="H663" i="26"/>
  <c r="F662" i="26"/>
  <c r="H662" i="26" s="1"/>
  <c r="H661" i="26"/>
  <c r="H660" i="26"/>
  <c r="H659" i="26"/>
  <c r="H658" i="26"/>
  <c r="F658" i="26"/>
  <c r="G657" i="26"/>
  <c r="G656" i="26" s="1"/>
  <c r="G655" i="26" s="1"/>
  <c r="H654" i="26"/>
  <c r="H653" i="26"/>
  <c r="G652" i="26"/>
  <c r="G649" i="26" s="1"/>
  <c r="G646" i="26" s="1"/>
  <c r="F652" i="26"/>
  <c r="H651" i="26"/>
  <c r="G650" i="26"/>
  <c r="F650" i="26"/>
  <c r="F645" i="26"/>
  <c r="H645" i="26" s="1"/>
  <c r="F644" i="26"/>
  <c r="G643" i="26"/>
  <c r="G642" i="26"/>
  <c r="G641" i="26" s="1"/>
  <c r="F641" i="26"/>
  <c r="H640" i="26"/>
  <c r="H639" i="26"/>
  <c r="H638" i="26"/>
  <c r="G637" i="26"/>
  <c r="F637" i="26"/>
  <c r="H633" i="26"/>
  <c r="H632" i="26"/>
  <c r="G631" i="26"/>
  <c r="F631" i="26"/>
  <c r="H631" i="26" s="1"/>
  <c r="H630" i="26"/>
  <c r="H629" i="26"/>
  <c r="F628" i="26"/>
  <c r="G627" i="26"/>
  <c r="G626" i="26" s="1"/>
  <c r="G625" i="26" s="1"/>
  <c r="H624" i="26"/>
  <c r="H623" i="26"/>
  <c r="G622" i="26"/>
  <c r="F622" i="26"/>
  <c r="G621" i="26"/>
  <c r="G620" i="26" s="1"/>
  <c r="H618" i="26"/>
  <c r="H617" i="26"/>
  <c r="H616" i="26"/>
  <c r="G615" i="26"/>
  <c r="G614" i="26" s="1"/>
  <c r="G613" i="26" s="1"/>
  <c r="H613" i="26" s="1"/>
  <c r="F615" i="26"/>
  <c r="F614" i="26" s="1"/>
  <c r="F613" i="26"/>
  <c r="H612" i="26"/>
  <c r="H611" i="26"/>
  <c r="G610" i="26"/>
  <c r="H610" i="26" s="1"/>
  <c r="F610" i="26"/>
  <c r="H608" i="26"/>
  <c r="H607" i="26"/>
  <c r="G606" i="26"/>
  <c r="F606" i="26"/>
  <c r="H605" i="26"/>
  <c r="H604" i="26"/>
  <c r="H603" i="26"/>
  <c r="H602" i="26"/>
  <c r="H601" i="26"/>
  <c r="H600" i="26"/>
  <c r="H599" i="26"/>
  <c r="H598" i="26"/>
  <c r="H597" i="26"/>
  <c r="H596" i="26"/>
  <c r="G595" i="26"/>
  <c r="F595" i="26"/>
  <c r="H595" i="26" s="1"/>
  <c r="H593" i="26"/>
  <c r="H592" i="26"/>
  <c r="H591" i="26"/>
  <c r="G591" i="26"/>
  <c r="F591" i="26"/>
  <c r="H589" i="26"/>
  <c r="H588" i="26"/>
  <c r="G588" i="26"/>
  <c r="G587" i="26" s="1"/>
  <c r="F588" i="26"/>
  <c r="F587" i="26" s="1"/>
  <c r="H586" i="26"/>
  <c r="H585" i="26"/>
  <c r="H584" i="26"/>
  <c r="H583" i="26"/>
  <c r="H582" i="26"/>
  <c r="G582" i="26"/>
  <c r="G581" i="26" s="1"/>
  <c r="F582" i="26"/>
  <c r="F581" i="26" s="1"/>
  <c r="H579" i="26"/>
  <c r="H578" i="26"/>
  <c r="G577" i="26"/>
  <c r="F577" i="26"/>
  <c r="H577" i="26" s="1"/>
  <c r="H576" i="26"/>
  <c r="H575" i="26"/>
  <c r="H574" i="26"/>
  <c r="H573" i="26"/>
  <c r="G572" i="26"/>
  <c r="F572" i="26"/>
  <c r="F571" i="26"/>
  <c r="H570" i="26"/>
  <c r="H569" i="26"/>
  <c r="G568" i="26"/>
  <c r="F568" i="26"/>
  <c r="H567" i="26"/>
  <c r="H566" i="26"/>
  <c r="G565" i="26"/>
  <c r="G564" i="26" s="1"/>
  <c r="F565" i="26"/>
  <c r="H565" i="26" s="1"/>
  <c r="H563" i="26"/>
  <c r="H562" i="26"/>
  <c r="G561" i="26"/>
  <c r="G560" i="26" s="1"/>
  <c r="F561" i="26"/>
  <c r="F560" i="26" s="1"/>
  <c r="H558" i="26"/>
  <c r="G557" i="26"/>
  <c r="F557" i="26"/>
  <c r="F556" i="26" s="1"/>
  <c r="H555" i="26"/>
  <c r="G554" i="26"/>
  <c r="F554" i="26"/>
  <c r="H554" i="26" s="1"/>
  <c r="H553" i="26"/>
  <c r="G552" i="26"/>
  <c r="G551" i="26" s="1"/>
  <c r="F552" i="26"/>
  <c r="H550" i="26"/>
  <c r="G549" i="26"/>
  <c r="F549" i="26"/>
  <c r="H548" i="26"/>
  <c r="H547" i="26"/>
  <c r="H546" i="26"/>
  <c r="G546" i="26"/>
  <c r="F546" i="26"/>
  <c r="H545" i="26"/>
  <c r="H544" i="26"/>
  <c r="G544" i="26"/>
  <c r="G543" i="26" s="1"/>
  <c r="F544" i="26"/>
  <c r="F543" i="26" s="1"/>
  <c r="H542" i="26"/>
  <c r="H541" i="26"/>
  <c r="H540" i="26"/>
  <c r="H539" i="26"/>
  <c r="H538" i="26"/>
  <c r="G538" i="26"/>
  <c r="G537" i="26" s="1"/>
  <c r="F538" i="26"/>
  <c r="F537" i="26" s="1"/>
  <c r="H534" i="26"/>
  <c r="H533" i="26"/>
  <c r="H532" i="26"/>
  <c r="H531" i="26"/>
  <c r="H530" i="26"/>
  <c r="H529" i="26"/>
  <c r="H528" i="26"/>
  <c r="H527" i="26"/>
  <c r="G526" i="26"/>
  <c r="F526" i="26"/>
  <c r="H525" i="26"/>
  <c r="H524" i="26"/>
  <c r="G523" i="26"/>
  <c r="H523" i="26" s="1"/>
  <c r="F523" i="26"/>
  <c r="H522" i="26"/>
  <c r="H521" i="26"/>
  <c r="H520" i="26"/>
  <c r="H519" i="26"/>
  <c r="G518" i="26"/>
  <c r="F518" i="26"/>
  <c r="H518" i="26" s="1"/>
  <c r="H515" i="26"/>
  <c r="H514" i="26"/>
  <c r="H513" i="26"/>
  <c r="H512" i="26"/>
  <c r="H511" i="26"/>
  <c r="H510" i="26"/>
  <c r="H509" i="26"/>
  <c r="G509" i="26"/>
  <c r="G508" i="26" s="1"/>
  <c r="F509" i="26"/>
  <c r="F508" i="26" s="1"/>
  <c r="H507" i="26"/>
  <c r="H506" i="26"/>
  <c r="G505" i="26"/>
  <c r="F505" i="26"/>
  <c r="F504" i="26" s="1"/>
  <c r="G504" i="26"/>
  <c r="H503" i="26"/>
  <c r="H502" i="26"/>
  <c r="H501" i="26"/>
  <c r="H500" i="26"/>
  <c r="G499" i="26"/>
  <c r="F499" i="26"/>
  <c r="H499" i="26" s="1"/>
  <c r="H497" i="26"/>
  <c r="G496" i="26"/>
  <c r="G495" i="26" s="1"/>
  <c r="F496" i="26"/>
  <c r="H493" i="26"/>
  <c r="H492" i="26"/>
  <c r="H491" i="26"/>
  <c r="H490" i="26"/>
  <c r="H489" i="26"/>
  <c r="H488" i="26"/>
  <c r="H487" i="26"/>
  <c r="H486" i="26"/>
  <c r="H485" i="26"/>
  <c r="H484" i="26"/>
  <c r="G484" i="26"/>
  <c r="F484" i="26"/>
  <c r="F483" i="26" s="1"/>
  <c r="H483" i="26" s="1"/>
  <c r="G483" i="26"/>
  <c r="H482" i="26"/>
  <c r="H481" i="26"/>
  <c r="H480" i="26"/>
  <c r="H479" i="26"/>
  <c r="G478" i="26"/>
  <c r="G477" i="26" s="1"/>
  <c r="F478" i="26"/>
  <c r="H476" i="26"/>
  <c r="G475" i="26"/>
  <c r="F475" i="26"/>
  <c r="H475" i="26" s="1"/>
  <c r="H474" i="26"/>
  <c r="G473" i="26"/>
  <c r="F473" i="26"/>
  <c r="F472" i="26" s="1"/>
  <c r="G472" i="26"/>
  <c r="H470" i="26"/>
  <c r="H469" i="26"/>
  <c r="G468" i="26"/>
  <c r="G467" i="26" s="1"/>
  <c r="F468" i="26"/>
  <c r="F467" i="26" s="1"/>
  <c r="H466" i="26"/>
  <c r="G465" i="26"/>
  <c r="H465" i="26" s="1"/>
  <c r="F465" i="26"/>
  <c r="H464" i="26"/>
  <c r="H463" i="26"/>
  <c r="H462" i="26"/>
  <c r="G461" i="26"/>
  <c r="F461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G441" i="26"/>
  <c r="F441" i="26"/>
  <c r="H440" i="26"/>
  <c r="H439" i="26"/>
  <c r="H438" i="26"/>
  <c r="H437" i="26"/>
  <c r="H436" i="26"/>
  <c r="H435" i="26"/>
  <c r="H434" i="26"/>
  <c r="H433" i="26"/>
  <c r="G432" i="26"/>
  <c r="F432" i="26"/>
  <c r="H430" i="26"/>
  <c r="H429" i="26"/>
  <c r="H428" i="26"/>
  <c r="G427" i="26"/>
  <c r="G426" i="26" s="1"/>
  <c r="H426" i="26" s="1"/>
  <c r="F427" i="26"/>
  <c r="F426" i="26"/>
  <c r="H424" i="26"/>
  <c r="H423" i="26"/>
  <c r="H422" i="26"/>
  <c r="H421" i="26"/>
  <c r="H420" i="26"/>
  <c r="H419" i="26"/>
  <c r="H418" i="26"/>
  <c r="H417" i="26"/>
  <c r="H416" i="26"/>
  <c r="G416" i="26"/>
  <c r="F416" i="26"/>
  <c r="H415" i="26"/>
  <c r="H414" i="26"/>
  <c r="H413" i="26"/>
  <c r="H412" i="26"/>
  <c r="G411" i="26"/>
  <c r="H411" i="26" s="1"/>
  <c r="F411" i="26"/>
  <c r="H410" i="26"/>
  <c r="H409" i="26"/>
  <c r="H408" i="26"/>
  <c r="G408" i="26"/>
  <c r="F408" i="26"/>
  <c r="F407" i="26" s="1"/>
  <c r="H407" i="26" s="1"/>
  <c r="G407" i="26"/>
  <c r="H406" i="26"/>
  <c r="G405" i="26"/>
  <c r="G404" i="26" s="1"/>
  <c r="F405" i="26"/>
  <c r="F404" i="26"/>
  <c r="H396" i="26"/>
  <c r="G395" i="26"/>
  <c r="F395" i="26"/>
  <c r="H394" i="26"/>
  <c r="G393" i="26"/>
  <c r="F393" i="26"/>
  <c r="F392" i="26" s="1"/>
  <c r="H391" i="26"/>
  <c r="H390" i="26"/>
  <c r="H389" i="26"/>
  <c r="G388" i="26"/>
  <c r="F388" i="26"/>
  <c r="H388" i="26" s="1"/>
  <c r="G387" i="26"/>
  <c r="H384" i="26"/>
  <c r="G383" i="26"/>
  <c r="F383" i="26"/>
  <c r="H383" i="26" s="1"/>
  <c r="H382" i="26"/>
  <c r="G381" i="26"/>
  <c r="G380" i="26" s="1"/>
  <c r="F381" i="26"/>
  <c r="F380" i="26"/>
  <c r="H380" i="26" s="1"/>
  <c r="H376" i="26"/>
  <c r="H375" i="26"/>
  <c r="H374" i="26"/>
  <c r="H373" i="26"/>
  <c r="H372" i="26"/>
  <c r="H371" i="26"/>
  <c r="H370" i="26"/>
  <c r="H369" i="26"/>
  <c r="G369" i="26"/>
  <c r="F369" i="26"/>
  <c r="G368" i="26"/>
  <c r="F368" i="26"/>
  <c r="H368" i="26" s="1"/>
  <c r="H367" i="26"/>
  <c r="F366" i="26"/>
  <c r="H366" i="26" s="1"/>
  <c r="H365" i="26"/>
  <c r="H364" i="26"/>
  <c r="H363" i="26"/>
  <c r="H362" i="26"/>
  <c r="F361" i="26"/>
  <c r="G360" i="26"/>
  <c r="G359" i="26" s="1"/>
  <c r="H358" i="26"/>
  <c r="H357" i="26"/>
  <c r="H356" i="26"/>
  <c r="G355" i="26"/>
  <c r="G354" i="26" s="1"/>
  <c r="H354" i="26" s="1"/>
  <c r="F355" i="26"/>
  <c r="H355" i="26" s="1"/>
  <c r="F354" i="26"/>
  <c r="H352" i="26"/>
  <c r="H351" i="26"/>
  <c r="G351" i="26"/>
  <c r="F351" i="26"/>
  <c r="H350" i="26"/>
  <c r="H349" i="26"/>
  <c r="H348" i="26"/>
  <c r="H347" i="26"/>
  <c r="G346" i="26"/>
  <c r="G345" i="26" s="1"/>
  <c r="F346" i="26"/>
  <c r="H344" i="26"/>
  <c r="H343" i="26"/>
  <c r="H342" i="26"/>
  <c r="H341" i="26"/>
  <c r="G340" i="26"/>
  <c r="F340" i="26"/>
  <c r="F339" i="26" s="1"/>
  <c r="H338" i="26"/>
  <c r="G337" i="26"/>
  <c r="F337" i="26"/>
  <c r="H337" i="26" s="1"/>
  <c r="H336" i="26"/>
  <c r="H335" i="26"/>
  <c r="H334" i="26"/>
  <c r="H333" i="26"/>
  <c r="G332" i="26"/>
  <c r="F332" i="26"/>
  <c r="H331" i="26"/>
  <c r="H330" i="26"/>
  <c r="H329" i="26"/>
  <c r="H328" i="26"/>
  <c r="H327" i="26"/>
  <c r="H326" i="26"/>
  <c r="H325" i="26"/>
  <c r="H324" i="26"/>
  <c r="H323" i="26"/>
  <c r="H322" i="26"/>
  <c r="G321" i="26"/>
  <c r="F321" i="26"/>
  <c r="H321" i="26" s="1"/>
  <c r="H320" i="26"/>
  <c r="G319" i="26"/>
  <c r="F319" i="26"/>
  <c r="G318" i="26"/>
  <c r="H317" i="26"/>
  <c r="G316" i="26"/>
  <c r="F316" i="26"/>
  <c r="H315" i="26"/>
  <c r="H314" i="26"/>
  <c r="H313" i="26"/>
  <c r="H312" i="26"/>
  <c r="H311" i="26"/>
  <c r="G310" i="26"/>
  <c r="F310" i="26"/>
  <c r="H310" i="26" s="1"/>
  <c r="H309" i="26"/>
  <c r="H308" i="26"/>
  <c r="H307" i="26"/>
  <c r="H306" i="26"/>
  <c r="H305" i="26"/>
  <c r="G304" i="26"/>
  <c r="F304" i="26"/>
  <c r="H303" i="26"/>
  <c r="H302" i="26"/>
  <c r="G301" i="26"/>
  <c r="G300" i="26" s="1"/>
  <c r="F301" i="26"/>
  <c r="H299" i="26"/>
  <c r="G298" i="26"/>
  <c r="G297" i="26" s="1"/>
  <c r="F298" i="26"/>
  <c r="H296" i="26"/>
  <c r="G295" i="26"/>
  <c r="F295" i="26"/>
  <c r="H295" i="26" s="1"/>
  <c r="H294" i="26"/>
  <c r="H293" i="26"/>
  <c r="H292" i="26"/>
  <c r="H291" i="26"/>
  <c r="H290" i="26"/>
  <c r="G289" i="26"/>
  <c r="F289" i="26"/>
  <c r="H289" i="26" s="1"/>
  <c r="H288" i="26"/>
  <c r="H287" i="26"/>
  <c r="H286" i="26"/>
  <c r="G285" i="26"/>
  <c r="H285" i="26" s="1"/>
  <c r="H284" i="26"/>
  <c r="H283" i="26"/>
  <c r="H282" i="26"/>
  <c r="H281" i="26"/>
  <c r="F280" i="26"/>
  <c r="H280" i="26" s="1"/>
  <c r="H279" i="26"/>
  <c r="H278" i="26"/>
  <c r="H277" i="26"/>
  <c r="H276" i="26"/>
  <c r="H274" i="26"/>
  <c r="G273" i="26"/>
  <c r="F273" i="26"/>
  <c r="H271" i="26"/>
  <c r="H270" i="26"/>
  <c r="H269" i="26"/>
  <c r="G268" i="26"/>
  <c r="G267" i="26" s="1"/>
  <c r="F268" i="26"/>
  <c r="F267" i="26" s="1"/>
  <c r="H266" i="26"/>
  <c r="H265" i="26"/>
  <c r="H264" i="26"/>
  <c r="G263" i="26"/>
  <c r="F263" i="26"/>
  <c r="H263" i="26" s="1"/>
  <c r="G262" i="26"/>
  <c r="H261" i="26"/>
  <c r="G260" i="26"/>
  <c r="F260" i="26"/>
  <c r="F259" i="26" s="1"/>
  <c r="H258" i="26"/>
  <c r="H257" i="26"/>
  <c r="G256" i="26"/>
  <c r="F256" i="26"/>
  <c r="H256" i="26" s="1"/>
  <c r="H255" i="26"/>
  <c r="H254" i="26"/>
  <c r="H253" i="26"/>
  <c r="G252" i="26"/>
  <c r="F252" i="26"/>
  <c r="H250" i="26"/>
  <c r="G249" i="26"/>
  <c r="F249" i="26"/>
  <c r="H249" i="26" s="1"/>
  <c r="F248" i="26"/>
  <c r="H248" i="26" s="1"/>
  <c r="H247" i="26"/>
  <c r="H246" i="26"/>
  <c r="H245" i="26"/>
  <c r="F244" i="26"/>
  <c r="H244" i="26" s="1"/>
  <c r="F243" i="26"/>
  <c r="G242" i="26"/>
  <c r="H241" i="26"/>
  <c r="H240" i="26"/>
  <c r="H239" i="26"/>
  <c r="H238" i="26"/>
  <c r="H237" i="26"/>
  <c r="H236" i="26"/>
  <c r="H235" i="26"/>
  <c r="H234" i="26"/>
  <c r="H233" i="26"/>
  <c r="H232" i="26"/>
  <c r="G231" i="26"/>
  <c r="F231" i="26"/>
  <c r="H230" i="26"/>
  <c r="H229" i="26"/>
  <c r="G228" i="26"/>
  <c r="F228" i="26"/>
  <c r="H226" i="26"/>
  <c r="G225" i="26"/>
  <c r="G224" i="26" s="1"/>
  <c r="F225" i="26"/>
  <c r="H223" i="26"/>
  <c r="H222" i="26"/>
  <c r="G221" i="26"/>
  <c r="F221" i="26"/>
  <c r="H220" i="26"/>
  <c r="H219" i="26"/>
  <c r="H218" i="26"/>
  <c r="H217" i="26"/>
  <c r="H216" i="26"/>
  <c r="H215" i="26"/>
  <c r="H214" i="26"/>
  <c r="G213" i="26"/>
  <c r="F213" i="26"/>
  <c r="H211" i="26"/>
  <c r="G210" i="26"/>
  <c r="H210" i="26" s="1"/>
  <c r="F210" i="26"/>
  <c r="F209" i="26"/>
  <c r="H208" i="26"/>
  <c r="H207" i="26"/>
  <c r="H206" i="26"/>
  <c r="H205" i="26"/>
  <c r="F205" i="26"/>
  <c r="H204" i="26"/>
  <c r="G203" i="26"/>
  <c r="H202" i="26"/>
  <c r="H201" i="26"/>
  <c r="H200" i="26"/>
  <c r="H199" i="26"/>
  <c r="G198" i="26"/>
  <c r="H198" i="26" s="1"/>
  <c r="H197" i="26"/>
  <c r="H196" i="26"/>
  <c r="H195" i="26"/>
  <c r="F194" i="26"/>
  <c r="H193" i="26"/>
  <c r="H192" i="26"/>
  <c r="H191" i="26"/>
  <c r="H190" i="26"/>
  <c r="H189" i="26"/>
  <c r="H187" i="26"/>
  <c r="H186" i="26"/>
  <c r="G185" i="26"/>
  <c r="F185" i="26"/>
  <c r="H182" i="26"/>
  <c r="G181" i="26"/>
  <c r="H181" i="26" s="1"/>
  <c r="F180" i="26"/>
  <c r="F179" i="26" s="1"/>
  <c r="F178" i="26" s="1"/>
  <c r="H177" i="26"/>
  <c r="H176" i="26"/>
  <c r="G175" i="26"/>
  <c r="G174" i="26" s="1"/>
  <c r="G171" i="26" s="1"/>
  <c r="F175" i="26"/>
  <c r="H170" i="26"/>
  <c r="H169" i="26"/>
  <c r="G168" i="26"/>
  <c r="G167" i="26" s="1"/>
  <c r="F168" i="26"/>
  <c r="H166" i="26"/>
  <c r="H165" i="26"/>
  <c r="H164" i="26"/>
  <c r="H163" i="26"/>
  <c r="H162" i="26"/>
  <c r="H161" i="26"/>
  <c r="H160" i="26"/>
  <c r="G159" i="26"/>
  <c r="F159" i="26"/>
  <c r="H158" i="26"/>
  <c r="H157" i="26"/>
  <c r="H156" i="26"/>
  <c r="H155" i="26"/>
  <c r="H154" i="26"/>
  <c r="H153" i="26"/>
  <c r="H152" i="26"/>
  <c r="H151" i="26"/>
  <c r="G150" i="26"/>
  <c r="F150" i="26"/>
  <c r="H146" i="26"/>
  <c r="H145" i="26"/>
  <c r="H144" i="26"/>
  <c r="H143" i="26"/>
  <c r="G142" i="26"/>
  <c r="F142" i="26"/>
  <c r="F141" i="26" s="1"/>
  <c r="H140" i="26"/>
  <c r="H139" i="26"/>
  <c r="G138" i="26"/>
  <c r="G137" i="26" s="1"/>
  <c r="F138" i="26"/>
  <c r="F137" i="26"/>
  <c r="F136" i="26" s="1"/>
  <c r="H135" i="26"/>
  <c r="H134" i="26"/>
  <c r="H133" i="26"/>
  <c r="H132" i="26"/>
  <c r="H131" i="26"/>
  <c r="G131" i="26"/>
  <c r="F131" i="26"/>
  <c r="F130" i="26" s="1"/>
  <c r="H130" i="26" s="1"/>
  <c r="G130" i="26"/>
  <c r="H129" i="26"/>
  <c r="G128" i="26"/>
  <c r="F128" i="26"/>
  <c r="H128" i="26" s="1"/>
  <c r="H127" i="26"/>
  <c r="H126" i="26"/>
  <c r="G125" i="26"/>
  <c r="F125" i="26"/>
  <c r="F124" i="26" s="1"/>
  <c r="H124" i="26" s="1"/>
  <c r="G124" i="26"/>
  <c r="G123" i="26" s="1"/>
  <c r="H122" i="26"/>
  <c r="H121" i="26"/>
  <c r="G120" i="26"/>
  <c r="G119" i="26" s="1"/>
  <c r="H119" i="26" s="1"/>
  <c r="F120" i="26"/>
  <c r="F119" i="26" s="1"/>
  <c r="H118" i="26"/>
  <c r="H117" i="26"/>
  <c r="H116" i="26"/>
  <c r="G116" i="26"/>
  <c r="F116" i="26"/>
  <c r="F115" i="26" s="1"/>
  <c r="G115" i="26"/>
  <c r="H114" i="26"/>
  <c r="H113" i="26"/>
  <c r="G112" i="26"/>
  <c r="G111" i="26" s="1"/>
  <c r="F112" i="26"/>
  <c r="F111" i="26" s="1"/>
  <c r="H109" i="26"/>
  <c r="H108" i="26"/>
  <c r="H107" i="26"/>
  <c r="G107" i="26"/>
  <c r="F107" i="26"/>
  <c r="F106" i="26" s="1"/>
  <c r="F105" i="26" s="1"/>
  <c r="G106" i="26"/>
  <c r="G105" i="26" s="1"/>
  <c r="F102" i="26"/>
  <c r="H102" i="26" s="1"/>
  <c r="G101" i="26"/>
  <c r="G100" i="26"/>
  <c r="G99" i="26" s="1"/>
  <c r="H98" i="26"/>
  <c r="G97" i="26"/>
  <c r="G96" i="26" s="1"/>
  <c r="F97" i="26"/>
  <c r="G93" i="26"/>
  <c r="H92" i="26"/>
  <c r="G91" i="26"/>
  <c r="G90" i="26" s="1"/>
  <c r="G89" i="26" s="1"/>
  <c r="F91" i="26"/>
  <c r="H91" i="26" s="1"/>
  <c r="H87" i="26"/>
  <c r="G86" i="26"/>
  <c r="G85" i="26" s="1"/>
  <c r="G84" i="26" s="1"/>
  <c r="F86" i="26"/>
  <c r="H83" i="26"/>
  <c r="G82" i="26"/>
  <c r="H82" i="26" s="1"/>
  <c r="F82" i="26"/>
  <c r="F81" i="26"/>
  <c r="H80" i="26"/>
  <c r="G79" i="26"/>
  <c r="G78" i="26" s="1"/>
  <c r="G77" i="26" s="1"/>
  <c r="F79" i="26"/>
  <c r="H79" i="26" s="1"/>
  <c r="F78" i="26"/>
  <c r="F76" i="26"/>
  <c r="H76" i="26" s="1"/>
  <c r="G75" i="26"/>
  <c r="G74" i="26" s="1"/>
  <c r="G73" i="26" s="1"/>
  <c r="F75" i="26"/>
  <c r="F74" i="26" s="1"/>
  <c r="F71" i="26"/>
  <c r="H71" i="26" s="1"/>
  <c r="G70" i="26"/>
  <c r="G69" i="26" s="1"/>
  <c r="F70" i="26"/>
  <c r="G68" i="26"/>
  <c r="H67" i="26"/>
  <c r="G66" i="26"/>
  <c r="F66" i="26"/>
  <c r="F65" i="26" s="1"/>
  <c r="G65" i="26"/>
  <c r="H64" i="26"/>
  <c r="G63" i="26"/>
  <c r="G62" i="26" s="1"/>
  <c r="F63" i="26"/>
  <c r="F62" i="26" s="1"/>
  <c r="H62" i="26" s="1"/>
  <c r="F61" i="26"/>
  <c r="H61" i="26" s="1"/>
  <c r="G60" i="26"/>
  <c r="G59" i="26" s="1"/>
  <c r="F60" i="26"/>
  <c r="F59" i="26" s="1"/>
  <c r="H57" i="26"/>
  <c r="G56" i="26"/>
  <c r="H56" i="26" s="1"/>
  <c r="F56" i="26"/>
  <c r="F55" i="26" s="1"/>
  <c r="F52" i="26"/>
  <c r="F51" i="26"/>
  <c r="H51" i="26" s="1"/>
  <c r="G50" i="26"/>
  <c r="F49" i="26"/>
  <c r="G48" i="26"/>
  <c r="G47" i="26" s="1"/>
  <c r="G46" i="26" s="1"/>
  <c r="F45" i="26"/>
  <c r="H45" i="26" s="1"/>
  <c r="G44" i="26"/>
  <c r="G41" i="26" s="1"/>
  <c r="G40" i="26" s="1"/>
  <c r="F43" i="26"/>
  <c r="G42" i="26"/>
  <c r="H39" i="26"/>
  <c r="G38" i="26"/>
  <c r="G37" i="26" s="1"/>
  <c r="G36" i="26" s="1"/>
  <c r="F38" i="26"/>
  <c r="H38" i="26" s="1"/>
  <c r="H34" i="26"/>
  <c r="G33" i="26"/>
  <c r="H33" i="26" s="1"/>
  <c r="F33" i="26"/>
  <c r="F32" i="26" s="1"/>
  <c r="F31" i="26"/>
  <c r="H30" i="26"/>
  <c r="G29" i="26"/>
  <c r="G28" i="26" s="1"/>
  <c r="F29" i="26"/>
  <c r="F28" i="26" s="1"/>
  <c r="H26" i="26"/>
  <c r="G26" i="26"/>
  <c r="F26" i="26"/>
  <c r="F25" i="26" s="1"/>
  <c r="G25" i="26"/>
  <c r="G24" i="26" s="1"/>
  <c r="G23" i="26" s="1"/>
  <c r="F24" i="26"/>
  <c r="H22" i="26"/>
  <c r="G21" i="26"/>
  <c r="G20" i="26" s="1"/>
  <c r="F21" i="26"/>
  <c r="H21" i="26" s="1"/>
  <c r="F20" i="26"/>
  <c r="H20" i="26" s="1"/>
  <c r="H19" i="26"/>
  <c r="G18" i="26"/>
  <c r="G17" i="26" s="1"/>
  <c r="G16" i="26" s="1"/>
  <c r="F18" i="26"/>
  <c r="F15" i="26"/>
  <c r="H15" i="26" s="1"/>
  <c r="G14" i="26"/>
  <c r="G13" i="26"/>
  <c r="G12" i="26" s="1"/>
  <c r="H115" i="26" l="1"/>
  <c r="G149" i="26"/>
  <c r="G148" i="26" s="1"/>
  <c r="G180" i="26"/>
  <c r="G212" i="26"/>
  <c r="H228" i="26"/>
  <c r="G251" i="26"/>
  <c r="H260" i="26"/>
  <c r="F275" i="26"/>
  <c r="H275" i="26" s="1"/>
  <c r="H316" i="26"/>
  <c r="G392" i="26"/>
  <c r="H392" i="26" s="1"/>
  <c r="H405" i="26"/>
  <c r="G460" i="26"/>
  <c r="G459" i="26" s="1"/>
  <c r="H472" i="26"/>
  <c r="H504" i="26"/>
  <c r="H568" i="26"/>
  <c r="H615" i="26"/>
  <c r="H642" i="26"/>
  <c r="H652" i="26"/>
  <c r="H710" i="26"/>
  <c r="H737" i="26"/>
  <c r="G742" i="26"/>
  <c r="G741" i="26" s="1"/>
  <c r="F594" i="26"/>
  <c r="H721" i="26"/>
  <c r="G32" i="26"/>
  <c r="H25" i="26"/>
  <c r="G55" i="26"/>
  <c r="G52" i="26" s="1"/>
  <c r="G81" i="26"/>
  <c r="H81" i="26" s="1"/>
  <c r="H125" i="26"/>
  <c r="H606" i="26"/>
  <c r="H675" i="26"/>
  <c r="H736" i="26"/>
  <c r="H52" i="26"/>
  <c r="H467" i="26"/>
  <c r="H733" i="26"/>
  <c r="H106" i="26"/>
  <c r="H66" i="26"/>
  <c r="F90" i="26"/>
  <c r="H112" i="26"/>
  <c r="H543" i="26"/>
  <c r="F37" i="26"/>
  <c r="H55" i="26"/>
  <c r="H120" i="26"/>
  <c r="G227" i="26"/>
  <c r="G259" i="26"/>
  <c r="F262" i="26"/>
  <c r="H262" i="26" s="1"/>
  <c r="F387" i="26"/>
  <c r="H387" i="26" s="1"/>
  <c r="G431" i="26"/>
  <c r="H473" i="26"/>
  <c r="F495" i="26"/>
  <c r="H495" i="26" s="1"/>
  <c r="G517" i="26"/>
  <c r="G516" i="26" s="1"/>
  <c r="H526" i="26"/>
  <c r="F551" i="26"/>
  <c r="H551" i="26" s="1"/>
  <c r="F564" i="26"/>
  <c r="G594" i="26"/>
  <c r="G580" i="26" s="1"/>
  <c r="F720" i="26"/>
  <c r="H720" i="26" s="1"/>
  <c r="G733" i="26"/>
  <c r="H743" i="26"/>
  <c r="H74" i="26"/>
  <c r="F73" i="26"/>
  <c r="H28" i="26"/>
  <c r="F23" i="26"/>
  <c r="H37" i="26"/>
  <c r="F36" i="26"/>
  <c r="H86" i="26"/>
  <c r="F85" i="26"/>
  <c r="G141" i="26"/>
  <c r="H141" i="26" s="1"/>
  <c r="H340" i="26"/>
  <c r="G339" i="26"/>
  <c r="H339" i="26" s="1"/>
  <c r="H18" i="26"/>
  <c r="F17" i="26"/>
  <c r="H59" i="26"/>
  <c r="F58" i="26"/>
  <c r="H142" i="26"/>
  <c r="H194" i="26"/>
  <c r="F188" i="26"/>
  <c r="H243" i="26"/>
  <c r="F242" i="26"/>
  <c r="H242" i="26" s="1"/>
  <c r="F685" i="26"/>
  <c r="G72" i="26"/>
  <c r="H175" i="26"/>
  <c r="F174" i="26"/>
  <c r="H225" i="26"/>
  <c r="F224" i="26"/>
  <c r="H224" i="26" s="1"/>
  <c r="H24" i="26"/>
  <c r="H29" i="26"/>
  <c r="H43" i="26"/>
  <c r="F42" i="26"/>
  <c r="H60" i="26"/>
  <c r="H65" i="26"/>
  <c r="F360" i="26"/>
  <c r="H361" i="26"/>
  <c r="H478" i="26"/>
  <c r="F477" i="26"/>
  <c r="H477" i="26" s="1"/>
  <c r="H49" i="26"/>
  <c r="F48" i="26"/>
  <c r="H78" i="26"/>
  <c r="G58" i="26"/>
  <c r="G35" i="26" s="1"/>
  <c r="H63" i="26"/>
  <c r="H70" i="26"/>
  <c r="F69" i="26"/>
  <c r="H75" i="26"/>
  <c r="F77" i="26"/>
  <c r="H77" i="26" s="1"/>
  <c r="H90" i="26"/>
  <c r="F89" i="26"/>
  <c r="H89" i="26" s="1"/>
  <c r="H97" i="26"/>
  <c r="F96" i="26"/>
  <c r="G110" i="26"/>
  <c r="H111" i="26"/>
  <c r="G136" i="26"/>
  <c r="H150" i="26"/>
  <c r="F149" i="26"/>
  <c r="H180" i="26"/>
  <c r="G179" i="26"/>
  <c r="G178" i="26" s="1"/>
  <c r="H178" i="26" s="1"/>
  <c r="H185" i="26"/>
  <c r="F184" i="26"/>
  <c r="H252" i="26"/>
  <c r="F251" i="26"/>
  <c r="H251" i="26" s="1"/>
  <c r="H319" i="26"/>
  <c r="F318" i="26"/>
  <c r="H318" i="26" s="1"/>
  <c r="H461" i="26"/>
  <c r="F460" i="26"/>
  <c r="F714" i="26"/>
  <c r="H715" i="26"/>
  <c r="H105" i="26"/>
  <c r="F123" i="26"/>
  <c r="H137" i="26"/>
  <c r="H168" i="26"/>
  <c r="F167" i="26"/>
  <c r="H167" i="26" s="1"/>
  <c r="G188" i="26"/>
  <c r="F203" i="26"/>
  <c r="H203" i="26" s="1"/>
  <c r="H231" i="26"/>
  <c r="H267" i="26"/>
  <c r="H268" i="26"/>
  <c r="F300" i="26"/>
  <c r="H300" i="26" s="1"/>
  <c r="H346" i="26"/>
  <c r="F345" i="26"/>
  <c r="H345" i="26" s="1"/>
  <c r="F431" i="26"/>
  <c r="H432" i="26"/>
  <c r="F679" i="26"/>
  <c r="H679" i="26" s="1"/>
  <c r="H680" i="26"/>
  <c r="F692" i="26"/>
  <c r="H696" i="26"/>
  <c r="H213" i="26"/>
  <c r="F212" i="26"/>
  <c r="H212" i="26" s="1"/>
  <c r="G636" i="26"/>
  <c r="G635" i="26" s="1"/>
  <c r="H641" i="26"/>
  <c r="F14" i="26"/>
  <c r="F44" i="26"/>
  <c r="H44" i="26" s="1"/>
  <c r="F50" i="26"/>
  <c r="H50" i="26" s="1"/>
  <c r="F110" i="26"/>
  <c r="H138" i="26"/>
  <c r="H159" i="26"/>
  <c r="H209" i="26"/>
  <c r="H221" i="26"/>
  <c r="F227" i="26"/>
  <c r="H227" i="26" s="1"/>
  <c r="H259" i="26"/>
  <c r="H273" i="26"/>
  <c r="G275" i="26"/>
  <c r="G272" i="26" s="1"/>
  <c r="H298" i="26"/>
  <c r="F297" i="26"/>
  <c r="H297" i="26" s="1"/>
  <c r="H301" i="26"/>
  <c r="H304" i="26"/>
  <c r="H404" i="26"/>
  <c r="F621" i="26"/>
  <c r="H622" i="26"/>
  <c r="H637" i="26"/>
  <c r="F649" i="26"/>
  <c r="H650" i="26"/>
  <c r="F657" i="26"/>
  <c r="H395" i="26"/>
  <c r="H427" i="26"/>
  <c r="H468" i="26"/>
  <c r="H496" i="26"/>
  <c r="H505" i="26"/>
  <c r="H508" i="26"/>
  <c r="F517" i="26"/>
  <c r="H552" i="26"/>
  <c r="H561" i="26"/>
  <c r="H564" i="26"/>
  <c r="H572" i="26"/>
  <c r="G571" i="26"/>
  <c r="H571" i="26" s="1"/>
  <c r="H594" i="26"/>
  <c r="H614" i="26"/>
  <c r="H628" i="26"/>
  <c r="F627" i="26"/>
  <c r="H701" i="26"/>
  <c r="H332" i="26"/>
  <c r="H381" i="26"/>
  <c r="H393" i="26"/>
  <c r="G425" i="26"/>
  <c r="H537" i="26"/>
  <c r="F535" i="26"/>
  <c r="H557" i="26"/>
  <c r="G556" i="26"/>
  <c r="H581" i="26"/>
  <c r="F580" i="26"/>
  <c r="H587" i="26"/>
  <c r="G692" i="26"/>
  <c r="G691" i="26" s="1"/>
  <c r="G690" i="26" s="1"/>
  <c r="F700" i="26"/>
  <c r="H700" i="26" s="1"/>
  <c r="F101" i="26"/>
  <c r="H441" i="26"/>
  <c r="H549" i="26"/>
  <c r="H560" i="26"/>
  <c r="F559" i="26"/>
  <c r="G619" i="26"/>
  <c r="H644" i="26"/>
  <c r="F643" i="26"/>
  <c r="H643" i="26" s="1"/>
  <c r="H687" i="26"/>
  <c r="G686" i="26"/>
  <c r="G685" i="26" s="1"/>
  <c r="H747" i="26"/>
  <c r="F742" i="26"/>
  <c r="G31" i="26" l="1"/>
  <c r="H32" i="26"/>
  <c r="F272" i="26"/>
  <c r="H272" i="26"/>
  <c r="H627" i="26"/>
  <c r="F626" i="26"/>
  <c r="F656" i="26"/>
  <c r="H657" i="26"/>
  <c r="H431" i="26"/>
  <c r="F425" i="26"/>
  <c r="F93" i="26"/>
  <c r="H93" i="26" s="1"/>
  <c r="H96" i="26"/>
  <c r="H685" i="26"/>
  <c r="F100" i="26"/>
  <c r="H101" i="26"/>
  <c r="G184" i="26"/>
  <c r="G183" i="26" s="1"/>
  <c r="G104" i="26" s="1"/>
  <c r="G103" i="26" s="1"/>
  <c r="H136" i="26"/>
  <c r="F41" i="26"/>
  <c r="H42" i="26"/>
  <c r="F741" i="26"/>
  <c r="H741" i="26" s="1"/>
  <c r="H742" i="26"/>
  <c r="H649" i="26"/>
  <c r="F646" i="26"/>
  <c r="H646" i="26" s="1"/>
  <c r="H621" i="26"/>
  <c r="F620" i="26"/>
  <c r="H179" i="26"/>
  <c r="F148" i="26"/>
  <c r="H149" i="26"/>
  <c r="F68" i="26"/>
  <c r="H68" i="26" s="1"/>
  <c r="H69" i="26"/>
  <c r="H58" i="26"/>
  <c r="F84" i="26"/>
  <c r="H84" i="26" s="1"/>
  <c r="H85" i="26"/>
  <c r="H23" i="26"/>
  <c r="H692" i="26"/>
  <c r="F691" i="26"/>
  <c r="H123" i="26"/>
  <c r="H460" i="26"/>
  <c r="F459" i="26"/>
  <c r="H174" i="26"/>
  <c r="F171" i="26"/>
  <c r="H171" i="26" s="1"/>
  <c r="H36" i="26"/>
  <c r="H580" i="26"/>
  <c r="F516" i="26"/>
  <c r="H517" i="26"/>
  <c r="H360" i="26"/>
  <c r="F359" i="26"/>
  <c r="H359" i="26" s="1"/>
  <c r="F16" i="26"/>
  <c r="H16" i="26" s="1"/>
  <c r="H17" i="26"/>
  <c r="H73" i="26"/>
  <c r="G535" i="26"/>
  <c r="H535" i="26" s="1"/>
  <c r="H556" i="26"/>
  <c r="F636" i="26"/>
  <c r="H110" i="26"/>
  <c r="F13" i="26"/>
  <c r="H14" i="26"/>
  <c r="H714" i="26"/>
  <c r="F713" i="26"/>
  <c r="H713" i="26" s="1"/>
  <c r="F47" i="26"/>
  <c r="H48" i="26"/>
  <c r="H686" i="26"/>
  <c r="H188" i="26"/>
  <c r="G559" i="26"/>
  <c r="H559" i="26" s="1"/>
  <c r="F183" i="26" l="1"/>
  <c r="H31" i="26"/>
  <c r="G11" i="26"/>
  <c r="G10" i="26" s="1"/>
  <c r="H459" i="26"/>
  <c r="H620" i="26"/>
  <c r="F46" i="26"/>
  <c r="H46" i="26" s="1"/>
  <c r="H47" i="26"/>
  <c r="F12" i="26"/>
  <c r="H13" i="26"/>
  <c r="F635" i="26"/>
  <c r="H635" i="26" s="1"/>
  <c r="H636" i="26"/>
  <c r="H148" i="26"/>
  <c r="F104" i="26"/>
  <c r="F690" i="26"/>
  <c r="H691" i="26"/>
  <c r="H183" i="26"/>
  <c r="H100" i="26"/>
  <c r="F99" i="26"/>
  <c r="F655" i="26"/>
  <c r="H656" i="26"/>
  <c r="H184" i="26"/>
  <c r="H425" i="26"/>
  <c r="F625" i="26"/>
  <c r="H625" i="26" s="1"/>
  <c r="H626" i="26"/>
  <c r="H516" i="26"/>
  <c r="H41" i="26"/>
  <c r="F40" i="26"/>
  <c r="H690" i="26" l="1"/>
  <c r="F11" i="26"/>
  <c r="H12" i="26"/>
  <c r="F619" i="26"/>
  <c r="H40" i="26"/>
  <c r="F35" i="26"/>
  <c r="H99" i="26"/>
  <c r="F72" i="26"/>
  <c r="H104" i="26"/>
  <c r="H655" i="26"/>
  <c r="H35" i="26" l="1"/>
  <c r="F10" i="26"/>
  <c r="H11" i="26"/>
  <c r="H72" i="26"/>
  <c r="H619" i="26"/>
  <c r="F103" i="26"/>
  <c r="H10" i="26" l="1"/>
  <c r="H103" i="26"/>
</calcChain>
</file>

<file path=xl/sharedStrings.xml><?xml version="1.0" encoding="utf-8"?>
<sst xmlns="http://schemas.openxmlformats.org/spreadsheetml/2006/main" count="1423" uniqueCount="503">
  <si>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</si>
  <si>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</si>
  <si>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</si>
  <si>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</si>
  <si>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</si>
  <si>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</si>
  <si>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</si>
  <si>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</si>
  <si>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</si>
  <si>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</si>
  <si>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</si>
  <si>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Dochody na zadania własne:</t>
  </si>
  <si>
    <t>Pozostała działalność</t>
  </si>
  <si>
    <t>WYDATKI OGÓŁEM:</t>
  </si>
  <si>
    <t>Wydatki na zadania własne:</t>
  </si>
  <si>
    <t>Transport i łączność</t>
  </si>
  <si>
    <t>przed zmianą</t>
  </si>
  <si>
    <t>Załącznik Nr 2</t>
  </si>
  <si>
    <t>Dział</t>
  </si>
  <si>
    <t>Drogi publiczne gminne</t>
  </si>
  <si>
    <t>Rozdział</t>
  </si>
  <si>
    <t>Zmiany w budżecie miasta Włocławek na 2022 rok</t>
  </si>
  <si>
    <t>4210</t>
  </si>
  <si>
    <t>Załącznik Nr 3</t>
  </si>
  <si>
    <t>w tym:</t>
  </si>
  <si>
    <t>Lp.</t>
  </si>
  <si>
    <t>1.</t>
  </si>
  <si>
    <t>2.</t>
  </si>
  <si>
    <t>3.</t>
  </si>
  <si>
    <t>4.</t>
  </si>
  <si>
    <t>Nazwa zadania</t>
  </si>
  <si>
    <t xml:space="preserve">Dział </t>
  </si>
  <si>
    <t>x</t>
  </si>
  <si>
    <t>600</t>
  </si>
  <si>
    <t>Ogółem:</t>
  </si>
  <si>
    <t>Organ</t>
  </si>
  <si>
    <t>Dochody na 2022 rok</t>
  </si>
  <si>
    <t>Wydatki na 2022 rok</t>
  </si>
  <si>
    <t>852</t>
  </si>
  <si>
    <t>Miejski Ośrodek Pomocy Rodzinie</t>
  </si>
  <si>
    <t xml:space="preserve">Prezydenta Miasta Włocławek </t>
  </si>
  <si>
    <t>Administracja publiczna</t>
  </si>
  <si>
    <t xml:space="preserve">Bezpieczeństwo publiczne i ochrona </t>
  </si>
  <si>
    <t>przeciwpożarowa</t>
  </si>
  <si>
    <t>75421</t>
  </si>
  <si>
    <t>Zarządzanie kryzysowe</t>
  </si>
  <si>
    <t>Wydział Zarządzania Kryzysowego i Bezpieczeństwa</t>
  </si>
  <si>
    <t>Różne rozliczenia</t>
  </si>
  <si>
    <t>75814</t>
  </si>
  <si>
    <t>Różne rozliczenia finansowe</t>
  </si>
  <si>
    <t>Organ - Fundusz Pomocy (realizacja dodatkowych zadań oświatowych)</t>
  </si>
  <si>
    <t>2100</t>
  </si>
  <si>
    <t>środki z Funduszu Pomocy na finansowanie lub dofinansowanie zadań bieżących w zakresie pomocy obywatelom Ukrainy</t>
  </si>
  <si>
    <t>Pomoc społeczna</t>
  </si>
  <si>
    <t xml:space="preserve">Zasiłki okresowe, celowe i pomoc w naturze oraz składki </t>
  </si>
  <si>
    <t>na ubezpieczenia emerytalne i rentowe</t>
  </si>
  <si>
    <t>Organ - Fundusz Pomocy (zasiłki okresowe)</t>
  </si>
  <si>
    <t>Dochody na zadania zlecone:</t>
  </si>
  <si>
    <t>Ośrodki pomocy społecznej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</si>
  <si>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</si>
  <si>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</si>
  <si>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Rodzina</t>
  </si>
  <si>
    <t>Dochody na zadania rządowe:</t>
  </si>
  <si>
    <t>Gospodarka mieszkaniowa</t>
  </si>
  <si>
    <t>Gospodarka gruntami i nieruchomościami</t>
  </si>
  <si>
    <t>dotacje celowe otrzymane z budżetu państwa na zadania bieżące z zakresu administracji rządowej oraz inne zadania zlecone ustawami realizowane przez powiat</t>
  </si>
  <si>
    <t>Ochrona zdrowia</t>
  </si>
  <si>
    <t>Miejski Zarząd Infrastruktury Drogowej i Transportu</t>
  </si>
  <si>
    <t>zakup energii</t>
  </si>
  <si>
    <t>zakup usług remontowych</t>
  </si>
  <si>
    <t>zakup usług pozostałych</t>
  </si>
  <si>
    <t>opłaty z tytułu zakupu usług telekomunikacyjnych</t>
  </si>
  <si>
    <t>Drogi publiczne w miastach na prawach powiatu</t>
  </si>
  <si>
    <t xml:space="preserve">różne opłaty i składki </t>
  </si>
  <si>
    <t>kary i odszkodowania wypłacane na rzecz osób prawnych i innych jednostek organizacyjnych</t>
  </si>
  <si>
    <t>koszty postępowania sądowego i prokuratorskiego</t>
  </si>
  <si>
    <t>wydatki osobowe niezaliczone do wynagrodzeń</t>
  </si>
  <si>
    <t>zakup usług zdrowotnych</t>
  </si>
  <si>
    <t>pozostałe odsetki</t>
  </si>
  <si>
    <t xml:space="preserve">szkolenia pracowników niebędących członkami korpusu służby cywilnej </t>
  </si>
  <si>
    <t>wpłaty na PPK finansowane przez podmiot zatrudniający</t>
  </si>
  <si>
    <t>75023</t>
  </si>
  <si>
    <t>Urzędy gmin (miast i miast na prawach powiatu)</t>
  </si>
  <si>
    <t>Wydział Organizacyjno-Prawny i Kadr</t>
  </si>
  <si>
    <t>podróże służbowe krajowe</t>
  </si>
  <si>
    <t>podróże służbowe zagraniczne</t>
  </si>
  <si>
    <t>4350</t>
  </si>
  <si>
    <t>zakup towarów (w szczególności materiałów, leków, żywności) w związku z pomocą obywatelom Ukrainy</t>
  </si>
  <si>
    <t>wynagrodzenia bezosobowe</t>
  </si>
  <si>
    <t>zakup materiałów i wyposażenia</t>
  </si>
  <si>
    <t>wynagrodzenia osobowe pracowników</t>
  </si>
  <si>
    <t xml:space="preserve">składki na ubezpieczenia społeczne </t>
  </si>
  <si>
    <t xml:space="preserve">szkolenia pracowników  niebędących członkami korpusu służby cywilnej </t>
  </si>
  <si>
    <t>Bezpieczeństwo publiczne i ochrona</t>
  </si>
  <si>
    <t>zakup usług związanych z pomocą obywatelom Ukrainy</t>
  </si>
  <si>
    <t>Miejska Jadłodajnia "U Świętego Antoniego"</t>
  </si>
  <si>
    <t>Rezerwy ogólne i celowe</t>
  </si>
  <si>
    <t>4810</t>
  </si>
  <si>
    <t xml:space="preserve">rezerwy </t>
  </si>
  <si>
    <t xml:space="preserve"> - rezerwa celowa</t>
  </si>
  <si>
    <t>Oświata i wychowanie</t>
  </si>
  <si>
    <t>Szkoły podstawowe</t>
  </si>
  <si>
    <t>Wydział Edukacji</t>
  </si>
  <si>
    <t>dotacja podmiotowa z budżetu dla niepublicznej jednostki systemu oświaty</t>
  </si>
  <si>
    <t>dotacja podmiotowa z budżetu dla publicznej jednostki systemu oświaty prowadzonej przez osobę prawną inną niż jednostka samorządu terytorialnego lub przez osobę fizyczną</t>
  </si>
  <si>
    <t>Jednostki oświatowe zbiorczo</t>
  </si>
  <si>
    <t>dodatkowe wynagrodzenie roczne</t>
  </si>
  <si>
    <t>wpłaty na Państwowy Fundusz Rehabilitacji Osób Niepełnosprawnych</t>
  </si>
  <si>
    <t>zakup środków dydaktycznych i książek</t>
  </si>
  <si>
    <t>dodatkowe wynagrodzenie roczne nauczycieli</t>
  </si>
  <si>
    <t>Jednostki oświatowe zbiorczo - Fundusz Pomocy (realizacja dodatkowych zadań oświatowych)</t>
  </si>
  <si>
    <t>wynagrodzenia i uposażenia wypłacane w związku z pomocą obywatelom Ukrainy</t>
  </si>
  <si>
    <t>wynagrodzenia nauczycieli wypłacane w związku z pomocą obywatelom Ukrainy</t>
  </si>
  <si>
    <t>składki i inne pochodne od wynagrodzeń pracowników wypłacanych w związku z pomocą obywatelom Ukrainy</t>
  </si>
  <si>
    <t>pozostałe wydatki bieżące na zadania związane z pomocą obywatelom Ukrainy</t>
  </si>
  <si>
    <t>Szkoły podstawowe specjalne</t>
  </si>
  <si>
    <t>Oddziały przedszkolne w szkołach podstawowych</t>
  </si>
  <si>
    <t xml:space="preserve">Wydział Edukacji </t>
  </si>
  <si>
    <t>składki na ubezpieczenia społeczne</t>
  </si>
  <si>
    <t>wynagrodzenie osobowe nauczycieli</t>
  </si>
  <si>
    <t>Przedszkola</t>
  </si>
  <si>
    <t>Wydział Edukacji - Fundusz Pomocy (realizacja dodatkowych zadań oświatowych)</t>
  </si>
  <si>
    <t>2340</t>
  </si>
  <si>
    <t>dotacja celowa dla jednostki spoza sektora finansów publicznych na finansowanie lub dofinansowanie zadań bieżących związanych z pomocą obywatelom Ukrainy</t>
  </si>
  <si>
    <t>Przedszkola specjalne</t>
  </si>
  <si>
    <t>Świetlice szkolne</t>
  </si>
  <si>
    <t xml:space="preserve">składki na Fundusz Pracy oraz Fundusz Solidarnościowy </t>
  </si>
  <si>
    <t>80113</t>
  </si>
  <si>
    <t>Dowożenie uczniów do szkół</t>
  </si>
  <si>
    <t>Technika</t>
  </si>
  <si>
    <t>Szkoły policealne</t>
  </si>
  <si>
    <t>Branżowe szkoły I i II stopnia</t>
  </si>
  <si>
    <t>Licea ogólnokształcące</t>
  </si>
  <si>
    <t>Szkoły artystyczne</t>
  </si>
  <si>
    <t>Szkoły zawodowe specjalne</t>
  </si>
  <si>
    <t xml:space="preserve">Placówki kształcenia ustawicznego i centra </t>
  </si>
  <si>
    <t xml:space="preserve"> kształcenia zawodowego</t>
  </si>
  <si>
    <t>Ośrodki szkolenia, dokształcania i doskonalenia kadr</t>
  </si>
  <si>
    <t>Dokształcanie i doskonalenie nauczycieli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</si>
  <si>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</si>
  <si>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</si>
  <si>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</si>
  <si>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</si>
  <si>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</si>
  <si>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odpisy na zakładowy fundusz świadczeń socjalnych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</si>
  <si>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</si>
  <si>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</si>
  <si>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</si>
  <si>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</si>
  <si>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</si>
  <si>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</si>
  <si>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</si>
  <si>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</si>
  <si>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</si>
  <si>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Domy pomocy społecznej</t>
  </si>
  <si>
    <t xml:space="preserve">Dom Pomocy Społecznej ul. Nowomiejska 19 </t>
  </si>
  <si>
    <t>Dom Pomocy Społecznej ul. Dobrzyńska 102</t>
  </si>
  <si>
    <t>Ośrodki wsparcia</t>
  </si>
  <si>
    <t>Miejski Ośrodek Pomocy Rodzinie - Fundusz Pomocy (zasiłki okresowe)</t>
  </si>
  <si>
    <t>świadczenia społeczne wypłacane obywatelom Ukrainy przebywającym na terytorium RP</t>
  </si>
  <si>
    <t>Pozostałe zadania w zakresie polityki społecznej</t>
  </si>
  <si>
    <t>zakup środków żywności</t>
  </si>
  <si>
    <t>Edukacyjna opieka wychowawcza</t>
  </si>
  <si>
    <t>Poradnie psychologiczno - pedagogiczne, w tym</t>
  </si>
  <si>
    <t>poradnie specjalistyczne</t>
  </si>
  <si>
    <t>Internaty i bursy szkolne</t>
  </si>
  <si>
    <t>Młodzieżowe ośrodki wychowawcze</t>
  </si>
  <si>
    <t xml:space="preserve">zakup usług obejmujących wykonanie ekspertyz, analiz i opinii </t>
  </si>
  <si>
    <t>Świadczenia rodzinne, świadczenie z funduszu alimentacyjnego oraz składki na ubezpieczenia emerytalne i rentowe z ubezpieczenia społecznego</t>
  </si>
  <si>
    <t>świadczenia społeczne</t>
  </si>
  <si>
    <t>Działalność placówek opiekuńczo - wychowawczych</t>
  </si>
  <si>
    <t xml:space="preserve">Placówka Opiekuńczo - Wychowawcza Nr 1 "Maluch" </t>
  </si>
  <si>
    <t xml:space="preserve">Placówka Opiekuńczo - Wychowawcza Nr 2 "Calineczka" </t>
  </si>
  <si>
    <t>Gospodarka komunalna i ochrona środowiska</t>
  </si>
  <si>
    <t>Oczyszczanie miast i wsi</t>
  </si>
  <si>
    <t>Miejski Zakład Zieleni i Usług Komunalnych</t>
  </si>
  <si>
    <t>Utrzymanie zieleni w miastach i gminach</t>
  </si>
  <si>
    <t>Miejski Zakład Zieleni i Usług Komunalnych we Włocławku - obsługa Strefy Rozwoju Gospodarczego /Park Przemysłowo - Technologiczny/</t>
  </si>
  <si>
    <t xml:space="preserve">Wydział Nadzoru Właścicielskiego, Gospodarki </t>
  </si>
  <si>
    <t>Komunalnej i Informatyzacji</t>
  </si>
  <si>
    <t>Wydatki na zadania zlecone:</t>
  </si>
  <si>
    <t>Wydział Zarządzania Kryzysowego i Bezpieczeństwa - Fundusz Pomocy (zapewnienie zakwaterowania i wyżywienia obywatelom Ukrainy)</t>
  </si>
  <si>
    <t>Administracja Zasobów Komunalnych - Fundusz Pomocy (zapewnienie zakwaterowania i wyżywienia obywatelom Ukrainy)</t>
  </si>
  <si>
    <t>Środowiskowy Dom Samopomocy</t>
  </si>
  <si>
    <t>Wydział Polityki Społecznej i Zdrowia Publicznego</t>
  </si>
  <si>
    <t>2820</t>
  </si>
  <si>
    <t>dotacja celowa z budżetu na finansowanie lub dofinansowanie zadań zleconych do realizacji stowarzyszeniom</t>
  </si>
  <si>
    <t>składki na Fundusz Pracy oraz Fundusz Solidarnościowy</t>
  </si>
  <si>
    <t>Wydatki na zadania rządowe:</t>
  </si>
  <si>
    <t>Wydział Gospodarowania Mieniem Komunalnym</t>
  </si>
  <si>
    <t xml:space="preserve">zakup usług pozostałych </t>
  </si>
  <si>
    <t>Dochody i wydatki związane z realizacją zadań z zakresu administracji rządowej wykonywanych na podstawie porozumień z organami administracji rządowej na 2022 rok</t>
  </si>
  <si>
    <t>z tego: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</si>
  <si>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</si>
  <si>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</si>
  <si>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</si>
  <si>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</si>
  <si>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</si>
  <si>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</si>
  <si>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 xml:space="preserve">Dotacje udzielane z budżetu jednostki samorządu terytorialnego </t>
  </si>
  <si>
    <t>Kwota dotacji</t>
  </si>
  <si>
    <t>dotacje celowe</t>
  </si>
  <si>
    <t>Razem</t>
  </si>
  <si>
    <t>dotacje podmiotowe</t>
  </si>
  <si>
    <t>Załącznik Nr 4</t>
  </si>
  <si>
    <t>dla jednostek spoza sektora finansów publicznych na 2022 rok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</si>
  <si>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</si>
  <si>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</si>
  <si>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</si>
  <si>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Publiczna Szkoła Podstawowa im. Ks. J. Długosza</t>
  </si>
  <si>
    <t>Szkoła Podstawowa z oddziałami dwujęzycznymi Monttessori-     Schule</t>
  </si>
  <si>
    <t>Prywatna Szkoła Podstawowa Zespołu Edukacji "Wiedza"</t>
  </si>
  <si>
    <t>Przedszkole Niepubliczne "Chatka Puchatka"</t>
  </si>
  <si>
    <t>Niepubliczne Przedszkole "Smerfna Chata"</t>
  </si>
  <si>
    <t>Przedszkole Niepubliczne "Kujawiaczek"</t>
  </si>
  <si>
    <t>Niepubliczne Przedszkole "Wesoła Biedronka"</t>
  </si>
  <si>
    <t>Publiczne Liceum Ogólnokształcące im. Ks. J. Długosza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</si>
  <si>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</si>
  <si>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</si>
  <si>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</si>
  <si>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>Realizacja projektu unijnego  "Zawodowcy z Włocławka"- podniesienie jakości nauczania i zwiększenie szans na zatrudnienie uczniów ZSS we Włocławku"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</si>
  <si>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</si>
  <si>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</si>
  <si>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</si>
  <si>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</si>
  <si>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</si>
  <si>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</si>
  <si>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</si>
  <si>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„Centrum Wsparcia Społecznego – wdrożenie lokalnego planu deinstytucjonalizacji usług społecznych na terenie Miasta Włocławka”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</si>
  <si>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</si>
  <si>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</si>
  <si>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Utylizacja wyrobów zawierających azbest (dotacja na inwestycje)</t>
  </si>
  <si>
    <t>Wymiana źródeł ciepła zasilanych paliwami stałymi - program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</si>
  <si>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</si>
  <si>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</si>
  <si>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</si>
  <si>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</si>
  <si>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 xml:space="preserve">Zadania w zakresie kultury fizycznej - realizacja projektu pn. "WŁOCŁAWEK - MIASTO NOWYCH MOŻLIWOŚCI. Tutaj mieszkam, pracuję, inwestuję i tu wypoczywam" </t>
  </si>
  <si>
    <t>Nazwa placówki/nazwa podmiotu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</si>
  <si>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</si>
  <si>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</si>
  <si>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</si>
  <si>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</si>
  <si>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</si>
  <si>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Akademii Nauk Stosowanych we Włocławku</t>
  </si>
  <si>
    <t>Niepubliczne Przedszkole "Skakanka"</t>
  </si>
  <si>
    <t>Przedszkole Akademickie przy Państwowej Akademii Nauk Stosowanych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</si>
  <si>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</si>
  <si>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</si>
  <si>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</si>
  <si>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</si>
  <si>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</si>
  <si>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</si>
  <si>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</si>
  <si>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</si>
  <si>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</si>
  <si>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</si>
  <si>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</si>
  <si>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</si>
  <si>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</si>
  <si>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</si>
  <si>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Akademii Nauk Stosowanych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</si>
  <si>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</si>
  <si>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</si>
  <si>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</si>
  <si>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</si>
  <si>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</si>
  <si>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</si>
  <si>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</si>
  <si>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</si>
  <si>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</si>
  <si>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</si>
  <si>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</si>
  <si>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</si>
  <si>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 xml:space="preserve">Branżowa Szkoła II Stopnia Start we Włocławku </t>
  </si>
  <si>
    <t>Branżowa Szkoła I Stopnia (Stowarzyszenie Szkoła dla Włocławka)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</si>
  <si>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</si>
  <si>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</si>
  <si>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</si>
  <si>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</si>
  <si>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</si>
  <si>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</si>
  <si>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</si>
  <si>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</si>
  <si>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</si>
  <si>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</si>
  <si>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</si>
  <si>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</si>
  <si>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</si>
  <si>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Przedszkole Akademickie przy Państwowej  Akademii Nauk Stosowanych we Włocławku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</si>
  <si>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</si>
  <si>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</si>
  <si>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</si>
  <si>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</si>
  <si>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</si>
  <si>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</si>
  <si>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</si>
  <si>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</si>
  <si>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</si>
  <si>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</si>
  <si>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</si>
  <si>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</si>
  <si>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</si>
  <si>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</si>
  <si>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Jetter)</t>
  </si>
  <si>
    <t>Internat Zespołu Szkół Katolickich im. Ks. J. Długosza</t>
  </si>
  <si>
    <t>Załącznik Nr 5</t>
  </si>
  <si>
    <t xml:space="preserve">Plan </t>
  </si>
  <si>
    <t xml:space="preserve"> dochodów i wydatków wydzielonych rachunków dochodów oświatowych jednostek budżetowych na 2022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</si>
  <si>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</si>
  <si>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</si>
  <si>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</si>
  <si>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</si>
  <si>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</si>
  <si>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</si>
  <si>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</si>
  <si>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</si>
  <si>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</si>
  <si>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</si>
  <si>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5.</t>
  </si>
  <si>
    <t>6.</t>
  </si>
  <si>
    <t xml:space="preserve">Szkoły artystyczne </t>
  </si>
  <si>
    <t>7.</t>
  </si>
  <si>
    <t>8.</t>
  </si>
  <si>
    <t>Placówki kształcenia ustawicznego i centra kształcenia zawodowego</t>
  </si>
  <si>
    <t>9.</t>
  </si>
  <si>
    <t>10.</t>
  </si>
  <si>
    <t xml:space="preserve">Inne formy kształcenia osobno niewymienione </t>
  </si>
  <si>
    <t>11.</t>
  </si>
  <si>
    <t>Kolonie i obozy oraz inne formy wypoczynku dzieci</t>
  </si>
  <si>
    <t xml:space="preserve">i młodzieży szkolnej, a także szkolenia młodzieży </t>
  </si>
  <si>
    <t>Szkolne schroniska młodzieżowe</t>
  </si>
  <si>
    <t xml:space="preserve">Ogółem </t>
  </si>
  <si>
    <t>Załącznik Nr 6</t>
  </si>
  <si>
    <t>758</t>
  </si>
  <si>
    <t>Plan dochodów i wydatków na wydzielonym rachunku Funduszu Pomocy</t>
  </si>
  <si>
    <t>dotyczącym realizacji zadań na rzecz pomocy Ukrainie</t>
  </si>
  <si>
    <t>Zapewnienie posiłku dzieciom i młodzieży</t>
  </si>
  <si>
    <t>85230</t>
  </si>
  <si>
    <t>3290</t>
  </si>
  <si>
    <t>4370</t>
  </si>
  <si>
    <t>Świadczenia rodzinne</t>
  </si>
  <si>
    <t>855</t>
  </si>
  <si>
    <t>85502</t>
  </si>
  <si>
    <t>4740</t>
  </si>
  <si>
    <t>4850</t>
  </si>
  <si>
    <t>Świadczenie pieniężne w wysokości          300 zł</t>
  </si>
  <si>
    <t>853</t>
  </si>
  <si>
    <t>85395</t>
  </si>
  <si>
    <t>Realizacja dodatkowych zadań oświatowych</t>
  </si>
  <si>
    <t>801</t>
  </si>
  <si>
    <t>80101</t>
  </si>
  <si>
    <t>4750</t>
  </si>
  <si>
    <t>4860</t>
  </si>
  <si>
    <t>80102</t>
  </si>
  <si>
    <t>80104</t>
  </si>
  <si>
    <t>80105</t>
  </si>
  <si>
    <t>80115</t>
  </si>
  <si>
    <t>80117</t>
  </si>
  <si>
    <t>80120</t>
  </si>
  <si>
    <t>80132</t>
  </si>
  <si>
    <t>Nadanie numeru PESEL</t>
  </si>
  <si>
    <t>750</t>
  </si>
  <si>
    <t>75011</t>
  </si>
  <si>
    <t>Wydział Organizacyjno - Prawny i Kadr</t>
  </si>
  <si>
    <t>Świadczenie pieniężne - 40 zł za osobę dziennie</t>
  </si>
  <si>
    <t>754</t>
  </si>
  <si>
    <t>75495</t>
  </si>
  <si>
    <t>3280</t>
  </si>
  <si>
    <t>Zapewnienie zakwaterowania i wyżywienia obywatelom Ukrainy</t>
  </si>
  <si>
    <t>Administracja Zasobów Komunalnych</t>
  </si>
  <si>
    <t>Zapewnienie transportu obywatelom Ukrainy</t>
  </si>
  <si>
    <t>60095</t>
  </si>
  <si>
    <t>Straż Miejska</t>
  </si>
  <si>
    <t>Realizacja zadań przez Miejski Zespół do Spraw Orzekania o Niepełnosprawności na rzecz obywateli Ukrainy</t>
  </si>
  <si>
    <t>85321</t>
  </si>
  <si>
    <t xml:space="preserve">Miejski Zespół do Spraw Orzekania o Niepełnosprawności </t>
  </si>
  <si>
    <t>Zasiłki okresowe</t>
  </si>
  <si>
    <t>85214</t>
  </si>
  <si>
    <t>2120</t>
  </si>
  <si>
    <t>dotacje celowe otrzymane z budżetu państwa na zadania bieżące realizowane przez powiat na podstawie porozumień z organami administracji rządowej</t>
  </si>
  <si>
    <t>Organ (projekty z grantów Lokalnej Grupy Działania Miasta Włocławek)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</si>
  <si>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</si>
  <si>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</si>
  <si>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2130</t>
  </si>
  <si>
    <t>dotacje celowe otrzymane z budżetu państwa na realizację bieżących zadań własnych powiatu</t>
  </si>
  <si>
    <t>Pomoc materialna dla uczniów o charakterze socjalnym</t>
  </si>
  <si>
    <t>2040</t>
  </si>
  <si>
    <t>dotacja celowa otrzymana z budżetu państwa na realizację zadań bieżących gmin z zakresu edukacyjnej opieki wychowawczej finansowanych w całości przez budżet państwa w ramach programów rządowych</t>
  </si>
  <si>
    <t>010</t>
  </si>
  <si>
    <t>Rolnictwo i łowiectwo</t>
  </si>
  <si>
    <t>01095</t>
  </si>
  <si>
    <t xml:space="preserve">Pozostała działalność </t>
  </si>
  <si>
    <t>Urzędy wojewódzkie</t>
  </si>
  <si>
    <t>Organ - Fundusz Pomocy (nadanie numeru PESEL)</t>
  </si>
  <si>
    <t>Bezpieczeństwo publiczne i ochrona przeciwpożarowa</t>
  </si>
  <si>
    <t>Organ - Fundusz Pomocy (świadczenie pieniężne - 40 zł za osobę dziennie)</t>
  </si>
  <si>
    <t>Organ - Fundusz Pomocy (zapewnienie zakwaterowania i wyżywienia obywatelom Ukrainy)</t>
  </si>
  <si>
    <t>Zapewnienie uczniom prawa do bezpłatnego dostępu</t>
  </si>
  <si>
    <t>do podręczników, materiałów edukacyjnych lub materiałów</t>
  </si>
  <si>
    <t>ćwiczeniowych</t>
  </si>
  <si>
    <t>Karta Dużej Rodziny</t>
  </si>
  <si>
    <t>710</t>
  </si>
  <si>
    <t>Działalność usługowa</t>
  </si>
  <si>
    <t>Zadania z zakresu geodezji i kartografii</t>
  </si>
  <si>
    <t>Nadzór budowlany</t>
  </si>
  <si>
    <t>Komendy powiatowe Państwowej Straży Pożarnej</t>
  </si>
  <si>
    <t>Zespoły do spraw orzekania o niepełnosprawności</t>
  </si>
  <si>
    <t>020</t>
  </si>
  <si>
    <t>Leśnictwo</t>
  </si>
  <si>
    <t>02001</t>
  </si>
  <si>
    <t>Gospodarka leśna</t>
  </si>
  <si>
    <t>Gospodarowanie mieszkaniowym zasobem gminy</t>
  </si>
  <si>
    <t>kary i odszkodowania wypłacane na rzecz osób fizycznych</t>
  </si>
  <si>
    <t>75085</t>
  </si>
  <si>
    <t>Wspólna obsługa jednostek samorządu terytorialnego</t>
  </si>
  <si>
    <t>Centrum Usług Wspólnych Placówek Oświatowych</t>
  </si>
  <si>
    <t>Straż gminna (miejska)</t>
  </si>
  <si>
    <t>Obsługa Monitoringu</t>
  </si>
  <si>
    <t>Obsługa długu publicznego</t>
  </si>
  <si>
    <t xml:space="preserve">Obsługa papierów wartościowych, kredytów i pożyczek </t>
  </si>
  <si>
    <t xml:space="preserve">oraz innych zobowiązań jednostek samorządu terytorialnego </t>
  </si>
  <si>
    <t>zaliczanych do tytułu dłużnego - kredyty i pożyczki</t>
  </si>
  <si>
    <t>Wydział Finansów</t>
  </si>
  <si>
    <t>koszty emisji samorządowych papierów wartościowych oraz inne opłaty i prowizje</t>
  </si>
  <si>
    <t>odsetki od samorządowych papierów wartościowych lub zaciągniętych przez jednostkę samorządu terytorialnego kredytów i pożyczek</t>
  </si>
  <si>
    <t xml:space="preserve"> - rezerwa ogólna</t>
  </si>
  <si>
    <t>Wydział Inwestycji</t>
  </si>
  <si>
    <t>Inne formy wychowania przedszkolnego</t>
  </si>
  <si>
    <t>opłaty za administrowanie i czynsze za budynki, lokale i pomieszczenia garażowe</t>
  </si>
  <si>
    <t>Wydział Edukacji - projekt pn."Włocławska Akademia Kariery Zawodowej w Zespole Szkół Elektrycznych"</t>
  </si>
  <si>
    <t>Jednostki oświatowe zbiorczo (projekty z grantów Lokalnej Grupy Działania Miasta Włocławek)</t>
  </si>
  <si>
    <t>851</t>
  </si>
  <si>
    <t>Przeciwdziałanie alkoholizmowi</t>
  </si>
  <si>
    <t>Dodatki mieszkaniowe</t>
  </si>
  <si>
    <t>Jednostki specjalistycznego poradnictwa, mieszkania</t>
  </si>
  <si>
    <t>chronione i ośrodki interwencji kryzysowej</t>
  </si>
  <si>
    <t>MOPR - mieszkania chronione</t>
  </si>
  <si>
    <t>MOPR - Sekcja Interwencji Kryzysowej i Poradnictwa</t>
  </si>
  <si>
    <t>Specjalistycznego</t>
  </si>
  <si>
    <t>Pomoc w zakresie dożywiania</t>
  </si>
  <si>
    <t>4330</t>
  </si>
  <si>
    <t xml:space="preserve">zakup usług przez jednostki samorządu terytorialnego od innych jednostek samorządu terytorialnego </t>
  </si>
  <si>
    <t xml:space="preserve">Włocławskie Centrum Organizacji Pozarządowych i Wolontariatu </t>
  </si>
  <si>
    <t xml:space="preserve">Miejski Ośrodek Pomocy Rodzinie - Projekt pn. "WŁOCŁAWEK - MIASTO NOWYCH MOŻLIWOŚCI. Tutaj mieszkam, pracuję, inwestuję i tu wypoczywam" </t>
  </si>
  <si>
    <t>4216</t>
  </si>
  <si>
    <t>4217</t>
  </si>
  <si>
    <t>Inne formy pomocy dla uczniów</t>
  </si>
  <si>
    <t>Miejski Ośrodek Pomocy Rodzinie - projekt pn. "Rodzina w Centrum 3"</t>
  </si>
  <si>
    <t>Miejski Ośrodek Pomocy Rodzinie - projekt pn. "JESTEM"</t>
  </si>
  <si>
    <t>Kultura fizyczna</t>
  </si>
  <si>
    <t>Obiekty sportowe</t>
  </si>
  <si>
    <t>różne opłaty i składki</t>
  </si>
  <si>
    <t>Wydział Organizacyjno - Prawny i Kadr - Fundusz Pomocy (nadanie numeru PESEL)</t>
  </si>
  <si>
    <t>Miejski Ośrodek Pomocy Rodzinie - Fundusz Pomocy (świadczenie pieniężne - 40 zł za osobę dziennie)</t>
  </si>
  <si>
    <t>świadczenia związane z udzielaniem pomocy obywatelom Ukrainy</t>
  </si>
  <si>
    <t>dotacja celowa z budżetu na finansowanie lub dofinansowanie zadań zleconych do realizacji pozostałym jednostkom niezaliczanym do sektora finansów publicznych</t>
  </si>
  <si>
    <t>Środowiskowy Dom Samopomocy - Klub Samopomocy</t>
  </si>
  <si>
    <t>"Rozumiem i wspieram"</t>
  </si>
  <si>
    <t>podatek od nieruchomości</t>
  </si>
  <si>
    <t xml:space="preserve">Powiatowy Inspektorat Nadzoru Budowlanego Miasta </t>
  </si>
  <si>
    <t>Włocławka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</si>
  <si>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</si>
  <si>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</si>
  <si>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>wynagrodzenia osobowe członków korpusu służby cywilnej</t>
  </si>
  <si>
    <t>uposażenia żołnierzy zawodowych oraz funkcjonariuszy</t>
  </si>
  <si>
    <t>inne należności żołnierzy zawodowych oraz funkcjonariuszy zaliczane do wynagrodzeń</t>
  </si>
  <si>
    <t>dodatkowe uposażenie roczne dla żołnierzy zawodowych oraz nagrody roczne dla funkcjonariuszy</t>
  </si>
  <si>
    <t>Miejski Zespół do Spraw Orzekania o Niepełnosprawności</t>
  </si>
  <si>
    <t>do Zarządzenia NR 360/2022</t>
  </si>
  <si>
    <t>z dnia 31 października 2022 r.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</si>
  <si>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</si>
  <si>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</si>
  <si>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</si>
  <si>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Planowane wydatki</t>
  </si>
  <si>
    <t>w okresie</t>
  </si>
  <si>
    <t>2022 rok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</si>
  <si>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</si>
  <si>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</si>
  <si>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</si>
  <si>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</si>
  <si>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</si>
  <si>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</si>
  <si>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</si>
  <si>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</si>
  <si>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</si>
  <si>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</si>
  <si>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</si>
  <si>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</si>
  <si>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</si>
  <si>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</si>
  <si>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</si>
  <si>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1</t>
  </si>
  <si>
    <t>REGIONALNY PROGRAM OPERACYJNY WOJEWÓDZTWA KUJAWSKO - POMORSKIEGO</t>
  </si>
  <si>
    <t>1.29</t>
  </si>
  <si>
    <t>Świat nauki w obiektywie</t>
  </si>
  <si>
    <t>w tym: /Szkoła Podstawowa Nr 2/</t>
  </si>
  <si>
    <t>dz. 801</t>
  </si>
  <si>
    <t>rozdz. 80195</t>
  </si>
  <si>
    <t>* środki własne jst, współfinansowanie z budżetu państwa oraz inne</t>
  </si>
  <si>
    <t xml:space="preserve"> </t>
  </si>
  <si>
    <t>854</t>
  </si>
  <si>
    <t>85410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</si>
</sst>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5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i/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i/>
      <sz val="9"/>
      <name val="Arial CE"/>
      <family val="2"/>
      <charset val="238"/>
    </font>
    <font>
      <b/>
      <sz val="8"/>
      <name val="Arial CE"/>
      <charset val="238"/>
    </font>
    <font>
      <sz val="11"/>
      <color rgb="FF000000"/>
      <name val="Calibri"/>
      <family val="2"/>
      <charset val="1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i/>
      <sz val="10"/>
      <name val="Arial CE"/>
      <charset val="238"/>
    </font>
    <font>
      <b/>
      <sz val="9"/>
      <color theme="1"/>
      <name val="Arial"/>
      <family val="2"/>
      <charset val="238"/>
    </font>
    <font>
      <i/>
      <u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 CE"/>
      <charset val="238"/>
    </font>
    <font>
      <i/>
      <sz val="8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b/>
      <i/>
      <sz val="10"/>
      <name val="Arial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sz val="8"/>
      <color rgb="FFFF0000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6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51" fillId="0" borderId="0"/>
  </cellStyleXfs>
  <cellXfs count="50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12" xfId="0" applyFont="1" applyBorder="1"/>
    <xf numFmtId="0" fontId="0" fillId="0" borderId="0" xfId="0" applyAlignment="1">
      <alignment vertical="center"/>
    </xf>
    <xf numFmtId="0" fontId="2" fillId="0" borderId="1" xfId="0" applyFont="1" applyBorder="1"/>
    <xf numFmtId="49" fontId="2" fillId="0" borderId="1" xfId="0" applyNumberFormat="1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9" fillId="0" borderId="0" xfId="0" applyFont="1"/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7" fillId="0" borderId="8" xfId="0" applyFont="1" applyBorder="1"/>
    <xf numFmtId="4" fontId="7" fillId="0" borderId="9" xfId="0" applyNumberFormat="1" applyFont="1" applyBorder="1"/>
    <xf numFmtId="0" fontId="7" fillId="0" borderId="10" xfId="0" applyFont="1" applyBorder="1"/>
    <xf numFmtId="4" fontId="7" fillId="0" borderId="11" xfId="0" applyNumberFormat="1" applyFont="1" applyBorder="1"/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/>
    <xf numFmtId="49" fontId="7" fillId="0" borderId="3" xfId="0" applyNumberFormat="1" applyFont="1" applyBorder="1" applyAlignment="1">
      <alignment horizontal="right"/>
    </xf>
    <xf numFmtId="3" fontId="7" fillId="0" borderId="4" xfId="0" applyNumberFormat="1" applyFont="1" applyBorder="1"/>
    <xf numFmtId="4" fontId="7" fillId="0" borderId="11" xfId="0" applyNumberFormat="1" applyFont="1" applyBorder="1" applyAlignment="1">
      <alignment horizontal="right"/>
    </xf>
    <xf numFmtId="0" fontId="2" fillId="0" borderId="3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4" fontId="11" fillId="0" borderId="13" xfId="0" applyNumberFormat="1" applyFont="1" applyBorder="1"/>
    <xf numFmtId="4" fontId="8" fillId="0" borderId="13" xfId="0" applyNumberFormat="1" applyFont="1" applyBorder="1"/>
    <xf numFmtId="0" fontId="2" fillId="0" borderId="4" xfId="0" applyFont="1" applyBorder="1"/>
    <xf numFmtId="4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2" fillId="0" borderId="3" xfId="0" applyNumberFormat="1" applyFont="1" applyBorder="1"/>
    <xf numFmtId="0" fontId="2" fillId="0" borderId="7" xfId="0" applyFont="1" applyBorder="1"/>
    <xf numFmtId="0" fontId="1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1" fillId="0" borderId="6" xfId="0" applyNumberFormat="1" applyFont="1" applyBorder="1"/>
    <xf numFmtId="49" fontId="9" fillId="0" borderId="6" xfId="0" applyNumberFormat="1" applyFont="1" applyBorder="1" applyAlignment="1">
      <alignment horizontal="right"/>
    </xf>
    <xf numFmtId="0" fontId="9" fillId="0" borderId="7" xfId="0" applyFont="1" applyBorder="1"/>
    <xf numFmtId="0" fontId="3" fillId="0" borderId="0" xfId="0" applyFont="1"/>
    <xf numFmtId="0" fontId="13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right" vertical="top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49" fontId="21" fillId="0" borderId="19" xfId="0" applyNumberFormat="1" applyFont="1" applyBorder="1" applyAlignment="1">
      <alignment horizontal="center" vertical="center"/>
    </xf>
    <xf numFmtId="4" fontId="22" fillId="0" borderId="19" xfId="0" applyNumberFormat="1" applyFont="1" applyBorder="1" applyAlignment="1">
      <alignment vertical="center"/>
    </xf>
    <xf numFmtId="4" fontId="21" fillId="0" borderId="19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49" fontId="21" fillId="0" borderId="6" xfId="0" applyNumberFormat="1" applyFont="1" applyBorder="1" applyAlignment="1">
      <alignment horizontal="center" vertical="center"/>
    </xf>
    <xf numFmtId="4" fontId="21" fillId="0" borderId="6" xfId="0" applyNumberFormat="1" applyFont="1" applyBorder="1" applyAlignment="1">
      <alignment vertical="center"/>
    </xf>
    <xf numFmtId="4" fontId="22" fillId="0" borderId="6" xfId="0" applyNumberFormat="1" applyFont="1" applyBorder="1" applyAlignment="1">
      <alignment vertical="center"/>
    </xf>
    <xf numFmtId="4" fontId="21" fillId="0" borderId="6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4" fontId="14" fillId="0" borderId="17" xfId="0" applyNumberFormat="1" applyFont="1" applyBorder="1" applyAlignment="1">
      <alignment vertical="center"/>
    </xf>
    <xf numFmtId="4" fontId="14" fillId="0" borderId="19" xfId="0" applyNumberFormat="1" applyFont="1" applyBorder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" fontId="9" fillId="0" borderId="0" xfId="0" applyNumberFormat="1" applyFont="1"/>
    <xf numFmtId="0" fontId="2" fillId="0" borderId="3" xfId="0" applyFont="1" applyBorder="1" applyAlignment="1">
      <alignment vertical="top" wrapText="1"/>
    </xf>
    <xf numFmtId="0" fontId="22" fillId="0" borderId="3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/>
    <xf numFmtId="49" fontId="26" fillId="0" borderId="3" xfId="0" applyNumberFormat="1" applyFont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 vertical="center"/>
    </xf>
    <xf numFmtId="4" fontId="29" fillId="0" borderId="3" xfId="0" applyNumberFormat="1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/>
    <xf numFmtId="49" fontId="21" fillId="0" borderId="18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4" fontId="0" fillId="0" borderId="0" xfId="0" applyNumberFormat="1"/>
    <xf numFmtId="3" fontId="2" fillId="0" borderId="3" xfId="0" applyNumberFormat="1" applyFont="1" applyBorder="1"/>
    <xf numFmtId="0" fontId="1" fillId="0" borderId="7" xfId="0" applyFont="1" applyBorder="1"/>
    <xf numFmtId="0" fontId="11" fillId="0" borderId="12" xfId="0" applyFont="1" applyBorder="1"/>
    <xf numFmtId="4" fontId="8" fillId="0" borderId="13" xfId="0" applyNumberFormat="1" applyFont="1" applyBorder="1" applyAlignment="1">
      <alignment horizontal="right"/>
    </xf>
    <xf numFmtId="0" fontId="2" fillId="0" borderId="4" xfId="0" applyFont="1" applyBorder="1" applyAlignment="1">
      <alignment vertical="top" wrapText="1"/>
    </xf>
    <xf numFmtId="4" fontId="2" fillId="0" borderId="20" xfId="0" applyNumberFormat="1" applyFont="1" applyBorder="1"/>
    <xf numFmtId="4" fontId="7" fillId="0" borderId="3" xfId="0" applyNumberFormat="1" applyFont="1" applyBorder="1"/>
    <xf numFmtId="0" fontId="7" fillId="0" borderId="3" xfId="0" applyFont="1" applyBorder="1"/>
    <xf numFmtId="49" fontId="31" fillId="0" borderId="3" xfId="0" applyNumberFormat="1" applyFont="1" applyBorder="1" applyAlignment="1">
      <alignment horizontal="right"/>
    </xf>
    <xf numFmtId="0" fontId="8" fillId="0" borderId="1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4" fontId="2" fillId="0" borderId="3" xfId="0" applyNumberFormat="1" applyFont="1" applyBorder="1" applyAlignment="1">
      <alignment horizontal="right"/>
    </xf>
    <xf numFmtId="0" fontId="7" fillId="0" borderId="4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8" fillId="0" borderId="12" xfId="0" applyFont="1" applyBorder="1" applyAlignment="1">
      <alignment vertical="center" wrapText="1"/>
    </xf>
    <xf numFmtId="3" fontId="2" fillId="0" borderId="4" xfId="0" applyNumberFormat="1" applyFont="1" applyBorder="1"/>
    <xf numFmtId="4" fontId="7" fillId="0" borderId="3" xfId="0" applyNumberFormat="1" applyFont="1" applyBorder="1" applyAlignment="1">
      <alignment horizontal="right"/>
    </xf>
    <xf numFmtId="3" fontId="1" fillId="0" borderId="7" xfId="0" applyNumberFormat="1" applyFont="1" applyBorder="1"/>
    <xf numFmtId="0" fontId="8" fillId="0" borderId="12" xfId="0" applyFont="1" applyBorder="1" applyAlignment="1">
      <alignment vertical="center"/>
    </xf>
    <xf numFmtId="3" fontId="2" fillId="0" borderId="7" xfId="0" applyNumberFormat="1" applyFont="1" applyBorder="1"/>
    <xf numFmtId="3" fontId="7" fillId="0" borderId="6" xfId="0" applyNumberFormat="1" applyFont="1" applyBorder="1"/>
    <xf numFmtId="0" fontId="2" fillId="0" borderId="6" xfId="0" applyFont="1" applyBorder="1" applyAlignment="1">
      <alignment horizontal="right" vertical="top"/>
    </xf>
    <xf numFmtId="4" fontId="1" fillId="0" borderId="6" xfId="0" applyNumberFormat="1" applyFont="1" applyBorder="1" applyAlignment="1">
      <alignment horizontal="right"/>
    </xf>
    <xf numFmtId="3" fontId="11" fillId="0" borderId="3" xfId="0" applyNumberFormat="1" applyFont="1" applyBorder="1"/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4" fontId="1" fillId="0" borderId="20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3" fontId="11" fillId="0" borderId="3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3" fillId="0" borderId="3" xfId="0" applyFont="1" applyBorder="1"/>
    <xf numFmtId="3" fontId="10" fillId="0" borderId="3" xfId="0" applyNumberFormat="1" applyFont="1" applyBorder="1"/>
    <xf numFmtId="0" fontId="11" fillId="0" borderId="3" xfId="0" applyFont="1" applyBorder="1"/>
    <xf numFmtId="0" fontId="11" fillId="0" borderId="4" xfId="0" applyFont="1" applyBorder="1" applyAlignment="1">
      <alignment horizontal="right"/>
    </xf>
    <xf numFmtId="0" fontId="32" fillId="0" borderId="0" xfId="0" applyFont="1"/>
    <xf numFmtId="0" fontId="1" fillId="0" borderId="4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1" fillId="0" borderId="4" xfId="0" applyFont="1" applyBorder="1"/>
    <xf numFmtId="0" fontId="8" fillId="0" borderId="13" xfId="0" applyFont="1" applyBorder="1"/>
    <xf numFmtId="0" fontId="8" fillId="0" borderId="3" xfId="0" applyFont="1" applyBorder="1"/>
    <xf numFmtId="49" fontId="1" fillId="0" borderId="3" xfId="0" applyNumberFormat="1" applyFont="1" applyBorder="1" applyAlignment="1">
      <alignment horizontal="right" vertical="top"/>
    </xf>
    <xf numFmtId="49" fontId="1" fillId="0" borderId="3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0" fontId="15" fillId="0" borderId="3" xfId="0" applyFont="1" applyBorder="1"/>
    <xf numFmtId="0" fontId="15" fillId="0" borderId="3" xfId="0" applyFont="1" applyBorder="1" applyAlignment="1">
      <alignment horizontal="right"/>
    </xf>
    <xf numFmtId="0" fontId="15" fillId="0" borderId="4" xfId="0" applyFont="1" applyBorder="1"/>
    <xf numFmtId="4" fontId="8" fillId="0" borderId="3" xfId="0" applyNumberFormat="1" applyFont="1" applyBorder="1" applyAlignment="1">
      <alignment horizontal="right"/>
    </xf>
    <xf numFmtId="4" fontId="8" fillId="0" borderId="3" xfId="0" applyNumberFormat="1" applyFont="1" applyBorder="1"/>
    <xf numFmtId="4" fontId="11" fillId="0" borderId="3" xfId="0" applyNumberFormat="1" applyFont="1" applyBorder="1"/>
    <xf numFmtId="4" fontId="1" fillId="0" borderId="1" xfId="0" applyNumberFormat="1" applyFont="1" applyBorder="1"/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top"/>
    </xf>
    <xf numFmtId="0" fontId="30" fillId="0" borderId="0" xfId="0" applyFont="1"/>
    <xf numFmtId="0" fontId="2" fillId="0" borderId="7" xfId="0" applyFont="1" applyBorder="1" applyAlignment="1">
      <alignment wrapText="1"/>
    </xf>
    <xf numFmtId="0" fontId="1" fillId="0" borderId="6" xfId="0" applyFont="1" applyBorder="1" applyAlignment="1">
      <alignment horizontal="right"/>
    </xf>
    <xf numFmtId="0" fontId="30" fillId="0" borderId="21" xfId="0" applyFont="1" applyBorder="1"/>
    <xf numFmtId="4" fontId="11" fillId="0" borderId="13" xfId="0" applyNumberFormat="1" applyFont="1" applyBorder="1" applyAlignment="1">
      <alignment horizontal="right"/>
    </xf>
    <xf numFmtId="0" fontId="1" fillId="0" borderId="7" xfId="0" applyFont="1" applyBorder="1" applyAlignment="1">
      <alignment wrapText="1"/>
    </xf>
    <xf numFmtId="3" fontId="1" fillId="0" borderId="4" xfId="0" applyNumberFormat="1" applyFont="1" applyBorder="1"/>
    <xf numFmtId="0" fontId="15" fillId="0" borderId="3" xfId="0" applyFont="1" applyBorder="1" applyAlignment="1">
      <alignment horizontal="center"/>
    </xf>
    <xf numFmtId="49" fontId="7" fillId="0" borderId="6" xfId="0" applyNumberFormat="1" applyFont="1" applyBorder="1" applyAlignment="1">
      <alignment horizontal="right"/>
    </xf>
    <xf numFmtId="0" fontId="8" fillId="0" borderId="12" xfId="0" applyFont="1" applyBorder="1" applyAlignment="1">
      <alignment wrapText="1"/>
    </xf>
    <xf numFmtId="49" fontId="2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0" fontId="8" fillId="0" borderId="4" xfId="0" applyFont="1" applyBorder="1"/>
    <xf numFmtId="0" fontId="11" fillId="0" borderId="13" xfId="0" applyFont="1" applyBorder="1"/>
    <xf numFmtId="3" fontId="1" fillId="0" borderId="3" xfId="0" applyNumberFormat="1" applyFont="1" applyBorder="1"/>
    <xf numFmtId="49" fontId="11" fillId="0" borderId="3" xfId="0" applyNumberFormat="1" applyFont="1" applyBorder="1" applyAlignment="1">
      <alignment horizontal="right"/>
    </xf>
    <xf numFmtId="4" fontId="8" fillId="0" borderId="23" xfId="0" applyNumberFormat="1" applyFont="1" applyBorder="1"/>
    <xf numFmtId="3" fontId="1" fillId="0" borderId="3" xfId="0" applyNumberFormat="1" applyFont="1" applyBorder="1" applyAlignment="1">
      <alignment horizontal="right"/>
    </xf>
    <xf numFmtId="0" fontId="8" fillId="0" borderId="23" xfId="0" applyFont="1" applyBorder="1"/>
    <xf numFmtId="0" fontId="8" fillId="0" borderId="13" xfId="0" applyFont="1" applyBorder="1" applyAlignment="1">
      <alignment wrapText="1"/>
    </xf>
    <xf numFmtId="49" fontId="7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1" fillId="0" borderId="4" xfId="0" applyFont="1" applyBorder="1" applyAlignment="1">
      <alignment vertical="top" wrapText="1"/>
    </xf>
    <xf numFmtId="3" fontId="8" fillId="0" borderId="3" xfId="0" applyNumberFormat="1" applyFont="1" applyBorder="1"/>
    <xf numFmtId="3" fontId="15" fillId="0" borderId="3" xfId="0" applyNumberFormat="1" applyFont="1" applyBorder="1"/>
    <xf numFmtId="0" fontId="9" fillId="0" borderId="6" xfId="0" applyFont="1" applyBorder="1"/>
    <xf numFmtId="0" fontId="18" fillId="0" borderId="0" xfId="2" applyAlignment="1">
      <alignment vertical="center"/>
    </xf>
    <xf numFmtId="0" fontId="2" fillId="0" borderId="0" xfId="2" applyFont="1"/>
    <xf numFmtId="0" fontId="18" fillId="0" borderId="0" xfId="2"/>
    <xf numFmtId="0" fontId="34" fillId="0" borderId="0" xfId="2" applyFont="1"/>
    <xf numFmtId="0" fontId="6" fillId="0" borderId="0" xfId="2" applyFont="1" applyAlignment="1">
      <alignment horizontal="centerContinuous" vertical="center" wrapText="1"/>
    </xf>
    <xf numFmtId="0" fontId="6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Continuous" vertical="center" wrapText="1"/>
    </xf>
    <xf numFmtId="0" fontId="20" fillId="2" borderId="15" xfId="2" applyFont="1" applyFill="1" applyBorder="1" applyAlignment="1">
      <alignment horizontal="centerContinuous" vertical="center" wrapText="1"/>
    </xf>
    <xf numFmtId="0" fontId="20" fillId="2" borderId="17" xfId="2" applyFont="1" applyFill="1" applyBorder="1" applyAlignment="1">
      <alignment horizontal="centerContinuous" vertical="center" wrapText="1"/>
    </xf>
    <xf numFmtId="0" fontId="20" fillId="2" borderId="3" xfId="2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top" wrapText="1"/>
    </xf>
    <xf numFmtId="0" fontId="20" fillId="2" borderId="19" xfId="2" applyFont="1" applyFill="1" applyBorder="1" applyAlignment="1">
      <alignment horizontal="center" vertical="center" wrapText="1"/>
    </xf>
    <xf numFmtId="0" fontId="35" fillId="0" borderId="19" xfId="2" applyFont="1" applyBorder="1" applyAlignment="1">
      <alignment horizontal="center" vertical="center"/>
    </xf>
    <xf numFmtId="0" fontId="18" fillId="0" borderId="19" xfId="2" applyBorder="1" applyAlignment="1">
      <alignment vertical="center"/>
    </xf>
    <xf numFmtId="4" fontId="18" fillId="0" borderId="19" xfId="2" applyNumberFormat="1" applyBorder="1" applyAlignment="1">
      <alignment vertical="center"/>
    </xf>
    <xf numFmtId="0" fontId="18" fillId="0" borderId="18" xfId="2" applyBorder="1" applyAlignment="1">
      <alignment vertical="center"/>
    </xf>
    <xf numFmtId="4" fontId="18" fillId="0" borderId="6" xfId="2" applyNumberFormat="1" applyBorder="1" applyAlignment="1">
      <alignment vertical="center"/>
    </xf>
    <xf numFmtId="4" fontId="3" fillId="0" borderId="0" xfId="2" applyNumberFormat="1" applyFont="1"/>
    <xf numFmtId="0" fontId="36" fillId="0" borderId="7" xfId="2" applyFont="1" applyBorder="1" applyAlignment="1">
      <alignment horizontal="centerContinuous" vertical="center"/>
    </xf>
    <xf numFmtId="0" fontId="36" fillId="0" borderId="21" xfId="2" applyFont="1" applyBorder="1" applyAlignment="1">
      <alignment horizontal="centerContinuous" vertical="center"/>
    </xf>
    <xf numFmtId="0" fontId="36" fillId="0" borderId="18" xfId="2" applyFont="1" applyBorder="1" applyAlignment="1">
      <alignment horizontal="centerContinuous" vertical="center"/>
    </xf>
    <xf numFmtId="4" fontId="36" fillId="0" borderId="6" xfId="2" applyNumberFormat="1" applyFont="1" applyBorder="1" applyAlignment="1">
      <alignment vertical="center"/>
    </xf>
    <xf numFmtId="0" fontId="3" fillId="0" borderId="0" xfId="3" applyFont="1"/>
    <xf numFmtId="0" fontId="18" fillId="0" borderId="0" xfId="3"/>
    <xf numFmtId="0" fontId="2" fillId="0" borderId="0" xfId="3" applyFont="1" applyAlignment="1">
      <alignment horizontal="left"/>
    </xf>
    <xf numFmtId="0" fontId="6" fillId="0" borderId="0" xfId="3" applyFont="1" applyAlignment="1">
      <alignment horizontal="centerContinuous" vertical="center" wrapText="1"/>
    </xf>
    <xf numFmtId="0" fontId="37" fillId="0" borderId="0" xfId="3" applyFont="1" applyAlignment="1">
      <alignment horizontal="center" vertical="center"/>
    </xf>
    <xf numFmtId="0" fontId="6" fillId="2" borderId="19" xfId="3" applyFont="1" applyFill="1" applyBorder="1" applyAlignment="1">
      <alignment horizontal="center" vertical="center"/>
    </xf>
    <xf numFmtId="0" fontId="35" fillId="0" borderId="19" xfId="3" applyFont="1" applyBorder="1" applyAlignment="1">
      <alignment horizontal="center" vertical="center"/>
    </xf>
    <xf numFmtId="0" fontId="35" fillId="0" borderId="0" xfId="3" applyFont="1"/>
    <xf numFmtId="0" fontId="2" fillId="0" borderId="0" xfId="3" applyFont="1"/>
    <xf numFmtId="0" fontId="12" fillId="0" borderId="19" xfId="3" applyFont="1" applyBorder="1" applyAlignment="1">
      <alignment vertical="top"/>
    </xf>
    <xf numFmtId="4" fontId="12" fillId="0" borderId="19" xfId="3" applyNumberFormat="1" applyFont="1" applyBorder="1" applyAlignment="1">
      <alignment vertical="center"/>
    </xf>
    <xf numFmtId="0" fontId="12" fillId="0" borderId="1" xfId="3" applyFont="1" applyBorder="1" applyAlignment="1">
      <alignment vertical="top"/>
    </xf>
    <xf numFmtId="0" fontId="12" fillId="0" borderId="19" xfId="3" applyFont="1" applyBorder="1"/>
    <xf numFmtId="4" fontId="12" fillId="0" borderId="19" xfId="3" applyNumberFormat="1" applyFont="1" applyBorder="1"/>
    <xf numFmtId="0" fontId="12" fillId="0" borderId="7" xfId="3" applyFont="1" applyBorder="1"/>
    <xf numFmtId="0" fontId="12" fillId="0" borderId="21" xfId="3" applyFont="1" applyBorder="1"/>
    <xf numFmtId="0" fontId="12" fillId="0" borderId="17" xfId="3" applyFont="1" applyBorder="1"/>
    <xf numFmtId="0" fontId="34" fillId="0" borderId="21" xfId="3" applyFont="1" applyBorder="1"/>
    <xf numFmtId="4" fontId="33" fillId="0" borderId="19" xfId="3" applyNumberFormat="1" applyFont="1" applyBorder="1"/>
    <xf numFmtId="4" fontId="5" fillId="0" borderId="19" xfId="3" applyNumberFormat="1" applyFont="1" applyBorder="1" applyAlignment="1">
      <alignment vertical="center"/>
    </xf>
    <xf numFmtId="0" fontId="27" fillId="0" borderId="0" xfId="3" applyFont="1" applyAlignment="1">
      <alignment vertical="center"/>
    </xf>
    <xf numFmtId="0" fontId="21" fillId="0" borderId="0" xfId="3" applyFont="1"/>
    <xf numFmtId="0" fontId="13" fillId="0" borderId="0" xfId="3" applyFont="1" applyAlignment="1">
      <alignment horizontal="center"/>
    </xf>
    <xf numFmtId="0" fontId="6" fillId="0" borderId="19" xfId="3" applyFont="1" applyBorder="1" applyAlignment="1">
      <alignment horizontal="center" vertical="center"/>
    </xf>
    <xf numFmtId="0" fontId="6" fillId="2" borderId="14" xfId="3" applyFont="1" applyFill="1" applyBorder="1" applyAlignment="1">
      <alignment horizontal="centerContinuous" vertical="center"/>
    </xf>
    <xf numFmtId="0" fontId="35" fillId="0" borderId="14" xfId="3" applyFont="1" applyBorder="1" applyAlignment="1">
      <alignment horizontal="centerContinuous" vertical="center"/>
    </xf>
    <xf numFmtId="0" fontId="34" fillId="0" borderId="0" xfId="3" applyFont="1"/>
    <xf numFmtId="0" fontId="38" fillId="0" borderId="14" xfId="3" applyFont="1" applyBorder="1" applyAlignment="1">
      <alignment horizontal="left" vertical="center"/>
    </xf>
    <xf numFmtId="0" fontId="38" fillId="0" borderId="15" xfId="3" applyFont="1" applyBorder="1" applyAlignment="1">
      <alignment horizontal="left" vertical="center"/>
    </xf>
    <xf numFmtId="0" fontId="38" fillId="0" borderId="17" xfId="3" applyFont="1" applyBorder="1" applyAlignment="1">
      <alignment horizontal="left" vertical="center"/>
    </xf>
    <xf numFmtId="0" fontId="12" fillId="0" borderId="19" xfId="3" applyFont="1" applyBorder="1" applyAlignment="1">
      <alignment vertical="center"/>
    </xf>
    <xf numFmtId="0" fontId="39" fillId="0" borderId="19" xfId="3" applyFont="1" applyBorder="1" applyAlignment="1">
      <alignment horizontal="left" vertical="center"/>
    </xf>
    <xf numFmtId="0" fontId="23" fillId="0" borderId="0" xfId="3" applyFont="1"/>
    <xf numFmtId="0" fontId="12" fillId="0" borderId="14" xfId="3" applyFont="1" applyBorder="1" applyAlignment="1">
      <alignment vertical="top" wrapText="1"/>
    </xf>
    <xf numFmtId="4" fontId="21" fillId="0" borderId="0" xfId="3" applyNumberFormat="1" applyFont="1"/>
    <xf numFmtId="0" fontId="12" fillId="0" borderId="14" xfId="3" applyFont="1" applyBorder="1"/>
    <xf numFmtId="0" fontId="12" fillId="0" borderId="2" xfId="3" applyFont="1" applyBorder="1"/>
    <xf numFmtId="0" fontId="12" fillId="0" borderId="24" xfId="3" applyFont="1" applyBorder="1"/>
    <xf numFmtId="0" fontId="12" fillId="0" borderId="16" xfId="3" applyFont="1" applyBorder="1"/>
    <xf numFmtId="0" fontId="34" fillId="0" borderId="22" xfId="3" applyFont="1" applyBorder="1" applyAlignment="1">
      <alignment vertical="center" wrapText="1"/>
    </xf>
    <xf numFmtId="4" fontId="12" fillId="0" borderId="23" xfId="3" applyNumberFormat="1" applyFont="1" applyBorder="1"/>
    <xf numFmtId="0" fontId="12" fillId="0" borderId="4" xfId="3" applyFont="1" applyBorder="1"/>
    <xf numFmtId="0" fontId="12" fillId="0" borderId="0" xfId="3" applyFont="1"/>
    <xf numFmtId="0" fontId="12" fillId="0" borderId="5" xfId="3" applyFont="1" applyBorder="1"/>
    <xf numFmtId="0" fontId="34" fillId="0" borderId="25" xfId="3" applyFont="1" applyBorder="1" applyAlignment="1">
      <alignment horizontal="left" wrapText="1"/>
    </xf>
    <xf numFmtId="4" fontId="12" fillId="0" borderId="13" xfId="3" applyNumberFormat="1" applyFont="1" applyBorder="1"/>
    <xf numFmtId="0" fontId="12" fillId="0" borderId="18" xfId="3" applyFont="1" applyBorder="1"/>
    <xf numFmtId="0" fontId="34" fillId="0" borderId="7" xfId="3" applyFont="1" applyBorder="1" applyAlignment="1">
      <alignment vertical="center" wrapText="1"/>
    </xf>
    <xf numFmtId="4" fontId="12" fillId="0" borderId="6" xfId="3" applyNumberFormat="1" applyFont="1" applyBorder="1"/>
    <xf numFmtId="0" fontId="34" fillId="0" borderId="26" xfId="3" applyFont="1" applyBorder="1" applyAlignment="1">
      <alignment vertical="center" wrapText="1"/>
    </xf>
    <xf numFmtId="4" fontId="12" fillId="0" borderId="25" xfId="3" applyNumberFormat="1" applyFont="1" applyBorder="1"/>
    <xf numFmtId="0" fontId="34" fillId="0" borderId="25" xfId="3" applyFont="1" applyBorder="1"/>
    <xf numFmtId="0" fontId="34" fillId="0" borderId="12" xfId="3" applyFont="1" applyBorder="1"/>
    <xf numFmtId="0" fontId="12" fillId="0" borderId="15" xfId="3" applyFont="1" applyBorder="1"/>
    <xf numFmtId="0" fontId="39" fillId="0" borderId="19" xfId="4" applyFont="1" applyBorder="1" applyAlignment="1">
      <alignment vertical="center"/>
    </xf>
    <xf numFmtId="0" fontId="12" fillId="0" borderId="14" xfId="4" applyFont="1" applyBorder="1" applyAlignment="1">
      <alignment vertical="top" wrapText="1"/>
    </xf>
    <xf numFmtId="4" fontId="12" fillId="0" borderId="19" xfId="4" applyNumberFormat="1" applyFont="1" applyBorder="1"/>
    <xf numFmtId="0" fontId="34" fillId="0" borderId="1" xfId="4" applyFont="1" applyBorder="1" applyAlignment="1">
      <alignment vertical="top"/>
    </xf>
    <xf numFmtId="0" fontId="34" fillId="0" borderId="22" xfId="4" applyFont="1" applyBorder="1" applyAlignment="1">
      <alignment vertical="center" wrapText="1"/>
    </xf>
    <xf numFmtId="3" fontId="34" fillId="0" borderId="23" xfId="4" applyNumberFormat="1" applyFont="1" applyBorder="1"/>
    <xf numFmtId="0" fontId="34" fillId="0" borderId="3" xfId="4" applyFont="1" applyBorder="1" applyAlignment="1">
      <alignment vertical="top"/>
    </xf>
    <xf numFmtId="0" fontId="34" fillId="0" borderId="26" xfId="4" applyFont="1" applyBorder="1" applyAlignment="1">
      <alignment vertical="center" wrapText="1"/>
    </xf>
    <xf numFmtId="3" fontId="34" fillId="0" borderId="25" xfId="4" applyNumberFormat="1" applyFont="1" applyBorder="1"/>
    <xf numFmtId="0" fontId="34" fillId="0" borderId="6" xfId="4" applyFont="1" applyBorder="1" applyAlignment="1">
      <alignment vertical="top"/>
    </xf>
    <xf numFmtId="0" fontId="34" fillId="0" borderId="27" xfId="4" applyFont="1" applyBorder="1" applyAlignment="1">
      <alignment vertical="center" wrapText="1"/>
    </xf>
    <xf numFmtId="3" fontId="34" fillId="0" borderId="28" xfId="4" applyNumberFormat="1" applyFont="1" applyBorder="1"/>
    <xf numFmtId="0" fontId="12" fillId="0" borderId="6" xfId="3" applyFont="1" applyBorder="1" applyAlignment="1">
      <alignment vertical="top"/>
    </xf>
    <xf numFmtId="0" fontId="12" fillId="0" borderId="7" xfId="3" applyFont="1" applyBorder="1" applyAlignment="1">
      <alignment vertical="center" wrapText="1"/>
    </xf>
    <xf numFmtId="4" fontId="12" fillId="0" borderId="6" xfId="3" applyNumberFormat="1" applyFont="1" applyBorder="1" applyAlignment="1">
      <alignment vertical="center"/>
    </xf>
    <xf numFmtId="0" fontId="12" fillId="0" borderId="16" xfId="3" applyFont="1" applyBorder="1" applyAlignment="1">
      <alignment vertical="top"/>
    </xf>
    <xf numFmtId="0" fontId="12" fillId="0" borderId="1" xfId="3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4" xfId="3" applyFont="1" applyBorder="1" applyAlignment="1">
      <alignment wrapText="1"/>
    </xf>
    <xf numFmtId="0" fontId="12" fillId="0" borderId="18" xfId="3" applyFont="1" applyBorder="1" applyAlignment="1">
      <alignment vertical="top"/>
    </xf>
    <xf numFmtId="0" fontId="12" fillId="0" borderId="7" xfId="3" applyFont="1" applyBorder="1" applyAlignment="1">
      <alignment wrapText="1"/>
    </xf>
    <xf numFmtId="0" fontId="33" fillId="0" borderId="14" xfId="3" applyFont="1" applyBorder="1" applyAlignment="1">
      <alignment horizontal="center"/>
    </xf>
    <xf numFmtId="0" fontId="33" fillId="0" borderId="15" xfId="3" applyFont="1" applyBorder="1" applyAlignment="1">
      <alignment horizontal="center"/>
    </xf>
    <xf numFmtId="0" fontId="34" fillId="0" borderId="26" xfId="3" applyFont="1" applyBorder="1" applyAlignment="1">
      <alignment horizontal="left" wrapText="1"/>
    </xf>
    <xf numFmtId="0" fontId="40" fillId="0" borderId="0" xfId="3" applyFont="1"/>
    <xf numFmtId="0" fontId="34" fillId="0" borderId="12" xfId="3" applyFont="1" applyBorder="1" applyAlignment="1">
      <alignment horizontal="left" wrapText="1"/>
    </xf>
    <xf numFmtId="0" fontId="34" fillId="0" borderId="26" xfId="3" applyFont="1" applyBorder="1" applyAlignment="1">
      <alignment horizontal="left" vertical="center" wrapText="1"/>
    </xf>
    <xf numFmtId="0" fontId="34" fillId="0" borderId="12" xfId="3" applyFont="1" applyBorder="1" applyAlignment="1">
      <alignment horizontal="left" vertical="center" wrapText="1"/>
    </xf>
    <xf numFmtId="0" fontId="34" fillId="0" borderId="26" xfId="3" applyFont="1" applyBorder="1"/>
    <xf numFmtId="0" fontId="34" fillId="0" borderId="7" xfId="3" applyFont="1" applyBorder="1" applyAlignment="1">
      <alignment horizontal="left" wrapText="1"/>
    </xf>
    <xf numFmtId="0" fontId="34" fillId="0" borderId="22" xfId="3" applyFont="1" applyBorder="1" applyAlignment="1">
      <alignment horizontal="left" vertical="center" wrapText="1"/>
    </xf>
    <xf numFmtId="0" fontId="34" fillId="0" borderId="12" xfId="3" applyFont="1" applyBorder="1" applyAlignment="1">
      <alignment vertical="center" wrapText="1"/>
    </xf>
    <xf numFmtId="0" fontId="34" fillId="0" borderId="27" xfId="3" applyFont="1" applyBorder="1" applyAlignment="1">
      <alignment horizontal="left" vertical="center" wrapText="1"/>
    </xf>
    <xf numFmtId="4" fontId="12" fillId="0" borderId="28" xfId="3" applyNumberFormat="1" applyFont="1" applyBorder="1"/>
    <xf numFmtId="0" fontId="34" fillId="0" borderId="29" xfId="3" applyFont="1" applyBorder="1"/>
    <xf numFmtId="4" fontId="12" fillId="0" borderId="20" xfId="3" applyNumberFormat="1" applyFont="1" applyBorder="1"/>
    <xf numFmtId="0" fontId="34" fillId="0" borderId="14" xfId="3" applyFont="1" applyBorder="1" applyAlignment="1">
      <alignment vertical="center" wrapText="1"/>
    </xf>
    <xf numFmtId="0" fontId="34" fillId="0" borderId="14" xfId="3" applyFont="1" applyBorder="1" applyAlignment="1">
      <alignment horizontal="left" vertical="center" wrapText="1"/>
    </xf>
    <xf numFmtId="0" fontId="31" fillId="0" borderId="22" xfId="3" applyFont="1" applyBorder="1"/>
    <xf numFmtId="0" fontId="31" fillId="0" borderId="12" xfId="3" applyFont="1" applyBorder="1"/>
    <xf numFmtId="0" fontId="31" fillId="0" borderId="26" xfId="3" applyFont="1" applyBorder="1"/>
    <xf numFmtId="0" fontId="34" fillId="0" borderId="23" xfId="3" applyFont="1" applyBorder="1" applyAlignment="1">
      <alignment horizontal="left" wrapText="1"/>
    </xf>
    <xf numFmtId="0" fontId="34" fillId="0" borderId="26" xfId="3" applyFont="1" applyBorder="1" applyAlignment="1">
      <alignment horizontal="left" vertical="top" wrapText="1"/>
    </xf>
    <xf numFmtId="4" fontId="12" fillId="0" borderId="30" xfId="3" applyNumberFormat="1" applyFont="1" applyBorder="1"/>
    <xf numFmtId="0" fontId="34" fillId="0" borderId="7" xfId="3" applyFont="1" applyBorder="1" applyAlignment="1">
      <alignment horizontal="left" vertical="center" wrapText="1"/>
    </xf>
    <xf numFmtId="0" fontId="31" fillId="0" borderId="14" xfId="3" applyFont="1" applyBorder="1"/>
    <xf numFmtId="0" fontId="34" fillId="0" borderId="7" xfId="3" applyFont="1" applyBorder="1" applyAlignment="1">
      <alignment vertical="top" wrapText="1"/>
    </xf>
    <xf numFmtId="0" fontId="34" fillId="0" borderId="22" xfId="3" applyFont="1" applyBorder="1" applyAlignment="1">
      <alignment horizontal="left" wrapText="1"/>
    </xf>
    <xf numFmtId="0" fontId="34" fillId="0" borderId="25" xfId="3" applyFont="1" applyBorder="1" applyAlignment="1">
      <alignment horizontal="left" vertical="center" wrapText="1"/>
    </xf>
    <xf numFmtId="0" fontId="12" fillId="0" borderId="6" xfId="3" applyFont="1" applyBorder="1"/>
    <xf numFmtId="0" fontId="34" fillId="0" borderId="14" xfId="3" applyFont="1" applyBorder="1" applyAlignment="1">
      <alignment vertical="top" wrapText="1"/>
    </xf>
    <xf numFmtId="0" fontId="34" fillId="0" borderId="22" xfId="3" applyFont="1" applyBorder="1"/>
    <xf numFmtId="0" fontId="34" fillId="0" borderId="31" xfId="3" applyFont="1" applyBorder="1" applyAlignment="1">
      <alignment horizontal="left" vertical="center" wrapText="1"/>
    </xf>
    <xf numFmtId="0" fontId="12" fillId="0" borderId="14" xfId="3" applyFont="1" applyBorder="1" applyAlignment="1">
      <alignment horizontal="left" vertical="top" wrapText="1"/>
    </xf>
    <xf numFmtId="0" fontId="34" fillId="0" borderId="21" xfId="3" applyFont="1" applyBorder="1" applyAlignment="1">
      <alignment vertical="top" wrapText="1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3" fontId="18" fillId="0" borderId="0" xfId="3" applyNumberFormat="1"/>
    <xf numFmtId="4" fontId="18" fillId="0" borderId="0" xfId="3" applyNumberFormat="1"/>
    <xf numFmtId="0" fontId="41" fillId="0" borderId="0" xfId="0" applyFont="1"/>
    <xf numFmtId="0" fontId="42" fillId="0" borderId="0" xfId="0" applyFont="1" applyAlignment="1">
      <alignment horizontal="centerContinuous" vertical="center"/>
    </xf>
    <xf numFmtId="0" fontId="18" fillId="0" borderId="0" xfId="0" applyFont="1"/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 wrapText="1"/>
    </xf>
    <xf numFmtId="0" fontId="43" fillId="2" borderId="19" xfId="0" applyFont="1" applyFill="1" applyBorder="1" applyAlignment="1">
      <alignment horizontal="center" vertical="center"/>
    </xf>
    <xf numFmtId="0" fontId="44" fillId="0" borderId="6" xfId="0" applyFont="1" applyBorder="1" applyAlignment="1">
      <alignment vertical="center"/>
    </xf>
    <xf numFmtId="0" fontId="44" fillId="0" borderId="6" xfId="0" applyFont="1" applyBorder="1" applyAlignment="1">
      <alignment horizontal="center" vertical="center"/>
    </xf>
    <xf numFmtId="0" fontId="36" fillId="0" borderId="30" xfId="0" applyFont="1" applyBorder="1" applyAlignment="1">
      <alignment vertical="center" wrapText="1"/>
    </xf>
    <xf numFmtId="3" fontId="0" fillId="0" borderId="30" xfId="0" applyNumberFormat="1" applyBorder="1" applyAlignment="1">
      <alignment vertical="center"/>
    </xf>
    <xf numFmtId="0" fontId="45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5" fillId="0" borderId="1" xfId="0" applyFont="1" applyBorder="1" applyAlignment="1">
      <alignment horizontal="left" vertical="center" indent="2"/>
    </xf>
    <xf numFmtId="4" fontId="46" fillId="0" borderId="1" xfId="0" applyNumberFormat="1" applyFont="1" applyBorder="1" applyAlignment="1">
      <alignment vertical="center"/>
    </xf>
    <xf numFmtId="0" fontId="45" fillId="0" borderId="3" xfId="0" applyFont="1" applyBorder="1" applyAlignment="1">
      <alignment horizontal="left" vertical="center" indent="2"/>
    </xf>
    <xf numFmtId="4" fontId="46" fillId="0" borderId="3" xfId="0" applyNumberFormat="1" applyFont="1" applyBorder="1" applyAlignment="1">
      <alignment vertical="center"/>
    </xf>
    <xf numFmtId="4" fontId="46" fillId="0" borderId="3" xfId="0" applyNumberFormat="1" applyFont="1" applyBorder="1" applyAlignment="1">
      <alignment vertical="top"/>
    </xf>
    <xf numFmtId="4" fontId="46" fillId="0" borderId="3" xfId="0" applyNumberFormat="1" applyFont="1" applyBorder="1" applyAlignment="1">
      <alignment horizontal="right" vertical="center"/>
    </xf>
    <xf numFmtId="0" fontId="45" fillId="0" borderId="3" xfId="0" applyFont="1" applyBorder="1" applyAlignment="1">
      <alignment horizontal="center" vertical="top"/>
    </xf>
    <xf numFmtId="0" fontId="46" fillId="0" borderId="3" xfId="0" applyFont="1" applyBorder="1" applyAlignment="1">
      <alignment horizontal="center" vertical="top"/>
    </xf>
    <xf numFmtId="0" fontId="45" fillId="0" borderId="3" xfId="0" applyFont="1" applyBorder="1" applyAlignment="1">
      <alignment horizontal="left" vertical="top" wrapText="1" indent="2"/>
    </xf>
    <xf numFmtId="0" fontId="45" fillId="0" borderId="6" xfId="0" applyFont="1" applyBorder="1" applyAlignment="1">
      <alignment horizontal="center" vertical="top"/>
    </xf>
    <xf numFmtId="0" fontId="46" fillId="0" borderId="6" xfId="0" applyFont="1" applyBorder="1" applyAlignment="1">
      <alignment horizontal="center" vertical="top"/>
    </xf>
    <xf numFmtId="4" fontId="46" fillId="0" borderId="6" xfId="0" applyNumberFormat="1" applyFont="1" applyBorder="1" applyAlignment="1">
      <alignment vertical="top"/>
    </xf>
    <xf numFmtId="0" fontId="46" fillId="0" borderId="19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/>
    </xf>
    <xf numFmtId="0" fontId="45" fillId="0" borderId="19" xfId="0" applyFont="1" applyBorder="1" applyAlignment="1">
      <alignment horizontal="left" vertical="center" indent="2"/>
    </xf>
    <xf numFmtId="4" fontId="46" fillId="0" borderId="19" xfId="0" applyNumberFormat="1" applyFont="1" applyBorder="1" applyAlignment="1">
      <alignment vertical="center"/>
    </xf>
    <xf numFmtId="0" fontId="45" fillId="0" borderId="3" xfId="0" applyFont="1" applyBorder="1" applyAlignment="1">
      <alignment horizontal="left" vertical="center" wrapText="1" indent="2"/>
    </xf>
    <xf numFmtId="0" fontId="45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0" borderId="6" xfId="0" applyFont="1" applyBorder="1" applyAlignment="1">
      <alignment horizontal="left" vertical="center" indent="2"/>
    </xf>
    <xf numFmtId="4" fontId="46" fillId="0" borderId="6" xfId="0" applyNumberFormat="1" applyFont="1" applyBorder="1" applyAlignment="1">
      <alignment vertical="center"/>
    </xf>
    <xf numFmtId="4" fontId="46" fillId="0" borderId="6" xfId="0" applyNumberFormat="1" applyFont="1" applyBorder="1" applyAlignment="1">
      <alignment horizontal="right" vertical="center"/>
    </xf>
    <xf numFmtId="0" fontId="46" fillId="3" borderId="6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vertical="center"/>
    </xf>
    <xf numFmtId="0" fontId="47" fillId="3" borderId="19" xfId="0" applyFont="1" applyFill="1" applyBorder="1" applyAlignment="1">
      <alignment horizontal="left" vertical="center" indent="2"/>
    </xf>
    <xf numFmtId="4" fontId="47" fillId="3" borderId="6" xfId="0" applyNumberFormat="1" applyFont="1" applyFill="1" applyBorder="1" applyAlignment="1">
      <alignment vertical="center"/>
    </xf>
    <xf numFmtId="0" fontId="0" fillId="3" borderId="0" xfId="0" applyFill="1"/>
    <xf numFmtId="0" fontId="8" fillId="0" borderId="0" xfId="0" applyFont="1"/>
    <xf numFmtId="0" fontId="3" fillId="0" borderId="0" xfId="0" applyFont="1" applyAlignment="1">
      <alignment horizontal="left"/>
    </xf>
    <xf numFmtId="0" fontId="19" fillId="0" borderId="0" xfId="0" applyFont="1" applyAlignment="1">
      <alignment horizontal="centerContinuous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4" fontId="3" fillId="0" borderId="0" xfId="0" applyNumberFormat="1" applyFont="1"/>
    <xf numFmtId="4" fontId="21" fillId="0" borderId="3" xfId="0" applyNumberFormat="1" applyFont="1" applyBorder="1" applyAlignment="1">
      <alignment horizontal="right" vertical="center"/>
    </xf>
    <xf numFmtId="0" fontId="26" fillId="0" borderId="3" xfId="0" applyFont="1" applyBorder="1" applyAlignment="1">
      <alignment wrapText="1"/>
    </xf>
    <xf numFmtId="49" fontId="26" fillId="0" borderId="5" xfId="0" applyNumberFormat="1" applyFont="1" applyBorder="1" applyAlignment="1">
      <alignment horizontal="center" vertical="center"/>
    </xf>
    <xf numFmtId="4" fontId="48" fillId="0" borderId="0" xfId="0" applyNumberFormat="1" applyFont="1"/>
    <xf numFmtId="0" fontId="48" fillId="0" borderId="0" xfId="0" applyFont="1"/>
    <xf numFmtId="0" fontId="31" fillId="0" borderId="3" xfId="0" applyFont="1" applyBorder="1"/>
    <xf numFmtId="49" fontId="15" fillId="0" borderId="4" xfId="0" applyNumberFormat="1" applyFont="1" applyBorder="1"/>
    <xf numFmtId="44" fontId="15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right" vertical="top"/>
    </xf>
    <xf numFmtId="0" fontId="2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left"/>
    </xf>
    <xf numFmtId="49" fontId="15" fillId="0" borderId="3" xfId="0" applyNumberFormat="1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3" fontId="10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4" fontId="15" fillId="0" borderId="11" xfId="0" applyNumberFormat="1" applyFont="1" applyBorder="1"/>
    <xf numFmtId="0" fontId="1" fillId="0" borderId="3" xfId="0" applyFont="1" applyBorder="1" applyAlignment="1">
      <alignment wrapText="1"/>
    </xf>
    <xf numFmtId="0" fontId="8" fillId="0" borderId="22" xfId="0" applyFont="1" applyBorder="1"/>
    <xf numFmtId="4" fontId="1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/>
    </xf>
    <xf numFmtId="0" fontId="8" fillId="0" borderId="13" xfId="5" applyFont="1" applyBorder="1"/>
    <xf numFmtId="0" fontId="1" fillId="0" borderId="3" xfId="5" applyFont="1" applyBorder="1" applyAlignment="1">
      <alignment horizontal="right"/>
    </xf>
    <xf numFmtId="0" fontId="1" fillId="0" borderId="3" xfId="5" applyFont="1" applyBorder="1"/>
    <xf numFmtId="3" fontId="2" fillId="0" borderId="6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5" xfId="0" applyFont="1" applyBorder="1"/>
    <xf numFmtId="49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3" xfId="0" applyFont="1" applyBorder="1" applyAlignment="1">
      <alignment vertical="top"/>
    </xf>
    <xf numFmtId="0" fontId="1" fillId="0" borderId="20" xfId="0" applyFont="1" applyBorder="1" applyAlignment="1">
      <alignment wrapText="1"/>
    </xf>
    <xf numFmtId="0" fontId="1" fillId="0" borderId="7" xfId="0" applyFont="1" applyBorder="1" applyAlignment="1">
      <alignment vertical="top"/>
    </xf>
    <xf numFmtId="4" fontId="15" fillId="0" borderId="11" xfId="0" applyNumberFormat="1" applyFont="1" applyBorder="1" applyAlignment="1">
      <alignment horizontal="right"/>
    </xf>
    <xf numFmtId="0" fontId="30" fillId="0" borderId="6" xfId="0" applyFont="1" applyBorder="1"/>
    <xf numFmtId="4" fontId="2" fillId="0" borderId="32" xfId="0" applyNumberFormat="1" applyFont="1" applyBorder="1" applyAlignment="1">
      <alignment horizontal="right"/>
    </xf>
    <xf numFmtId="4" fontId="8" fillId="0" borderId="23" xfId="0" applyNumberFormat="1" applyFont="1" applyBorder="1" applyAlignment="1">
      <alignment horizontal="right"/>
    </xf>
    <xf numFmtId="0" fontId="3" fillId="0" borderId="3" xfId="0" applyFont="1" applyBorder="1" applyAlignment="1">
      <alignment vertical="top"/>
    </xf>
    <xf numFmtId="3" fontId="2" fillId="0" borderId="4" xfId="0" applyNumberFormat="1" applyFont="1" applyBorder="1" applyAlignment="1">
      <alignment vertical="top" wrapText="1"/>
    </xf>
    <xf numFmtId="0" fontId="4" fillId="0" borderId="12" xfId="0" applyFont="1" applyBorder="1" applyAlignment="1">
      <alignment wrapText="1"/>
    </xf>
    <xf numFmtId="4" fontId="50" fillId="0" borderId="3" xfId="0" applyNumberFormat="1" applyFont="1" applyBorder="1" applyAlignment="1">
      <alignment horizontal="right"/>
    </xf>
    <xf numFmtId="49" fontId="15" fillId="0" borderId="4" xfId="0" applyNumberFormat="1" applyFont="1" applyBorder="1" applyAlignment="1">
      <alignment horizontal="center"/>
    </xf>
    <xf numFmtId="44" fontId="15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9" fillId="0" borderId="3" xfId="0" applyFont="1" applyBorder="1"/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3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 vertical="top"/>
    </xf>
    <xf numFmtId="0" fontId="1" fillId="0" borderId="6" xfId="0" applyFont="1" applyBorder="1" applyAlignment="1">
      <alignment horizontal="left" wrapText="1"/>
    </xf>
    <xf numFmtId="0" fontId="51" fillId="0" borderId="0" xfId="6"/>
    <xf numFmtId="0" fontId="3" fillId="0" borderId="0" xfId="6" applyFont="1"/>
    <xf numFmtId="0" fontId="2" fillId="0" borderId="0" xfId="5" applyFont="1"/>
    <xf numFmtId="0" fontId="2" fillId="0" borderId="0" xfId="5" applyFont="1" applyAlignment="1">
      <alignment horizontal="left"/>
    </xf>
    <xf numFmtId="0" fontId="44" fillId="0" borderId="0" xfId="6" applyFont="1" applyAlignment="1">
      <alignment horizontal="centerContinuous" vertical="center"/>
    </xf>
    <xf numFmtId="0" fontId="52" fillId="0" borderId="1" xfId="6" applyFont="1" applyBorder="1" applyAlignment="1">
      <alignment horizontal="center" vertical="center"/>
    </xf>
    <xf numFmtId="0" fontId="52" fillId="0" borderId="1" xfId="6" applyFont="1" applyBorder="1" applyAlignment="1">
      <alignment horizontal="center" vertical="center" wrapText="1"/>
    </xf>
    <xf numFmtId="0" fontId="53" fillId="0" borderId="1" xfId="6" applyFont="1" applyBorder="1" applyAlignment="1">
      <alignment horizontal="center" vertical="top" wrapText="1"/>
    </xf>
    <xf numFmtId="0" fontId="52" fillId="0" borderId="14" xfId="6" applyFont="1" applyBorder="1" applyAlignment="1">
      <alignment horizontal="centerContinuous" vertical="center"/>
    </xf>
    <xf numFmtId="0" fontId="52" fillId="0" borderId="17" xfId="6" applyFont="1" applyBorder="1" applyAlignment="1">
      <alignment horizontal="centerContinuous" vertical="center"/>
    </xf>
    <xf numFmtId="0" fontId="52" fillId="0" borderId="15" xfId="6" applyFont="1" applyBorder="1" applyAlignment="1">
      <alignment horizontal="centerContinuous" vertical="center"/>
    </xf>
    <xf numFmtId="0" fontId="52" fillId="0" borderId="3" xfId="6" applyFont="1" applyBorder="1" applyAlignment="1">
      <alignment horizontal="center" vertical="center"/>
    </xf>
    <xf numFmtId="0" fontId="52" fillId="0" borderId="3" xfId="6" applyFont="1" applyBorder="1" applyAlignment="1">
      <alignment horizontal="center" vertical="center" wrapText="1"/>
    </xf>
    <xf numFmtId="0" fontId="53" fillId="0" borderId="3" xfId="6" applyFont="1" applyBorder="1" applyAlignment="1">
      <alignment horizontal="center" vertical="center" wrapText="1"/>
    </xf>
    <xf numFmtId="0" fontId="52" fillId="0" borderId="6" xfId="6" applyFont="1" applyBorder="1" applyAlignment="1">
      <alignment horizontal="center" vertical="center"/>
    </xf>
    <xf numFmtId="0" fontId="53" fillId="0" borderId="6" xfId="6" applyFont="1" applyBorder="1" applyAlignment="1">
      <alignment horizontal="center" vertical="center" wrapText="1"/>
    </xf>
    <xf numFmtId="0" fontId="52" fillId="0" borderId="6" xfId="6" applyFont="1" applyBorder="1" applyAlignment="1">
      <alignment horizontal="center" vertical="center" wrapText="1"/>
    </xf>
    <xf numFmtId="0" fontId="54" fillId="0" borderId="19" xfId="6" applyFont="1" applyBorder="1" applyAlignment="1">
      <alignment horizontal="center" vertical="center"/>
    </xf>
    <xf numFmtId="0" fontId="54" fillId="0" borderId="17" xfId="6" applyFont="1" applyBorder="1" applyAlignment="1">
      <alignment horizontal="center" vertical="center"/>
    </xf>
    <xf numFmtId="0" fontId="44" fillId="0" borderId="1" xfId="6" applyFont="1" applyBorder="1" applyAlignment="1">
      <alignment horizontal="center" vertical="center"/>
    </xf>
    <xf numFmtId="0" fontId="44" fillId="0" borderId="19" xfId="6" applyFont="1" applyBorder="1" applyAlignment="1">
      <alignment vertical="center"/>
    </xf>
    <xf numFmtId="4" fontId="52" fillId="0" borderId="17" xfId="6" applyNumberFormat="1" applyFont="1" applyBorder="1" applyAlignment="1">
      <alignment horizontal="center" vertical="center"/>
    </xf>
    <xf numFmtId="4" fontId="52" fillId="0" borderId="19" xfId="6" applyNumberFormat="1" applyFont="1" applyBorder="1" applyAlignment="1">
      <alignment vertical="center"/>
    </xf>
    <xf numFmtId="4" fontId="52" fillId="0" borderId="17" xfId="6" applyNumberFormat="1" applyFont="1" applyBorder="1" applyAlignment="1">
      <alignment vertical="center"/>
    </xf>
    <xf numFmtId="4" fontId="52" fillId="0" borderId="0" xfId="6" applyNumberFormat="1" applyFont="1"/>
    <xf numFmtId="0" fontId="52" fillId="0" borderId="0" xfId="6" applyFont="1"/>
    <xf numFmtId="0" fontId="44" fillId="0" borderId="3" xfId="6" applyFont="1" applyBorder="1" applyAlignment="1">
      <alignment horizontal="center" vertical="center"/>
    </xf>
    <xf numFmtId="0" fontId="4" fillId="0" borderId="33" xfId="6" applyFont="1" applyBorder="1" applyAlignment="1">
      <alignment vertical="center"/>
    </xf>
    <xf numFmtId="4" fontId="4" fillId="0" borderId="33" xfId="6" applyNumberFormat="1" applyFont="1" applyBorder="1" applyAlignment="1">
      <alignment horizontal="center" vertical="center"/>
    </xf>
    <xf numFmtId="4" fontId="4" fillId="0" borderId="33" xfId="6" applyNumberFormat="1" applyFont="1" applyBorder="1" applyAlignment="1">
      <alignment vertical="center"/>
    </xf>
    <xf numFmtId="3" fontId="52" fillId="0" borderId="0" xfId="6" applyNumberFormat="1" applyFont="1"/>
    <xf numFmtId="0" fontId="4" fillId="0" borderId="34" xfId="6" applyFont="1" applyBorder="1" applyAlignment="1">
      <alignment vertical="center"/>
    </xf>
    <xf numFmtId="4" fontId="4" fillId="0" borderId="34" xfId="6" applyNumberFormat="1" applyFont="1" applyBorder="1" applyAlignment="1">
      <alignment horizontal="center" vertical="center"/>
    </xf>
    <xf numFmtId="4" fontId="4" fillId="0" borderId="34" xfId="6" applyNumberFormat="1" applyFont="1" applyBorder="1" applyAlignment="1">
      <alignment vertical="center"/>
    </xf>
    <xf numFmtId="49" fontId="52" fillId="0" borderId="35" xfId="6" applyNumberFormat="1" applyFont="1" applyBorder="1" applyAlignment="1">
      <alignment horizontal="center" vertical="center"/>
    </xf>
    <xf numFmtId="0" fontId="52" fillId="0" borderId="36" xfId="6" applyFont="1" applyBorder="1" applyAlignment="1">
      <alignment vertical="center" wrapText="1"/>
    </xf>
    <xf numFmtId="4" fontId="44" fillId="0" borderId="37" xfId="5" applyNumberFormat="1" applyFont="1" applyBorder="1" applyAlignment="1">
      <alignment horizontal="center" vertical="center"/>
    </xf>
    <xf numFmtId="4" fontId="52" fillId="0" borderId="38" xfId="5" applyNumberFormat="1" applyFont="1" applyBorder="1" applyAlignment="1">
      <alignment horizontal="right" vertical="center"/>
    </xf>
    <xf numFmtId="3" fontId="3" fillId="0" borderId="0" xfId="6" applyNumberFormat="1" applyFont="1"/>
    <xf numFmtId="49" fontId="3" fillId="0" borderId="3" xfId="6" applyNumberFormat="1" applyFont="1" applyBorder="1" applyAlignment="1">
      <alignment horizontal="center" vertical="center"/>
    </xf>
    <xf numFmtId="0" fontId="52" fillId="0" borderId="3" xfId="6" applyFont="1" applyBorder="1" applyAlignment="1">
      <alignment vertical="center"/>
    </xf>
    <xf numFmtId="4" fontId="3" fillId="0" borderId="4" xfId="6" applyNumberFormat="1" applyFont="1" applyBorder="1" applyAlignment="1">
      <alignment horizontal="center"/>
    </xf>
    <xf numFmtId="4" fontId="3" fillId="0" borderId="0" xfId="6" applyNumberFormat="1" applyFont="1"/>
    <xf numFmtId="4" fontId="3" fillId="0" borderId="5" xfId="6" applyNumberFormat="1" applyFont="1" applyBorder="1"/>
    <xf numFmtId="0" fontId="3" fillId="0" borderId="39" xfId="6" applyFont="1" applyBorder="1" applyAlignment="1">
      <alignment vertical="top" wrapText="1"/>
    </xf>
    <xf numFmtId="4" fontId="3" fillId="0" borderId="40" xfId="6" applyNumberFormat="1" applyFont="1" applyBorder="1" applyAlignment="1">
      <alignment horizontal="center"/>
    </xf>
    <xf numFmtId="4" fontId="3" fillId="0" borderId="41" xfId="6" applyNumberFormat="1" applyFont="1" applyBorder="1"/>
    <xf numFmtId="4" fontId="3" fillId="0" borderId="42" xfId="6" applyNumberFormat="1" applyFont="1" applyBorder="1"/>
    <xf numFmtId="0" fontId="4" fillId="0" borderId="39" xfId="6" applyFont="1" applyBorder="1" applyAlignment="1">
      <alignment wrapText="1"/>
    </xf>
    <xf numFmtId="4" fontId="3" fillId="0" borderId="39" xfId="6" applyNumberFormat="1" applyFont="1" applyBorder="1" applyAlignment="1">
      <alignment horizontal="center"/>
    </xf>
    <xf numFmtId="4" fontId="3" fillId="0" borderId="39" xfId="6" applyNumberFormat="1" applyFont="1" applyBorder="1"/>
    <xf numFmtId="49" fontId="3" fillId="0" borderId="6" xfId="6" applyNumberFormat="1" applyFont="1" applyBorder="1" applyAlignment="1">
      <alignment horizontal="center" vertical="center"/>
    </xf>
    <xf numFmtId="0" fontId="4" fillId="0" borderId="34" xfId="6" applyFont="1" applyBorder="1"/>
    <xf numFmtId="4" fontId="3" fillId="0" borderId="6" xfId="6" applyNumberFormat="1" applyFont="1" applyBorder="1" applyAlignment="1">
      <alignment horizontal="center"/>
    </xf>
    <xf numFmtId="4" fontId="3" fillId="0" borderId="6" xfId="6" applyNumberFormat="1" applyFont="1" applyBorder="1"/>
    <xf numFmtId="4" fontId="3" fillId="0" borderId="18" xfId="6" applyNumberFormat="1" applyFont="1" applyBorder="1"/>
    <xf numFmtId="4" fontId="3" fillId="0" borderId="21" xfId="6" applyNumberFormat="1" applyFont="1" applyBorder="1"/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center"/>
    </xf>
    <xf numFmtId="3" fontId="3" fillId="0" borderId="0" xfId="6" applyNumberFormat="1" applyFont="1" applyAlignment="1">
      <alignment horizontal="right"/>
    </xf>
    <xf numFmtId="0" fontId="4" fillId="0" borderId="0" xfId="6" applyFont="1"/>
    <xf numFmtId="0" fontId="34" fillId="0" borderId="12" xfId="3" applyFont="1" applyBorder="1" applyAlignment="1">
      <alignment wrapText="1"/>
    </xf>
    <xf numFmtId="0" fontId="34" fillId="0" borderId="23" xfId="3" applyFont="1" applyBorder="1" applyAlignment="1">
      <alignment vertical="center" wrapText="1"/>
    </xf>
    <xf numFmtId="0" fontId="34" fillId="0" borderId="29" xfId="3" applyFont="1" applyBorder="1" applyAlignment="1">
      <alignment vertical="center" wrapText="1"/>
    </xf>
    <xf numFmtId="0" fontId="34" fillId="0" borderId="27" xfId="3" applyFont="1" applyBorder="1"/>
    <xf numFmtId="0" fontId="34" fillId="0" borderId="22" xfId="3" applyFont="1" applyBorder="1" applyAlignment="1">
      <alignment vertical="top" wrapText="1"/>
    </xf>
  </cellXfs>
  <cellStyles count="7">
    <cellStyle name="Normalny" xfId="0" builtinId="0"/>
    <cellStyle name="Normalny 2" xfId="1" xr:uid="{7E2422C2-1E35-4B2B-9C55-D1B70A35B269}"/>
    <cellStyle name="Normalny 3" xfId="2" xr:uid="{E8557831-07BB-481D-9950-B552552C1FDA}"/>
    <cellStyle name="Normalny 3 2" xfId="3" xr:uid="{FAD93772-A895-49C4-B9EF-DD3049C624A6}"/>
    <cellStyle name="Normalny 3 3" xfId="5" xr:uid="{19CF0282-FB01-4E71-BAB0-145BFA031BDD}"/>
    <cellStyle name="Normalny 5" xfId="4" xr:uid="{60D584C2-C9AE-46B0-944F-D7F126D8E368}"/>
    <cellStyle name="Normalny_zal_Szczecin" xfId="6" xr:uid="{1779DD7A-8EC4-4D1F-9B1F-4425A7F32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B391-5C63-4519-85AC-1AAA290B8E93}">
  <dimension ref="A1:H1006"/>
  <sheetViews>
    <sheetView tabSelected="1" zoomScale="150" zoomScaleNormal="150" workbookViewId="0"/>
  </sheetViews>
  <sheetFormatPr defaultRowHeight="15" x14ac:dyDescent="0.25"/>
  <cols>
    <col min="1" max="1" width="3.710937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28515625" customWidth="1"/>
    <col min="8" max="8" width="12.5703125" customWidth="1"/>
    <col min="9" max="9" width="10.285156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469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40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470</v>
      </c>
      <c r="G4" s="1"/>
      <c r="H4" s="1"/>
    </row>
    <row r="5" spans="1:8" ht="36" customHeight="1" x14ac:dyDescent="0.25">
      <c r="A5" s="4" t="s">
        <v>21</v>
      </c>
      <c r="B5" s="5"/>
      <c r="C5" s="6"/>
      <c r="D5" s="6"/>
      <c r="E5" s="5"/>
      <c r="F5" s="5"/>
      <c r="G5" s="7"/>
      <c r="H5" s="5"/>
    </row>
    <row r="6" spans="1:8" ht="29.25" customHeight="1" x14ac:dyDescent="0.25">
      <c r="A6" s="1"/>
      <c r="B6" s="1"/>
      <c r="C6" s="2"/>
      <c r="D6" s="2"/>
      <c r="E6" s="8"/>
      <c r="F6" s="1"/>
      <c r="G6" s="9"/>
      <c r="H6" s="55" t="s">
        <v>1</v>
      </c>
    </row>
    <row r="7" spans="1:8" s="18" customFormat="1" ht="11.25" x14ac:dyDescent="0.2">
      <c r="A7" s="12"/>
      <c r="B7" s="12"/>
      <c r="C7" s="13"/>
      <c r="D7" s="14"/>
      <c r="E7" s="15" t="s">
        <v>2</v>
      </c>
      <c r="F7" s="16"/>
      <c r="G7" s="17"/>
      <c r="H7" s="15" t="s">
        <v>2</v>
      </c>
    </row>
    <row r="8" spans="1:8" s="18" customFormat="1" ht="11.25" x14ac:dyDescent="0.2">
      <c r="A8" s="19" t="s">
        <v>3</v>
      </c>
      <c r="B8" s="19" t="s">
        <v>4</v>
      </c>
      <c r="C8" s="20" t="s">
        <v>5</v>
      </c>
      <c r="D8" s="21" t="s">
        <v>6</v>
      </c>
      <c r="E8" s="19" t="s">
        <v>16</v>
      </c>
      <c r="F8" s="22" t="s">
        <v>7</v>
      </c>
      <c r="G8" s="19" t="s">
        <v>8</v>
      </c>
      <c r="H8" s="19" t="s">
        <v>9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21" customHeight="1" thickBot="1" x14ac:dyDescent="0.25">
      <c r="A10" s="105"/>
      <c r="B10" s="105"/>
      <c r="C10" s="28"/>
      <c r="D10" s="29" t="s">
        <v>10</v>
      </c>
      <c r="E10" s="30">
        <v>829668099.5399996</v>
      </c>
      <c r="F10" s="30">
        <f>SUM(F11,F35,F72)</f>
        <v>3677961.69</v>
      </c>
      <c r="G10" s="30">
        <f>SUM(G11,G35,G72)</f>
        <v>68553</v>
      </c>
      <c r="H10" s="30">
        <f t="shared" ref="H10:H11" si="0">SUM(E10+F10-G10)</f>
        <v>833277508.22999966</v>
      </c>
    </row>
    <row r="11" spans="1:8" s="18" customFormat="1" ht="18.75" customHeight="1" thickBot="1" x14ac:dyDescent="0.25">
      <c r="A11" s="105"/>
      <c r="B11" s="105"/>
      <c r="C11" s="28"/>
      <c r="D11" s="31" t="s">
        <v>11</v>
      </c>
      <c r="E11" s="32">
        <v>711658767.22999978</v>
      </c>
      <c r="F11" s="32">
        <f>SUM(F12,F16,F23,F31)</f>
        <v>342771</v>
      </c>
      <c r="G11" s="32">
        <f>SUM(G12,G16,G23,G31)</f>
        <v>66553</v>
      </c>
      <c r="H11" s="32">
        <f t="shared" si="0"/>
        <v>711934985.22999978</v>
      </c>
    </row>
    <row r="12" spans="1:8" s="18" customFormat="1" ht="20.25" customHeight="1" thickTop="1" thickBot="1" x14ac:dyDescent="0.25">
      <c r="A12" s="112">
        <v>758</v>
      </c>
      <c r="B12" s="19"/>
      <c r="C12" s="19"/>
      <c r="D12" s="117" t="s">
        <v>47</v>
      </c>
      <c r="E12" s="32">
        <v>199283700.31</v>
      </c>
      <c r="F12" s="37">
        <f>SUM(F13)</f>
        <v>230111</v>
      </c>
      <c r="G12" s="37">
        <f t="shared" ref="F12:G13" si="1">SUM(G13)</f>
        <v>0</v>
      </c>
      <c r="H12" s="32">
        <f t="shared" ref="H12:H23" si="2">SUM(E12+F12-G12)</f>
        <v>199513811.31</v>
      </c>
    </row>
    <row r="13" spans="1:8" s="18" customFormat="1" ht="12" customHeight="1" thickTop="1" x14ac:dyDescent="0.2">
      <c r="A13" s="112"/>
      <c r="B13" s="28" t="s">
        <v>48</v>
      </c>
      <c r="C13" s="118"/>
      <c r="D13" s="48" t="s">
        <v>49</v>
      </c>
      <c r="E13" s="39">
        <v>2051127.31</v>
      </c>
      <c r="F13" s="40">
        <f t="shared" si="1"/>
        <v>230111</v>
      </c>
      <c r="G13" s="40">
        <f t="shared" si="1"/>
        <v>0</v>
      </c>
      <c r="H13" s="39">
        <f t="shared" si="2"/>
        <v>2281238.31</v>
      </c>
    </row>
    <row r="14" spans="1:8" s="18" customFormat="1" ht="21.75" customHeight="1" x14ac:dyDescent="0.2">
      <c r="A14" s="105"/>
      <c r="B14" s="119"/>
      <c r="C14" s="28"/>
      <c r="D14" s="120" t="s">
        <v>50</v>
      </c>
      <c r="E14" s="43">
        <v>1260572</v>
      </c>
      <c r="F14" s="108">
        <f>SUM(F15:F15)</f>
        <v>230111</v>
      </c>
      <c r="G14" s="108">
        <f>SUM(G15:G15)</f>
        <v>0</v>
      </c>
      <c r="H14" s="43">
        <f t="shared" si="2"/>
        <v>1490683</v>
      </c>
    </row>
    <row r="15" spans="1:8" s="18" customFormat="1" ht="33.75" customHeight="1" x14ac:dyDescent="0.2">
      <c r="A15" s="105"/>
      <c r="B15" s="119"/>
      <c r="C15" s="56" t="s">
        <v>51</v>
      </c>
      <c r="D15" s="109" t="s">
        <v>52</v>
      </c>
      <c r="E15" s="47">
        <v>1260572</v>
      </c>
      <c r="F15" s="47">
        <f>186935+43176</f>
        <v>230111</v>
      </c>
      <c r="G15" s="116"/>
      <c r="H15" s="47">
        <f t="shared" si="2"/>
        <v>1490683</v>
      </c>
    </row>
    <row r="16" spans="1:8" s="18" customFormat="1" ht="12.75" customHeight="1" thickBot="1" x14ac:dyDescent="0.25">
      <c r="A16" s="33">
        <v>801</v>
      </c>
      <c r="B16" s="34"/>
      <c r="C16" s="35"/>
      <c r="D16" s="36" t="s">
        <v>100</v>
      </c>
      <c r="E16" s="32">
        <v>25225976.59</v>
      </c>
      <c r="F16" s="37">
        <f>SUM(F17,F20)</f>
        <v>67741</v>
      </c>
      <c r="G16" s="37">
        <f>SUM(G17,G20)</f>
        <v>0</v>
      </c>
      <c r="H16" s="32">
        <f t="shared" si="2"/>
        <v>25293717.59</v>
      </c>
    </row>
    <row r="17" spans="1:8" s="18" customFormat="1" ht="12" customHeight="1" thickTop="1" x14ac:dyDescent="0.2">
      <c r="A17" s="105"/>
      <c r="B17" s="135">
        <v>80146</v>
      </c>
      <c r="C17" s="152"/>
      <c r="D17" s="48" t="s">
        <v>138</v>
      </c>
      <c r="E17" s="39">
        <v>306689</v>
      </c>
      <c r="F17" s="40">
        <f t="shared" ref="F17:G17" si="3">SUM(F18)</f>
        <v>17741</v>
      </c>
      <c r="G17" s="40">
        <f t="shared" si="3"/>
        <v>0</v>
      </c>
      <c r="H17" s="39">
        <f>SUM(E17+F17-G17)</f>
        <v>324430</v>
      </c>
    </row>
    <row r="18" spans="1:8" s="18" customFormat="1" ht="12" customHeight="1" x14ac:dyDescent="0.2">
      <c r="A18" s="105"/>
      <c r="B18" s="389"/>
      <c r="C18" s="113"/>
      <c r="D18" s="114" t="s">
        <v>35</v>
      </c>
      <c r="E18" s="43">
        <v>306689</v>
      </c>
      <c r="F18" s="108">
        <f>SUM(F19:F19)</f>
        <v>17741</v>
      </c>
      <c r="G18" s="108">
        <f>SUM(G19:G19)</f>
        <v>0</v>
      </c>
      <c r="H18" s="43">
        <f>SUM(E18+F18-G18)</f>
        <v>324430</v>
      </c>
    </row>
    <row r="19" spans="1:8" s="18" customFormat="1" ht="34.5" customHeight="1" x14ac:dyDescent="0.2">
      <c r="A19" s="105"/>
      <c r="B19" s="34"/>
      <c r="C19" s="56" t="s">
        <v>379</v>
      </c>
      <c r="D19" s="115" t="s">
        <v>380</v>
      </c>
      <c r="E19" s="47">
        <v>293259</v>
      </c>
      <c r="F19" s="47">
        <v>17741</v>
      </c>
      <c r="G19" s="116"/>
      <c r="H19" s="47">
        <f t="shared" ref="H19:H22" si="4">SUM(E19+F19-G19)</f>
        <v>311000</v>
      </c>
    </row>
    <row r="20" spans="1:8" s="18" customFormat="1" ht="12" customHeight="1" x14ac:dyDescent="0.2">
      <c r="A20" s="105"/>
      <c r="B20" s="38">
        <v>80195</v>
      </c>
      <c r="C20" s="28"/>
      <c r="D20" s="48" t="s">
        <v>12</v>
      </c>
      <c r="E20" s="39">
        <v>18487229.509999998</v>
      </c>
      <c r="F20" s="40">
        <f>SUM(F21)</f>
        <v>50000</v>
      </c>
      <c r="G20" s="40">
        <f>SUM(G21)</f>
        <v>0</v>
      </c>
      <c r="H20" s="39">
        <f t="shared" si="4"/>
        <v>18537229.509999998</v>
      </c>
    </row>
    <row r="21" spans="1:8" s="18" customFormat="1" ht="19.899999999999999" customHeight="1" x14ac:dyDescent="0.2">
      <c r="A21" s="105"/>
      <c r="B21" s="38"/>
      <c r="C21" s="41"/>
      <c r="D21" s="114" t="s">
        <v>381</v>
      </c>
      <c r="E21" s="43">
        <v>448915</v>
      </c>
      <c r="F21" s="108">
        <f>SUM(F22:F22)</f>
        <v>50000</v>
      </c>
      <c r="G21" s="108">
        <f>SUM(G22:G22)</f>
        <v>0</v>
      </c>
      <c r="H21" s="43">
        <f t="shared" si="4"/>
        <v>498915</v>
      </c>
    </row>
    <row r="22" spans="1:8" s="18" customFormat="1" ht="56.25" customHeight="1" x14ac:dyDescent="0.2">
      <c r="A22" s="105"/>
      <c r="B22" s="38"/>
      <c r="C22" s="56" t="s">
        <v>382</v>
      </c>
      <c r="D22" s="109" t="s">
        <v>383</v>
      </c>
      <c r="E22" s="47">
        <v>448915</v>
      </c>
      <c r="F22" s="47">
        <v>50000</v>
      </c>
      <c r="G22" s="116"/>
      <c r="H22" s="47">
        <f t="shared" si="4"/>
        <v>498915</v>
      </c>
    </row>
    <row r="23" spans="1:8" s="18" customFormat="1" ht="12" customHeight="1" thickBot="1" x14ac:dyDescent="0.25">
      <c r="A23" s="34">
        <v>852</v>
      </c>
      <c r="B23" s="34"/>
      <c r="C23" s="35"/>
      <c r="D23" s="36" t="s">
        <v>53</v>
      </c>
      <c r="E23" s="32">
        <v>25449545.789999999</v>
      </c>
      <c r="F23" s="37">
        <f>SUM(F24,F28)</f>
        <v>20844</v>
      </c>
      <c r="G23" s="37">
        <f>SUM(G24,G28)</f>
        <v>66553</v>
      </c>
      <c r="H23" s="32">
        <f t="shared" si="2"/>
        <v>25403836.789999999</v>
      </c>
    </row>
    <row r="24" spans="1:8" s="18" customFormat="1" ht="12" customHeight="1" thickTop="1" x14ac:dyDescent="0.2">
      <c r="A24" s="34"/>
      <c r="B24" s="50">
        <v>85202</v>
      </c>
      <c r="C24" s="28"/>
      <c r="D24" s="48" t="s">
        <v>154</v>
      </c>
      <c r="E24" s="39">
        <v>2103074</v>
      </c>
      <c r="F24" s="40">
        <f>SUM(F25)</f>
        <v>20514</v>
      </c>
      <c r="G24" s="40">
        <f>SUM(G25)</f>
        <v>66553</v>
      </c>
      <c r="H24" s="39">
        <f t="shared" ref="H24:H26" si="5">SUM(E24+F24-G24)</f>
        <v>2057035</v>
      </c>
    </row>
    <row r="25" spans="1:8" s="18" customFormat="1" ht="12" customHeight="1" x14ac:dyDescent="0.2">
      <c r="A25" s="34"/>
      <c r="B25" s="38"/>
      <c r="C25" s="28"/>
      <c r="D25" s="124" t="s">
        <v>35</v>
      </c>
      <c r="E25" s="43">
        <v>422887</v>
      </c>
      <c r="F25" s="108">
        <f>SUM(F26:F26)</f>
        <v>20514</v>
      </c>
      <c r="G25" s="108">
        <f>SUM(G26:G26)</f>
        <v>66553</v>
      </c>
      <c r="H25" s="43">
        <f t="shared" si="5"/>
        <v>376848</v>
      </c>
    </row>
    <row r="26" spans="1:8" s="18" customFormat="1" ht="20.45" customHeight="1" x14ac:dyDescent="0.2">
      <c r="A26" s="34"/>
      <c r="B26" s="38"/>
      <c r="C26" s="56" t="s">
        <v>384</v>
      </c>
      <c r="D26" s="115" t="s">
        <v>385</v>
      </c>
      <c r="E26" s="47">
        <v>302887</v>
      </c>
      <c r="F26" s="47">
        <f>18820+1694</f>
        <v>20514</v>
      </c>
      <c r="G26" s="116">
        <f>66553</f>
        <v>66553</v>
      </c>
      <c r="H26" s="47">
        <f t="shared" si="5"/>
        <v>256848</v>
      </c>
    </row>
    <row r="27" spans="1:8" s="18" customFormat="1" ht="12" customHeight="1" x14ac:dyDescent="0.2">
      <c r="A27" s="34"/>
      <c r="B27" s="38">
        <v>85214</v>
      </c>
      <c r="C27" s="28"/>
      <c r="D27" s="121" t="s">
        <v>54</v>
      </c>
      <c r="E27" s="111"/>
      <c r="F27" s="122"/>
      <c r="G27" s="122"/>
      <c r="H27" s="111"/>
    </row>
    <row r="28" spans="1:8" s="18" customFormat="1" ht="12" customHeight="1" x14ac:dyDescent="0.2">
      <c r="A28" s="34"/>
      <c r="B28" s="38"/>
      <c r="C28" s="28"/>
      <c r="D28" s="123" t="s">
        <v>55</v>
      </c>
      <c r="E28" s="39">
        <v>7935864</v>
      </c>
      <c r="F28" s="40">
        <f t="shared" ref="F28:G28" si="6">SUM(F29)</f>
        <v>330</v>
      </c>
      <c r="G28" s="40">
        <f t="shared" si="6"/>
        <v>0</v>
      </c>
      <c r="H28" s="39">
        <f>SUM(E28+F28-G28)</f>
        <v>7936194</v>
      </c>
    </row>
    <row r="29" spans="1:8" s="18" customFormat="1" ht="12" customHeight="1" x14ac:dyDescent="0.2">
      <c r="A29" s="34"/>
      <c r="B29" s="34"/>
      <c r="C29" s="41"/>
      <c r="D29" s="114" t="s">
        <v>56</v>
      </c>
      <c r="E29" s="43">
        <v>1430</v>
      </c>
      <c r="F29" s="108">
        <f>SUM(F30:F30)</f>
        <v>330</v>
      </c>
      <c r="G29" s="108">
        <f>SUM(G30:G30)</f>
        <v>0</v>
      </c>
      <c r="H29" s="43">
        <f t="shared" ref="H29:H104" si="7">SUM(E29+F29-G29)</f>
        <v>1760</v>
      </c>
    </row>
    <row r="30" spans="1:8" s="18" customFormat="1" ht="33" customHeight="1" x14ac:dyDescent="0.2">
      <c r="A30" s="34"/>
      <c r="B30" s="34"/>
      <c r="C30" s="56" t="s">
        <v>51</v>
      </c>
      <c r="D30" s="109" t="s">
        <v>52</v>
      </c>
      <c r="E30" s="47">
        <v>1430</v>
      </c>
      <c r="F30" s="47">
        <v>330</v>
      </c>
      <c r="G30" s="116"/>
      <c r="H30" s="47">
        <f t="shared" si="7"/>
        <v>1760</v>
      </c>
    </row>
    <row r="31" spans="1:8" s="18" customFormat="1" ht="12" customHeight="1" thickBot="1" x14ac:dyDescent="0.25">
      <c r="A31" s="33">
        <v>854</v>
      </c>
      <c r="B31" s="34"/>
      <c r="C31" s="35"/>
      <c r="D31" s="36" t="s">
        <v>162</v>
      </c>
      <c r="E31" s="37">
        <v>1137666.57</v>
      </c>
      <c r="F31" s="37">
        <f>SUM(F32)</f>
        <v>24075</v>
      </c>
      <c r="G31" s="37">
        <f>SUM(G32)</f>
        <v>0</v>
      </c>
      <c r="H31" s="37">
        <f>SUM(E31+F31-G31)</f>
        <v>1161741.57</v>
      </c>
    </row>
    <row r="32" spans="1:8" s="18" customFormat="1" ht="12" customHeight="1" thickTop="1" x14ac:dyDescent="0.2">
      <c r="A32" s="33"/>
      <c r="B32" s="38">
        <v>85415</v>
      </c>
      <c r="C32" s="28"/>
      <c r="D32" s="48" t="s">
        <v>386</v>
      </c>
      <c r="E32" s="39">
        <v>776800</v>
      </c>
      <c r="F32" s="40">
        <f t="shared" ref="F32:G32" si="8">SUM(F33)</f>
        <v>24075</v>
      </c>
      <c r="G32" s="40">
        <f t="shared" si="8"/>
        <v>0</v>
      </c>
      <c r="H32" s="39">
        <f>SUM(E32+F32-G32)</f>
        <v>800875</v>
      </c>
    </row>
    <row r="33" spans="1:8" s="18" customFormat="1" ht="12" customHeight="1" x14ac:dyDescent="0.2">
      <c r="A33" s="33"/>
      <c r="B33" s="38"/>
      <c r="C33" s="28"/>
      <c r="D33" s="124" t="s">
        <v>35</v>
      </c>
      <c r="E33" s="43">
        <v>776800</v>
      </c>
      <c r="F33" s="108">
        <f>SUM(F34)</f>
        <v>24075</v>
      </c>
      <c r="G33" s="108">
        <f>SUM(G34)</f>
        <v>0</v>
      </c>
      <c r="H33" s="43">
        <f>SUM(E33+F33-G33)</f>
        <v>800875</v>
      </c>
    </row>
    <row r="34" spans="1:8" s="18" customFormat="1" ht="46.5" customHeight="1" x14ac:dyDescent="0.2">
      <c r="A34" s="27"/>
      <c r="B34" s="34"/>
      <c r="C34" s="56" t="s">
        <v>387</v>
      </c>
      <c r="D34" s="109" t="s">
        <v>388</v>
      </c>
      <c r="E34" s="47">
        <v>71400</v>
      </c>
      <c r="F34" s="47">
        <v>24075</v>
      </c>
      <c r="G34" s="116"/>
      <c r="H34" s="47">
        <f t="shared" ref="H34" si="9">SUM(E34+F34-G34)</f>
        <v>95475</v>
      </c>
    </row>
    <row r="35" spans="1:8" s="18" customFormat="1" ht="18.75" customHeight="1" thickBot="1" x14ac:dyDescent="0.25">
      <c r="A35" s="105"/>
      <c r="B35" s="105"/>
      <c r="C35" s="28"/>
      <c r="D35" s="31" t="s">
        <v>57</v>
      </c>
      <c r="E35" s="32">
        <v>97650010.790000007</v>
      </c>
      <c r="F35" s="37">
        <f>SUM(F36,F40,F46,F52,F58,F68)</f>
        <v>3161369.91</v>
      </c>
      <c r="G35" s="37">
        <f>SUM(G36,G40,G46,G52,G58,G68)</f>
        <v>0</v>
      </c>
      <c r="H35" s="32">
        <f t="shared" si="7"/>
        <v>100811380.7</v>
      </c>
    </row>
    <row r="36" spans="1:8" s="18" customFormat="1" ht="18.75" customHeight="1" thickTop="1" thickBot="1" x14ac:dyDescent="0.25">
      <c r="A36" s="390" t="s">
        <v>389</v>
      </c>
      <c r="B36" s="118"/>
      <c r="C36" s="118"/>
      <c r="D36" s="391" t="s">
        <v>390</v>
      </c>
      <c r="E36" s="37">
        <v>4334.55</v>
      </c>
      <c r="F36" s="37">
        <f t="shared" ref="F36:G37" si="10">SUM(F37)</f>
        <v>4727.32</v>
      </c>
      <c r="G36" s="37">
        <f t="shared" si="10"/>
        <v>0</v>
      </c>
      <c r="H36" s="37">
        <f t="shared" ref="H36:H39" si="11">SUM(E36+F36-G36)</f>
        <v>9061.869999999999</v>
      </c>
    </row>
    <row r="37" spans="1:8" s="18" customFormat="1" ht="12" customHeight="1" thickTop="1" x14ac:dyDescent="0.2">
      <c r="A37" s="392"/>
      <c r="B37" s="173" t="s">
        <v>391</v>
      </c>
      <c r="C37" s="393"/>
      <c r="D37" s="394" t="s">
        <v>392</v>
      </c>
      <c r="E37" s="39">
        <v>4334.55</v>
      </c>
      <c r="F37" s="40">
        <f t="shared" si="10"/>
        <v>4727.32</v>
      </c>
      <c r="G37" s="40">
        <f t="shared" si="10"/>
        <v>0</v>
      </c>
      <c r="H37" s="39">
        <f t="shared" si="11"/>
        <v>9061.869999999999</v>
      </c>
    </row>
    <row r="38" spans="1:8" s="18" customFormat="1" ht="12" customHeight="1" x14ac:dyDescent="0.2">
      <c r="A38" s="34"/>
      <c r="B38" s="38"/>
      <c r="C38" s="28"/>
      <c r="D38" s="124" t="s">
        <v>35</v>
      </c>
      <c r="E38" s="43">
        <v>4334.55</v>
      </c>
      <c r="F38" s="108">
        <f>SUM(F39)</f>
        <v>4727.32</v>
      </c>
      <c r="G38" s="108">
        <f>SUM(G39)</f>
        <v>0</v>
      </c>
      <c r="H38" s="43">
        <f t="shared" si="11"/>
        <v>9061.869999999999</v>
      </c>
    </row>
    <row r="39" spans="1:8" s="18" customFormat="1" ht="46.5" customHeight="1" x14ac:dyDescent="0.2">
      <c r="A39" s="126"/>
      <c r="B39" s="126"/>
      <c r="C39" s="395" t="s">
        <v>59</v>
      </c>
      <c r="D39" s="396" t="s">
        <v>60</v>
      </c>
      <c r="E39" s="128">
        <v>4334.55</v>
      </c>
      <c r="F39" s="39">
        <v>4727.32</v>
      </c>
      <c r="G39" s="39"/>
      <c r="H39" s="128">
        <f t="shared" si="11"/>
        <v>9061.869999999999</v>
      </c>
    </row>
    <row r="40" spans="1:8" s="18" customFormat="1" ht="12" customHeight="1" thickBot="1" x14ac:dyDescent="0.25">
      <c r="A40" s="33">
        <v>750</v>
      </c>
      <c r="B40" s="34"/>
      <c r="C40" s="35"/>
      <c r="D40" s="36" t="s">
        <v>41</v>
      </c>
      <c r="E40" s="37">
        <v>1678041.25</v>
      </c>
      <c r="F40" s="37">
        <f t="shared" ref="F40:G40" si="12">SUM(F41)</f>
        <v>115674.91</v>
      </c>
      <c r="G40" s="37">
        <f t="shared" si="12"/>
        <v>0</v>
      </c>
      <c r="H40" s="37">
        <f t="shared" ref="H40:H45" si="13">SUM(E40+F40-G40)</f>
        <v>1793716.16</v>
      </c>
    </row>
    <row r="41" spans="1:8" s="18" customFormat="1" ht="12" customHeight="1" thickTop="1" x14ac:dyDescent="0.2">
      <c r="A41" s="33"/>
      <c r="B41" s="118">
        <v>75011</v>
      </c>
      <c r="C41" s="118"/>
      <c r="D41" s="397" t="s">
        <v>393</v>
      </c>
      <c r="E41" s="39">
        <v>1678041.25</v>
      </c>
      <c r="F41" s="40">
        <f>SUM(F42,F44)</f>
        <v>115674.91</v>
      </c>
      <c r="G41" s="40">
        <f>SUM(G42,G44)</f>
        <v>0</v>
      </c>
      <c r="H41" s="39">
        <f t="shared" si="13"/>
        <v>1793716.16</v>
      </c>
    </row>
    <row r="42" spans="1:8" s="18" customFormat="1" ht="12" customHeight="1" x14ac:dyDescent="0.2">
      <c r="A42" s="33"/>
      <c r="B42" s="38"/>
      <c r="C42" s="28"/>
      <c r="D42" s="124" t="s">
        <v>35</v>
      </c>
      <c r="E42" s="43">
        <v>1662400</v>
      </c>
      <c r="F42" s="108">
        <f>SUM(F43)</f>
        <v>114485</v>
      </c>
      <c r="G42" s="108">
        <f>SUM(G43)</f>
        <v>0</v>
      </c>
      <c r="H42" s="43">
        <f t="shared" si="13"/>
        <v>1776885</v>
      </c>
    </row>
    <row r="43" spans="1:8" s="18" customFormat="1" ht="45.75" customHeight="1" x14ac:dyDescent="0.2">
      <c r="A43" s="33"/>
      <c r="B43" s="34"/>
      <c r="C43" s="56" t="s">
        <v>59</v>
      </c>
      <c r="D43" s="93" t="s">
        <v>60</v>
      </c>
      <c r="E43" s="45">
        <v>1662400</v>
      </c>
      <c r="F43" s="47">
        <f>108597+5888</f>
        <v>114485</v>
      </c>
      <c r="G43" s="47"/>
      <c r="H43" s="45">
        <f t="shared" si="13"/>
        <v>1776885</v>
      </c>
    </row>
    <row r="44" spans="1:8" s="18" customFormat="1" ht="12" customHeight="1" x14ac:dyDescent="0.2">
      <c r="A44" s="33"/>
      <c r="B44" s="34"/>
      <c r="C44" s="28"/>
      <c r="D44" s="114" t="s">
        <v>394</v>
      </c>
      <c r="E44" s="43">
        <v>15641.25</v>
      </c>
      <c r="F44" s="108">
        <f>SUM(F45:F45)</f>
        <v>1189.9100000000001</v>
      </c>
      <c r="G44" s="108">
        <f>SUM(G45:G45)</f>
        <v>0</v>
      </c>
      <c r="H44" s="43">
        <f t="shared" si="13"/>
        <v>16831.16</v>
      </c>
    </row>
    <row r="45" spans="1:8" s="18" customFormat="1" ht="33.75" customHeight="1" x14ac:dyDescent="0.2">
      <c r="A45" s="33"/>
      <c r="B45" s="34"/>
      <c r="C45" s="56" t="s">
        <v>51</v>
      </c>
      <c r="D45" s="109" t="s">
        <v>52</v>
      </c>
      <c r="E45" s="47">
        <v>15641.25</v>
      </c>
      <c r="F45" s="47">
        <f>1111.52+78.39</f>
        <v>1189.9100000000001</v>
      </c>
      <c r="G45" s="116"/>
      <c r="H45" s="47">
        <f t="shared" si="13"/>
        <v>16831.16</v>
      </c>
    </row>
    <row r="46" spans="1:8" s="18" customFormat="1" ht="12" customHeight="1" thickBot="1" x14ac:dyDescent="0.25">
      <c r="A46" s="34">
        <v>754</v>
      </c>
      <c r="B46" s="34"/>
      <c r="C46" s="35"/>
      <c r="D46" s="36" t="s">
        <v>395</v>
      </c>
      <c r="E46" s="37">
        <v>2864868</v>
      </c>
      <c r="F46" s="37">
        <f>SUM(F47)</f>
        <v>570544</v>
      </c>
      <c r="G46" s="37">
        <f>SUM(G47)</f>
        <v>0</v>
      </c>
      <c r="H46" s="37">
        <f>SUM(E46+F46-G46)</f>
        <v>3435412</v>
      </c>
    </row>
    <row r="47" spans="1:8" s="18" customFormat="1" ht="12" customHeight="1" thickTop="1" x14ac:dyDescent="0.2">
      <c r="A47" s="38"/>
      <c r="B47" s="38">
        <v>75495</v>
      </c>
      <c r="C47" s="28"/>
      <c r="D47" s="48" t="s">
        <v>12</v>
      </c>
      <c r="E47" s="39">
        <v>2864868</v>
      </c>
      <c r="F47" s="40">
        <f>SUM(F48,F50)</f>
        <v>570544</v>
      </c>
      <c r="G47" s="40">
        <f>SUM(G48,G50)</f>
        <v>0</v>
      </c>
      <c r="H47" s="39">
        <f>SUM(E47+F47-G47)</f>
        <v>3435412</v>
      </c>
    </row>
    <row r="48" spans="1:8" s="18" customFormat="1" ht="21.75" customHeight="1" x14ac:dyDescent="0.2">
      <c r="A48" s="105"/>
      <c r="B48" s="105"/>
      <c r="C48" s="41"/>
      <c r="D48" s="114" t="s">
        <v>396</v>
      </c>
      <c r="E48" s="43">
        <v>1871928</v>
      </c>
      <c r="F48" s="108">
        <f>SUM(F49:F49)</f>
        <v>127024</v>
      </c>
      <c r="G48" s="108">
        <f>SUM(G49:G49)</f>
        <v>0</v>
      </c>
      <c r="H48" s="43">
        <f t="shared" ref="H48:H51" si="14">SUM(E48+F48-G48)</f>
        <v>1998952</v>
      </c>
    </row>
    <row r="49" spans="1:8" s="18" customFormat="1" ht="35.25" customHeight="1" x14ac:dyDescent="0.2">
      <c r="A49" s="105"/>
      <c r="B49" s="105"/>
      <c r="C49" s="56" t="s">
        <v>51</v>
      </c>
      <c r="D49" s="109" t="s">
        <v>52</v>
      </c>
      <c r="E49" s="47">
        <v>1871928</v>
      </c>
      <c r="F49" s="47">
        <f>100000+26320+704</f>
        <v>127024</v>
      </c>
      <c r="G49" s="116"/>
      <c r="H49" s="47">
        <f t="shared" si="14"/>
        <v>1998952</v>
      </c>
    </row>
    <row r="50" spans="1:8" s="18" customFormat="1" ht="22.5" customHeight="1" x14ac:dyDescent="0.2">
      <c r="A50" s="33"/>
      <c r="B50" s="34"/>
      <c r="C50" s="41"/>
      <c r="D50" s="114" t="s">
        <v>397</v>
      </c>
      <c r="E50" s="43">
        <v>992940</v>
      </c>
      <c r="F50" s="108">
        <f>SUM(F51:F51)</f>
        <v>443520</v>
      </c>
      <c r="G50" s="108">
        <f>SUM(G51:G51)</f>
        <v>0</v>
      </c>
      <c r="H50" s="43">
        <f t="shared" si="14"/>
        <v>1436460</v>
      </c>
    </row>
    <row r="51" spans="1:8" s="18" customFormat="1" ht="36" customHeight="1" x14ac:dyDescent="0.2">
      <c r="A51" s="33"/>
      <c r="B51" s="34"/>
      <c r="C51" s="56" t="s">
        <v>51</v>
      </c>
      <c r="D51" s="109" t="s">
        <v>52</v>
      </c>
      <c r="E51" s="47">
        <v>992940</v>
      </c>
      <c r="F51" s="47">
        <f>228420+215100</f>
        <v>443520</v>
      </c>
      <c r="G51" s="116"/>
      <c r="H51" s="47">
        <f t="shared" si="14"/>
        <v>1436460</v>
      </c>
    </row>
    <row r="52" spans="1:8" s="18" customFormat="1" ht="12" customHeight="1" thickBot="1" x14ac:dyDescent="0.25">
      <c r="A52" s="33">
        <v>801</v>
      </c>
      <c r="B52" s="34"/>
      <c r="C52" s="35"/>
      <c r="D52" s="36" t="s">
        <v>100</v>
      </c>
      <c r="E52" s="32">
        <v>533493.37</v>
      </c>
      <c r="F52" s="32">
        <f>SUM(F55)</f>
        <v>27241.23</v>
      </c>
      <c r="G52" s="32">
        <f>SUM(G55)</f>
        <v>0</v>
      </c>
      <c r="H52" s="32">
        <f>SUM(E52+F52-G52)</f>
        <v>560734.6</v>
      </c>
    </row>
    <row r="53" spans="1:8" s="18" customFormat="1" ht="12" customHeight="1" thickTop="1" x14ac:dyDescent="0.2">
      <c r="A53" s="33"/>
      <c r="B53" s="38">
        <v>80153</v>
      </c>
      <c r="C53" s="35"/>
      <c r="D53" s="148" t="s">
        <v>398</v>
      </c>
      <c r="E53" s="111"/>
      <c r="F53" s="111"/>
      <c r="G53" s="111"/>
      <c r="H53" s="111"/>
    </row>
    <row r="54" spans="1:8" s="18" customFormat="1" ht="12" customHeight="1" x14ac:dyDescent="0.2">
      <c r="A54" s="33"/>
      <c r="B54" s="34"/>
      <c r="C54" s="35"/>
      <c r="D54" s="148" t="s">
        <v>399</v>
      </c>
      <c r="E54" s="111"/>
      <c r="F54" s="111"/>
      <c r="G54" s="111"/>
      <c r="H54" s="111"/>
    </row>
    <row r="55" spans="1:8" s="18" customFormat="1" ht="12" customHeight="1" x14ac:dyDescent="0.2">
      <c r="A55" s="34"/>
      <c r="B55" s="38"/>
      <c r="C55" s="28"/>
      <c r="D55" s="48" t="s">
        <v>400</v>
      </c>
      <c r="E55" s="39">
        <v>533493.37</v>
      </c>
      <c r="F55" s="39">
        <f t="shared" ref="F55:G55" si="15">SUM(F56)</f>
        <v>27241.23</v>
      </c>
      <c r="G55" s="39">
        <f t="shared" si="15"/>
        <v>0</v>
      </c>
      <c r="H55" s="39">
        <f>SUM(E55+F55-G55)</f>
        <v>560734.6</v>
      </c>
    </row>
    <row r="56" spans="1:8" s="18" customFormat="1" ht="12" customHeight="1" x14ac:dyDescent="0.2">
      <c r="A56" s="137"/>
      <c r="B56" s="38"/>
      <c r="C56" s="28"/>
      <c r="D56" s="124" t="s">
        <v>35</v>
      </c>
      <c r="E56" s="43">
        <v>533493.37</v>
      </c>
      <c r="F56" s="108">
        <f>SUM(F57)</f>
        <v>27241.23</v>
      </c>
      <c r="G56" s="108">
        <f>SUM(G57)</f>
        <v>0</v>
      </c>
      <c r="H56" s="43">
        <f>SUM(E56+F56-G56)</f>
        <v>560734.6</v>
      </c>
    </row>
    <row r="57" spans="1:8" s="18" customFormat="1" ht="47.25" customHeight="1" x14ac:dyDescent="0.2">
      <c r="A57" s="34"/>
      <c r="B57" s="34"/>
      <c r="C57" s="56" t="s">
        <v>59</v>
      </c>
      <c r="D57" s="93" t="s">
        <v>60</v>
      </c>
      <c r="E57" s="45">
        <v>533493.37</v>
      </c>
      <c r="F57" s="47">
        <v>27241.23</v>
      </c>
      <c r="G57" s="47"/>
      <c r="H57" s="45">
        <f t="shared" ref="H57" si="16">SUM(E57+F57-G57)</f>
        <v>560734.6</v>
      </c>
    </row>
    <row r="58" spans="1:8" s="18" customFormat="1" ht="12" customHeight="1" thickBot="1" x14ac:dyDescent="0.25">
      <c r="A58" s="34">
        <v>852</v>
      </c>
      <c r="B58" s="34"/>
      <c r="C58" s="35"/>
      <c r="D58" s="36" t="s">
        <v>53</v>
      </c>
      <c r="E58" s="32">
        <v>9118135.620000001</v>
      </c>
      <c r="F58" s="37">
        <f>SUM(F59,F62,F65)</f>
        <v>2441902.4500000002</v>
      </c>
      <c r="G58" s="37">
        <f>SUM(G59,G62,G65)</f>
        <v>0</v>
      </c>
      <c r="H58" s="37">
        <f>SUM(E58+F58-G58)</f>
        <v>11560038.07</v>
      </c>
    </row>
    <row r="59" spans="1:8" s="18" customFormat="1" ht="14.25" customHeight="1" thickTop="1" x14ac:dyDescent="0.2">
      <c r="A59" s="34"/>
      <c r="B59" s="38">
        <v>85203</v>
      </c>
      <c r="C59" s="28"/>
      <c r="D59" s="125" t="s">
        <v>157</v>
      </c>
      <c r="E59" s="39">
        <v>1079566</v>
      </c>
      <c r="F59" s="40">
        <f t="shared" ref="F59:G60" si="17">SUM(F60)</f>
        <v>61306</v>
      </c>
      <c r="G59" s="40">
        <f t="shared" si="17"/>
        <v>0</v>
      </c>
      <c r="H59" s="39">
        <f t="shared" ref="H59:H67" si="18">SUM(E59+F59-G59)</f>
        <v>1140872</v>
      </c>
    </row>
    <row r="60" spans="1:8" s="18" customFormat="1" ht="14.25" customHeight="1" x14ac:dyDescent="0.2">
      <c r="A60" s="34"/>
      <c r="B60" s="38"/>
      <c r="C60" s="28"/>
      <c r="D60" s="124" t="s">
        <v>35</v>
      </c>
      <c r="E60" s="43">
        <v>1079566</v>
      </c>
      <c r="F60" s="108">
        <f t="shared" si="17"/>
        <v>61306</v>
      </c>
      <c r="G60" s="108">
        <f t="shared" si="17"/>
        <v>0</v>
      </c>
      <c r="H60" s="43">
        <f t="shared" si="18"/>
        <v>1140872</v>
      </c>
    </row>
    <row r="61" spans="1:8" s="18" customFormat="1" ht="46.5" customHeight="1" x14ac:dyDescent="0.2">
      <c r="A61" s="34"/>
      <c r="B61" s="34"/>
      <c r="C61" s="56" t="s">
        <v>59</v>
      </c>
      <c r="D61" s="93" t="s">
        <v>60</v>
      </c>
      <c r="E61" s="45">
        <v>1079566</v>
      </c>
      <c r="F61" s="47">
        <f>14884+12222+34200</f>
        <v>61306</v>
      </c>
      <c r="G61" s="47"/>
      <c r="H61" s="45">
        <f t="shared" si="18"/>
        <v>1140872</v>
      </c>
    </row>
    <row r="62" spans="1:8" s="18" customFormat="1" ht="12" customHeight="1" x14ac:dyDescent="0.2">
      <c r="A62" s="34"/>
      <c r="B62" s="38">
        <v>85219</v>
      </c>
      <c r="C62" s="28"/>
      <c r="D62" s="48" t="s">
        <v>58</v>
      </c>
      <c r="E62" s="39">
        <v>25400</v>
      </c>
      <c r="F62" s="40">
        <f t="shared" ref="F62:G63" si="19">SUM(F63)</f>
        <v>5178</v>
      </c>
      <c r="G62" s="40">
        <f t="shared" si="19"/>
        <v>0</v>
      </c>
      <c r="H62" s="39">
        <f t="shared" si="18"/>
        <v>30578</v>
      </c>
    </row>
    <row r="63" spans="1:8" s="18" customFormat="1" ht="12" customHeight="1" x14ac:dyDescent="0.2">
      <c r="A63" s="34"/>
      <c r="B63" s="38"/>
      <c r="C63" s="28"/>
      <c r="D63" s="124" t="s">
        <v>35</v>
      </c>
      <c r="E63" s="43">
        <v>25400</v>
      </c>
      <c r="F63" s="108">
        <f t="shared" si="19"/>
        <v>5178</v>
      </c>
      <c r="G63" s="108">
        <f t="shared" si="19"/>
        <v>0</v>
      </c>
      <c r="H63" s="43">
        <f t="shared" si="18"/>
        <v>30578</v>
      </c>
    </row>
    <row r="64" spans="1:8" s="18" customFormat="1" ht="45.75" customHeight="1" x14ac:dyDescent="0.2">
      <c r="A64" s="34"/>
      <c r="B64" s="34"/>
      <c r="C64" s="56" t="s">
        <v>59</v>
      </c>
      <c r="D64" s="93" t="s">
        <v>60</v>
      </c>
      <c r="E64" s="45">
        <v>25400</v>
      </c>
      <c r="F64" s="47">
        <v>5178</v>
      </c>
      <c r="G64" s="47"/>
      <c r="H64" s="45">
        <f t="shared" si="18"/>
        <v>30578</v>
      </c>
    </row>
    <row r="65" spans="1:8" s="18" customFormat="1" ht="12" customHeight="1" x14ac:dyDescent="0.2">
      <c r="A65" s="34"/>
      <c r="B65" s="38">
        <v>85295</v>
      </c>
      <c r="C65" s="28"/>
      <c r="D65" s="48" t="s">
        <v>12</v>
      </c>
      <c r="E65" s="39">
        <v>4818513.4400000004</v>
      </c>
      <c r="F65" s="40">
        <f t="shared" ref="F65:G66" si="20">SUM(F66)</f>
        <v>2375418.4500000002</v>
      </c>
      <c r="G65" s="40">
        <f t="shared" si="20"/>
        <v>0</v>
      </c>
      <c r="H65" s="39">
        <f t="shared" si="18"/>
        <v>7193931.8900000006</v>
      </c>
    </row>
    <row r="66" spans="1:8" s="18" customFormat="1" ht="12" customHeight="1" x14ac:dyDescent="0.2">
      <c r="A66" s="34"/>
      <c r="B66" s="38"/>
      <c r="C66" s="28"/>
      <c r="D66" s="124" t="s">
        <v>35</v>
      </c>
      <c r="E66" s="43">
        <v>4818513.4400000004</v>
      </c>
      <c r="F66" s="108">
        <f t="shared" si="20"/>
        <v>2375418.4500000002</v>
      </c>
      <c r="G66" s="108">
        <f t="shared" si="20"/>
        <v>0</v>
      </c>
      <c r="H66" s="43">
        <f t="shared" si="18"/>
        <v>7193931.8900000006</v>
      </c>
    </row>
    <row r="67" spans="1:8" s="18" customFormat="1" ht="46.5" customHeight="1" x14ac:dyDescent="0.2">
      <c r="A67" s="34"/>
      <c r="B67" s="34"/>
      <c r="C67" s="56" t="s">
        <v>59</v>
      </c>
      <c r="D67" s="93" t="s">
        <v>60</v>
      </c>
      <c r="E67" s="45">
        <v>4818513.4400000004</v>
      </c>
      <c r="F67" s="47">
        <v>2375418.4500000002</v>
      </c>
      <c r="G67" s="47"/>
      <c r="H67" s="45">
        <f t="shared" si="18"/>
        <v>7193931.8900000006</v>
      </c>
    </row>
    <row r="68" spans="1:8" s="18" customFormat="1" ht="12.75" customHeight="1" thickBot="1" x14ac:dyDescent="0.25">
      <c r="A68" s="34">
        <v>855</v>
      </c>
      <c r="B68" s="34"/>
      <c r="C68" s="35"/>
      <c r="D68" s="36" t="s">
        <v>61</v>
      </c>
      <c r="E68" s="37">
        <v>75226536</v>
      </c>
      <c r="F68" s="37">
        <f>SUM(F69)</f>
        <v>1280</v>
      </c>
      <c r="G68" s="37">
        <f>SUM(G69)</f>
        <v>0</v>
      </c>
      <c r="H68" s="37">
        <f>SUM(E68+F68-G68)</f>
        <v>75227816</v>
      </c>
    </row>
    <row r="69" spans="1:8" s="18" customFormat="1" ht="12" customHeight="1" thickTop="1" x14ac:dyDescent="0.2">
      <c r="A69" s="34"/>
      <c r="B69" s="50">
        <v>85503</v>
      </c>
      <c r="C69" s="38"/>
      <c r="D69" s="48" t="s">
        <v>401</v>
      </c>
      <c r="E69" s="39">
        <v>2900</v>
      </c>
      <c r="F69" s="40">
        <f t="shared" ref="F69:G69" si="21">SUM(F70)</f>
        <v>1280</v>
      </c>
      <c r="G69" s="40">
        <f t="shared" si="21"/>
        <v>0</v>
      </c>
      <c r="H69" s="39">
        <f t="shared" ref="H69:H72" si="22">SUM(E69+F69-G69)</f>
        <v>4180</v>
      </c>
    </row>
    <row r="70" spans="1:8" s="18" customFormat="1" ht="12" customHeight="1" x14ac:dyDescent="0.2">
      <c r="A70" s="34"/>
      <c r="B70" s="38"/>
      <c r="C70" s="28"/>
      <c r="D70" s="124" t="s">
        <v>35</v>
      </c>
      <c r="E70" s="43">
        <v>2900</v>
      </c>
      <c r="F70" s="108">
        <f>SUM(F71)</f>
        <v>1280</v>
      </c>
      <c r="G70" s="108">
        <f>SUM(G71)</f>
        <v>0</v>
      </c>
      <c r="H70" s="43">
        <f t="shared" si="22"/>
        <v>4180</v>
      </c>
    </row>
    <row r="71" spans="1:8" s="18" customFormat="1" ht="47.25" customHeight="1" x14ac:dyDescent="0.2">
      <c r="A71" s="126"/>
      <c r="B71" s="126"/>
      <c r="C71" s="395" t="s">
        <v>59</v>
      </c>
      <c r="D71" s="396" t="s">
        <v>60</v>
      </c>
      <c r="E71" s="128">
        <v>2900</v>
      </c>
      <c r="F71" s="39">
        <f>950+330</f>
        <v>1280</v>
      </c>
      <c r="G71" s="39"/>
      <c r="H71" s="128">
        <f t="shared" si="22"/>
        <v>4180</v>
      </c>
    </row>
    <row r="72" spans="1:8" s="18" customFormat="1" ht="18" customHeight="1" thickBot="1" x14ac:dyDescent="0.25">
      <c r="A72" s="105"/>
      <c r="B72" s="105"/>
      <c r="C72" s="28"/>
      <c r="D72" s="31" t="s">
        <v>62</v>
      </c>
      <c r="E72" s="32">
        <v>20359321.52</v>
      </c>
      <c r="F72" s="32">
        <f>SUM(F73,F77,F84,F89,F93,F99)</f>
        <v>173820.78</v>
      </c>
      <c r="G72" s="32">
        <f>SUM(G73,G77,G84,G89,G93,G99)</f>
        <v>2000</v>
      </c>
      <c r="H72" s="32">
        <f t="shared" si="22"/>
        <v>20531142.300000001</v>
      </c>
    </row>
    <row r="73" spans="1:8" s="18" customFormat="1" ht="19.5" customHeight="1" thickTop="1" thickBot="1" x14ac:dyDescent="0.25">
      <c r="A73" s="34">
        <v>700</v>
      </c>
      <c r="B73" s="34"/>
      <c r="C73" s="35"/>
      <c r="D73" s="36" t="s">
        <v>63</v>
      </c>
      <c r="E73" s="32">
        <v>422355.8</v>
      </c>
      <c r="F73" s="32">
        <f t="shared" ref="F73:G75" si="23">SUM(F74)</f>
        <v>11300</v>
      </c>
      <c r="G73" s="32">
        <f t="shared" si="23"/>
        <v>0</v>
      </c>
      <c r="H73" s="32">
        <f>SUM(E73+F73-G73)</f>
        <v>433655.8</v>
      </c>
    </row>
    <row r="74" spans="1:8" s="18" customFormat="1" ht="12" customHeight="1" thickTop="1" x14ac:dyDescent="0.2">
      <c r="A74" s="34"/>
      <c r="B74" s="38">
        <v>70005</v>
      </c>
      <c r="C74" s="28"/>
      <c r="D74" s="123" t="s">
        <v>64</v>
      </c>
      <c r="E74" s="39">
        <v>422355.8</v>
      </c>
      <c r="F74" s="39">
        <f t="shared" si="23"/>
        <v>11300</v>
      </c>
      <c r="G74" s="39">
        <f t="shared" si="23"/>
        <v>0</v>
      </c>
      <c r="H74" s="39">
        <f>SUM(E74+F74-G74)</f>
        <v>433655.8</v>
      </c>
    </row>
    <row r="75" spans="1:8" s="18" customFormat="1" ht="12" customHeight="1" x14ac:dyDescent="0.2">
      <c r="A75" s="129"/>
      <c r="B75" s="38"/>
      <c r="C75" s="28"/>
      <c r="D75" s="124" t="s">
        <v>35</v>
      </c>
      <c r="E75" s="43">
        <v>422355.8</v>
      </c>
      <c r="F75" s="108">
        <f t="shared" si="23"/>
        <v>11300</v>
      </c>
      <c r="G75" s="108">
        <f t="shared" si="23"/>
        <v>0</v>
      </c>
      <c r="H75" s="43">
        <f>SUM(E75+F75-G75)</f>
        <v>433655.8</v>
      </c>
    </row>
    <row r="76" spans="1:8" s="18" customFormat="1" ht="34.5" customHeight="1" x14ac:dyDescent="0.2">
      <c r="A76" s="34"/>
      <c r="B76" s="105"/>
      <c r="C76" s="130">
        <v>2110</v>
      </c>
      <c r="D76" s="131" t="s">
        <v>65</v>
      </c>
      <c r="E76" s="132">
        <v>422355.8</v>
      </c>
      <c r="F76" s="110">
        <f>3500+7800</f>
        <v>11300</v>
      </c>
      <c r="G76" s="110"/>
      <c r="H76" s="132">
        <f t="shared" ref="H76:H87" si="24">SUM(E76+F76-G76)</f>
        <v>433655.8</v>
      </c>
    </row>
    <row r="77" spans="1:8" s="18" customFormat="1" ht="12" customHeight="1" thickBot="1" x14ac:dyDescent="0.25">
      <c r="A77" s="35" t="s">
        <v>402</v>
      </c>
      <c r="B77" s="34"/>
      <c r="C77" s="35"/>
      <c r="D77" s="36" t="s">
        <v>403</v>
      </c>
      <c r="E77" s="32">
        <v>1018300</v>
      </c>
      <c r="F77" s="32">
        <f>SUM(F78,F81)</f>
        <v>16377</v>
      </c>
      <c r="G77" s="32">
        <f>SUM(G78)</f>
        <v>2000</v>
      </c>
      <c r="H77" s="32">
        <f t="shared" si="24"/>
        <v>1032677</v>
      </c>
    </row>
    <row r="78" spans="1:8" s="18" customFormat="1" ht="12" customHeight="1" thickTop="1" x14ac:dyDescent="0.2">
      <c r="A78" s="34"/>
      <c r="B78" s="38">
        <v>71012</v>
      </c>
      <c r="C78" s="50"/>
      <c r="D78" s="48" t="s">
        <v>404</v>
      </c>
      <c r="E78" s="39">
        <v>335200</v>
      </c>
      <c r="F78" s="39">
        <f t="shared" ref="F78:G78" si="25">SUM(F79)</f>
        <v>6377</v>
      </c>
      <c r="G78" s="39">
        <f t="shared" si="25"/>
        <v>2000</v>
      </c>
      <c r="H78" s="39">
        <f t="shared" si="24"/>
        <v>339577</v>
      </c>
    </row>
    <row r="79" spans="1:8" s="18" customFormat="1" ht="12" customHeight="1" x14ac:dyDescent="0.2">
      <c r="A79" s="137"/>
      <c r="B79" s="38"/>
      <c r="C79" s="28"/>
      <c r="D79" s="124" t="s">
        <v>35</v>
      </c>
      <c r="E79" s="43">
        <v>335200</v>
      </c>
      <c r="F79" s="108">
        <f>SUM(F80:F80)</f>
        <v>6377</v>
      </c>
      <c r="G79" s="108">
        <f>SUM(G80:G80)</f>
        <v>2000</v>
      </c>
      <c r="H79" s="43">
        <f t="shared" si="24"/>
        <v>339577</v>
      </c>
    </row>
    <row r="80" spans="1:8" s="18" customFormat="1" ht="33.75" customHeight="1" x14ac:dyDescent="0.2">
      <c r="A80" s="33"/>
      <c r="B80" s="105"/>
      <c r="C80" s="130">
        <v>2110</v>
      </c>
      <c r="D80" s="131" t="s">
        <v>65</v>
      </c>
      <c r="E80" s="47">
        <v>335200</v>
      </c>
      <c r="F80" s="47">
        <v>6377</v>
      </c>
      <c r="G80" s="47">
        <v>2000</v>
      </c>
      <c r="H80" s="47">
        <f>SUM(E80+F80-G80)</f>
        <v>339577</v>
      </c>
    </row>
    <row r="81" spans="1:8" s="18" customFormat="1" ht="12" customHeight="1" x14ac:dyDescent="0.2">
      <c r="A81" s="33"/>
      <c r="B81" s="49">
        <v>71015</v>
      </c>
      <c r="C81" s="134"/>
      <c r="D81" s="136" t="s">
        <v>405</v>
      </c>
      <c r="E81" s="39">
        <v>683100</v>
      </c>
      <c r="F81" s="39">
        <f t="shared" ref="F81:G81" si="26">SUM(F82)</f>
        <v>10000</v>
      </c>
      <c r="G81" s="39">
        <f t="shared" si="26"/>
        <v>0</v>
      </c>
      <c r="H81" s="39">
        <f t="shared" si="24"/>
        <v>693100</v>
      </c>
    </row>
    <row r="82" spans="1:8" s="18" customFormat="1" ht="12" customHeight="1" x14ac:dyDescent="0.2">
      <c r="A82" s="33"/>
      <c r="B82" s="38"/>
      <c r="C82" s="28"/>
      <c r="D82" s="124" t="s">
        <v>35</v>
      </c>
      <c r="E82" s="43">
        <v>683100</v>
      </c>
      <c r="F82" s="108">
        <f>SUM(F83:F83)</f>
        <v>10000</v>
      </c>
      <c r="G82" s="108">
        <f>SUM(G83:G83)</f>
        <v>0</v>
      </c>
      <c r="H82" s="43">
        <f t="shared" si="24"/>
        <v>693100</v>
      </c>
    </row>
    <row r="83" spans="1:8" s="18" customFormat="1" ht="34.5" customHeight="1" x14ac:dyDescent="0.2">
      <c r="A83" s="33"/>
      <c r="B83" s="105"/>
      <c r="C83" s="130">
        <v>2110</v>
      </c>
      <c r="D83" s="131" t="s">
        <v>65</v>
      </c>
      <c r="E83" s="47">
        <v>683100</v>
      </c>
      <c r="F83" s="116">
        <v>10000</v>
      </c>
      <c r="G83" s="138"/>
      <c r="H83" s="47">
        <f t="shared" si="24"/>
        <v>693100</v>
      </c>
    </row>
    <row r="84" spans="1:8" s="18" customFormat="1" ht="12" customHeight="1" thickBot="1" x14ac:dyDescent="0.25">
      <c r="A84" s="33">
        <v>750</v>
      </c>
      <c r="B84" s="34"/>
      <c r="C84" s="35"/>
      <c r="D84" s="36" t="s">
        <v>41</v>
      </c>
      <c r="E84" s="37">
        <v>139155</v>
      </c>
      <c r="F84" s="37">
        <f t="shared" ref="F84:G84" si="27">SUM(F85)</f>
        <v>3936</v>
      </c>
      <c r="G84" s="37">
        <f t="shared" si="27"/>
        <v>0</v>
      </c>
      <c r="H84" s="37">
        <f t="shared" si="24"/>
        <v>143091</v>
      </c>
    </row>
    <row r="85" spans="1:8" s="18" customFormat="1" ht="12" customHeight="1" thickTop="1" x14ac:dyDescent="0.2">
      <c r="A85" s="33"/>
      <c r="B85" s="118">
        <v>75011</v>
      </c>
      <c r="C85" s="118"/>
      <c r="D85" s="397" t="s">
        <v>393</v>
      </c>
      <c r="E85" s="39">
        <v>111000</v>
      </c>
      <c r="F85" s="40">
        <f>SUM(F86)</f>
        <v>3936</v>
      </c>
      <c r="G85" s="40">
        <f>SUM(G86)</f>
        <v>0</v>
      </c>
      <c r="H85" s="39">
        <f t="shared" si="24"/>
        <v>114936</v>
      </c>
    </row>
    <row r="86" spans="1:8" s="18" customFormat="1" ht="12" customHeight="1" x14ac:dyDescent="0.2">
      <c r="A86" s="33"/>
      <c r="B86" s="38"/>
      <c r="C86" s="28"/>
      <c r="D86" s="124" t="s">
        <v>35</v>
      </c>
      <c r="E86" s="43">
        <v>111000</v>
      </c>
      <c r="F86" s="108">
        <f>SUM(F87)</f>
        <v>3936</v>
      </c>
      <c r="G86" s="108">
        <f>SUM(G87)</f>
        <v>0</v>
      </c>
      <c r="H86" s="43">
        <f t="shared" si="24"/>
        <v>114936</v>
      </c>
    </row>
    <row r="87" spans="1:8" s="18" customFormat="1" ht="33.75" customHeight="1" x14ac:dyDescent="0.2">
      <c r="A87" s="33"/>
      <c r="B87" s="34"/>
      <c r="C87" s="130">
        <v>2110</v>
      </c>
      <c r="D87" s="131" t="s">
        <v>65</v>
      </c>
      <c r="E87" s="45">
        <v>111000</v>
      </c>
      <c r="F87" s="47">
        <v>3936</v>
      </c>
      <c r="G87" s="47"/>
      <c r="H87" s="45">
        <f t="shared" si="24"/>
        <v>114936</v>
      </c>
    </row>
    <row r="88" spans="1:8" s="18" customFormat="1" ht="12" customHeight="1" x14ac:dyDescent="0.2">
      <c r="A88" s="33">
        <v>754</v>
      </c>
      <c r="B88" s="34"/>
      <c r="C88" s="35"/>
      <c r="D88" s="36" t="s">
        <v>42</v>
      </c>
      <c r="E88" s="111"/>
      <c r="F88" s="111"/>
      <c r="G88" s="111"/>
      <c r="H88" s="111"/>
    </row>
    <row r="89" spans="1:8" s="18" customFormat="1" ht="12" customHeight="1" thickBot="1" x14ac:dyDescent="0.25">
      <c r="A89" s="33"/>
      <c r="B89" s="34"/>
      <c r="C89" s="35"/>
      <c r="D89" s="36" t="s">
        <v>43</v>
      </c>
      <c r="E89" s="32">
        <v>16951307</v>
      </c>
      <c r="F89" s="32">
        <f t="shared" ref="F89:G91" si="28">SUM(F90)</f>
        <v>120400</v>
      </c>
      <c r="G89" s="32">
        <f t="shared" si="28"/>
        <v>0</v>
      </c>
      <c r="H89" s="32">
        <f>SUM(E89+F89-G89)</f>
        <v>17071707</v>
      </c>
    </row>
    <row r="90" spans="1:8" s="18" customFormat="1" ht="12" customHeight="1" thickTop="1" x14ac:dyDescent="0.2">
      <c r="A90" s="137"/>
      <c r="B90" s="38">
        <v>75411</v>
      </c>
      <c r="C90" s="28"/>
      <c r="D90" s="125" t="s">
        <v>406</v>
      </c>
      <c r="E90" s="39">
        <v>16951307</v>
      </c>
      <c r="F90" s="39">
        <f t="shared" si="28"/>
        <v>120400</v>
      </c>
      <c r="G90" s="39">
        <f t="shared" si="28"/>
        <v>0</v>
      </c>
      <c r="H90" s="39">
        <f>SUM(E90+F90-G90)</f>
        <v>17071707</v>
      </c>
    </row>
    <row r="91" spans="1:8" s="18" customFormat="1" ht="12" customHeight="1" x14ac:dyDescent="0.2">
      <c r="A91" s="129"/>
      <c r="B91" s="38"/>
      <c r="C91" s="28"/>
      <c r="D91" s="124" t="s">
        <v>35</v>
      </c>
      <c r="E91" s="43">
        <v>16951307</v>
      </c>
      <c r="F91" s="108">
        <f t="shared" si="28"/>
        <v>120400</v>
      </c>
      <c r="G91" s="108">
        <f t="shared" si="28"/>
        <v>0</v>
      </c>
      <c r="H91" s="43">
        <f>SUM(E91+F91-G91)</f>
        <v>17071707</v>
      </c>
    </row>
    <row r="92" spans="1:8" s="18" customFormat="1" ht="35.25" customHeight="1" x14ac:dyDescent="0.2">
      <c r="A92" s="34"/>
      <c r="B92" s="105"/>
      <c r="C92" s="130">
        <v>2110</v>
      </c>
      <c r="D92" s="131" t="s">
        <v>65</v>
      </c>
      <c r="E92" s="45">
        <v>16801307</v>
      </c>
      <c r="F92" s="47">
        <v>120400</v>
      </c>
      <c r="G92" s="47"/>
      <c r="H92" s="45">
        <f t="shared" ref="H92" si="29">SUM(E92+F92-G92)</f>
        <v>16921707</v>
      </c>
    </row>
    <row r="93" spans="1:8" s="18" customFormat="1" ht="12" customHeight="1" thickBot="1" x14ac:dyDescent="0.25">
      <c r="A93" s="33">
        <v>801</v>
      </c>
      <c r="B93" s="34"/>
      <c r="C93" s="35"/>
      <c r="D93" s="36" t="s">
        <v>100</v>
      </c>
      <c r="E93" s="32">
        <v>30408.720000000001</v>
      </c>
      <c r="F93" s="32">
        <f>SUM(F96)</f>
        <v>1807.78</v>
      </c>
      <c r="G93" s="32">
        <f>SUM(G96)</f>
        <v>0</v>
      </c>
      <c r="H93" s="32">
        <f>SUM(E93+F93-G93)</f>
        <v>32216.5</v>
      </c>
    </row>
    <row r="94" spans="1:8" s="18" customFormat="1" ht="12" customHeight="1" thickTop="1" x14ac:dyDescent="0.2">
      <c r="A94" s="33"/>
      <c r="B94" s="38">
        <v>80153</v>
      </c>
      <c r="C94" s="35"/>
      <c r="D94" s="148" t="s">
        <v>398</v>
      </c>
      <c r="E94" s="111"/>
      <c r="F94" s="111"/>
      <c r="G94" s="111"/>
      <c r="H94" s="111"/>
    </row>
    <row r="95" spans="1:8" s="18" customFormat="1" ht="12" customHeight="1" x14ac:dyDescent="0.2">
      <c r="A95" s="33"/>
      <c r="B95" s="34"/>
      <c r="C95" s="35"/>
      <c r="D95" s="148" t="s">
        <v>399</v>
      </c>
      <c r="E95" s="111"/>
      <c r="F95" s="111"/>
      <c r="G95" s="111"/>
      <c r="H95" s="111"/>
    </row>
    <row r="96" spans="1:8" s="18" customFormat="1" ht="12" customHeight="1" x14ac:dyDescent="0.2">
      <c r="A96" s="34"/>
      <c r="B96" s="38"/>
      <c r="C96" s="28"/>
      <c r="D96" s="48" t="s">
        <v>400</v>
      </c>
      <c r="E96" s="39">
        <v>30408.720000000001</v>
      </c>
      <c r="F96" s="39">
        <f t="shared" ref="F96:G96" si="30">SUM(F97)</f>
        <v>1807.78</v>
      </c>
      <c r="G96" s="39">
        <f t="shared" si="30"/>
        <v>0</v>
      </c>
      <c r="H96" s="39">
        <f t="shared" ref="H96:H102" si="31">SUM(E96+F96-G96)</f>
        <v>32216.5</v>
      </c>
    </row>
    <row r="97" spans="1:8" s="18" customFormat="1" ht="12" customHeight="1" x14ac:dyDescent="0.2">
      <c r="A97" s="137"/>
      <c r="B97" s="38"/>
      <c r="C97" s="28"/>
      <c r="D97" s="124" t="s">
        <v>35</v>
      </c>
      <c r="E97" s="43">
        <v>30408.720000000001</v>
      </c>
      <c r="F97" s="108">
        <f>SUM(F98:F98)</f>
        <v>1807.78</v>
      </c>
      <c r="G97" s="108">
        <f>SUM(G98:G98)</f>
        <v>0</v>
      </c>
      <c r="H97" s="43">
        <f t="shared" si="31"/>
        <v>32216.5</v>
      </c>
    </row>
    <row r="98" spans="1:8" s="18" customFormat="1" ht="34.5" customHeight="1" x14ac:dyDescent="0.2">
      <c r="A98" s="33"/>
      <c r="B98" s="105"/>
      <c r="C98" s="130">
        <v>2110</v>
      </c>
      <c r="D98" s="131" t="s">
        <v>65</v>
      </c>
      <c r="E98" s="47">
        <v>30408.720000000001</v>
      </c>
      <c r="F98" s="116">
        <v>1807.78</v>
      </c>
      <c r="G98" s="138"/>
      <c r="H98" s="47">
        <f t="shared" si="31"/>
        <v>32216.5</v>
      </c>
    </row>
    <row r="99" spans="1:8" s="18" customFormat="1" ht="12" customHeight="1" thickBot="1" x14ac:dyDescent="0.25">
      <c r="A99" s="33">
        <v>853</v>
      </c>
      <c r="B99" s="34"/>
      <c r="C99" s="35"/>
      <c r="D99" s="36" t="s">
        <v>160</v>
      </c>
      <c r="E99" s="32">
        <v>486850</v>
      </c>
      <c r="F99" s="32">
        <f>SUM(F100)</f>
        <v>20000</v>
      </c>
      <c r="G99" s="32">
        <f>SUM(G100)</f>
        <v>0</v>
      </c>
      <c r="H99" s="32">
        <f t="shared" si="31"/>
        <v>506850</v>
      </c>
    </row>
    <row r="100" spans="1:8" s="18" customFormat="1" ht="12" customHeight="1" thickTop="1" x14ac:dyDescent="0.2">
      <c r="A100" s="33"/>
      <c r="B100" s="38">
        <v>85321</v>
      </c>
      <c r="C100" s="28"/>
      <c r="D100" s="48" t="s">
        <v>407</v>
      </c>
      <c r="E100" s="39">
        <v>477610</v>
      </c>
      <c r="F100" s="39">
        <f t="shared" ref="F100:G100" si="32">SUM(F101)</f>
        <v>20000</v>
      </c>
      <c r="G100" s="39">
        <f t="shared" si="32"/>
        <v>0</v>
      </c>
      <c r="H100" s="39">
        <f t="shared" si="31"/>
        <v>497610</v>
      </c>
    </row>
    <row r="101" spans="1:8" s="18" customFormat="1" ht="12" customHeight="1" x14ac:dyDescent="0.2">
      <c r="A101" s="137"/>
      <c r="B101" s="38"/>
      <c r="C101" s="28"/>
      <c r="D101" s="124" t="s">
        <v>35</v>
      </c>
      <c r="E101" s="43">
        <v>476560</v>
      </c>
      <c r="F101" s="108">
        <f>SUM(F102:F102)</f>
        <v>20000</v>
      </c>
      <c r="G101" s="108">
        <f>SUM(G102:G102)</f>
        <v>0</v>
      </c>
      <c r="H101" s="43">
        <f t="shared" si="31"/>
        <v>496560</v>
      </c>
    </row>
    <row r="102" spans="1:8" s="18" customFormat="1" ht="33.75" customHeight="1" x14ac:dyDescent="0.2">
      <c r="A102" s="33"/>
      <c r="B102" s="105"/>
      <c r="C102" s="130">
        <v>2110</v>
      </c>
      <c r="D102" s="131" t="s">
        <v>65</v>
      </c>
      <c r="E102" s="47">
        <v>476560</v>
      </c>
      <c r="F102" s="116">
        <f>6400+13600</f>
        <v>20000</v>
      </c>
      <c r="G102" s="138"/>
      <c r="H102" s="47">
        <f t="shared" si="31"/>
        <v>496560</v>
      </c>
    </row>
    <row r="103" spans="1:8" s="18" customFormat="1" ht="25.5" customHeight="1" thickBot="1" x14ac:dyDescent="0.25">
      <c r="A103" s="38"/>
      <c r="B103" s="38"/>
      <c r="C103" s="28"/>
      <c r="D103" s="29" t="s">
        <v>13</v>
      </c>
      <c r="E103" s="30">
        <v>972238339.64000022</v>
      </c>
      <c r="F103" s="30">
        <f>SUM(F104,F619,F690)</f>
        <v>8807671.1500000004</v>
      </c>
      <c r="G103" s="30">
        <f>SUM(G104,G619,G690)</f>
        <v>5198262.46</v>
      </c>
      <c r="H103" s="30">
        <f t="shared" si="7"/>
        <v>975847748.33000016</v>
      </c>
    </row>
    <row r="104" spans="1:8" s="18" customFormat="1" ht="17.25" customHeight="1" thickBot="1" x14ac:dyDescent="0.25">
      <c r="A104" s="38"/>
      <c r="B104" s="38"/>
      <c r="C104" s="28"/>
      <c r="D104" s="31" t="s">
        <v>14</v>
      </c>
      <c r="E104" s="32">
        <v>854229007.33000004</v>
      </c>
      <c r="F104" s="32">
        <f>SUM(F105,F110,F123,F136,F148,F171,F178,F183,F425,F459,F516,F535,F559,F580,F613)</f>
        <v>5183166.34</v>
      </c>
      <c r="G104" s="32">
        <f>SUM(G105,G110,G123,G136,G148,G171,G178,G183,G425,G459,G516,G535,G559,G580,G613)</f>
        <v>4906948.34</v>
      </c>
      <c r="H104" s="32">
        <f t="shared" si="7"/>
        <v>854505225.33000004</v>
      </c>
    </row>
    <row r="105" spans="1:8" s="18" customFormat="1" ht="18" customHeight="1" thickTop="1" thickBot="1" x14ac:dyDescent="0.25">
      <c r="A105" s="398" t="s">
        <v>408</v>
      </c>
      <c r="B105" s="170"/>
      <c r="C105" s="170"/>
      <c r="D105" s="399" t="s">
        <v>409</v>
      </c>
      <c r="E105" s="32">
        <v>104165</v>
      </c>
      <c r="F105" s="37">
        <f>SUM(F106)</f>
        <v>6300</v>
      </c>
      <c r="G105" s="37">
        <f>SUM(G106)</f>
        <v>6300</v>
      </c>
      <c r="H105" s="32">
        <f t="shared" ref="H105:H106" si="33">SUM(E105+F105-G105)</f>
        <v>104165</v>
      </c>
    </row>
    <row r="106" spans="1:8" s="18" customFormat="1" ht="12" customHeight="1" thickTop="1" x14ac:dyDescent="0.2">
      <c r="A106" s="398"/>
      <c r="B106" s="152" t="s">
        <v>410</v>
      </c>
      <c r="C106" s="170"/>
      <c r="D106" s="400" t="s">
        <v>411</v>
      </c>
      <c r="E106" s="39">
        <v>101165</v>
      </c>
      <c r="F106" s="39">
        <f>SUM(F107)</f>
        <v>6300</v>
      </c>
      <c r="G106" s="39">
        <f>SUM(G107)</f>
        <v>6300</v>
      </c>
      <c r="H106" s="39">
        <f t="shared" si="33"/>
        <v>101165</v>
      </c>
    </row>
    <row r="107" spans="1:8" s="18" customFormat="1" ht="12" customHeight="1" x14ac:dyDescent="0.2">
      <c r="A107" s="401"/>
      <c r="B107" s="142"/>
      <c r="C107" s="178"/>
      <c r="D107" s="10" t="s">
        <v>175</v>
      </c>
      <c r="E107" s="43">
        <v>101165</v>
      </c>
      <c r="F107" s="108">
        <f>SUM(F108:F109)</f>
        <v>6300</v>
      </c>
      <c r="G107" s="108">
        <f>SUM(G108:G109)</f>
        <v>6300</v>
      </c>
      <c r="H107" s="43">
        <f>SUM(E107+F107-G107)</f>
        <v>101165</v>
      </c>
    </row>
    <row r="108" spans="1:8" s="18" customFormat="1" ht="12" customHeight="1" x14ac:dyDescent="0.2">
      <c r="A108" s="34"/>
      <c r="B108" s="34"/>
      <c r="C108" s="151" t="s">
        <v>22</v>
      </c>
      <c r="D108" s="402" t="s">
        <v>89</v>
      </c>
      <c r="E108" s="46">
        <v>40000</v>
      </c>
      <c r="F108" s="45">
        <v>6300</v>
      </c>
      <c r="G108" s="45"/>
      <c r="H108" s="46">
        <f t="shared" ref="H108:H109" si="34">SUM(E108+F108-G108)</f>
        <v>46300</v>
      </c>
    </row>
    <row r="109" spans="1:8" s="18" customFormat="1" ht="12" customHeight="1" x14ac:dyDescent="0.2">
      <c r="A109" s="34"/>
      <c r="B109" s="34"/>
      <c r="C109" s="50">
        <v>4430</v>
      </c>
      <c r="D109" s="44" t="s">
        <v>73</v>
      </c>
      <c r="E109" s="46">
        <v>10500</v>
      </c>
      <c r="F109" s="45"/>
      <c r="G109" s="45">
        <v>6300</v>
      </c>
      <c r="H109" s="46">
        <f t="shared" si="34"/>
        <v>4200</v>
      </c>
    </row>
    <row r="110" spans="1:8" s="18" customFormat="1" ht="12" customHeight="1" thickBot="1" x14ac:dyDescent="0.25">
      <c r="A110" s="34">
        <v>600</v>
      </c>
      <c r="B110" s="34"/>
      <c r="C110" s="35"/>
      <c r="D110" s="36" t="s">
        <v>15</v>
      </c>
      <c r="E110" s="32">
        <v>108769342.73999999</v>
      </c>
      <c r="F110" s="32">
        <f>SUM(F111,F115,F119)</f>
        <v>169365</v>
      </c>
      <c r="G110" s="32">
        <f>SUM(G111,G115,G119)</f>
        <v>169365</v>
      </c>
      <c r="H110" s="32">
        <f>SUM(E110+F110-G110)</f>
        <v>108769342.73999999</v>
      </c>
    </row>
    <row r="111" spans="1:8" s="18" customFormat="1" ht="12" customHeight="1" thickTop="1" x14ac:dyDescent="0.2">
      <c r="A111" s="34"/>
      <c r="B111" s="38">
        <v>60015</v>
      </c>
      <c r="C111" s="28"/>
      <c r="D111" s="48" t="s">
        <v>72</v>
      </c>
      <c r="E111" s="51">
        <v>30829735.77</v>
      </c>
      <c r="F111" s="51">
        <f>SUM(F112)</f>
        <v>70000</v>
      </c>
      <c r="G111" s="51">
        <f>SUM(G112)</f>
        <v>98000</v>
      </c>
      <c r="H111" s="39">
        <f>SUM(E111+F111-G111)</f>
        <v>30801735.77</v>
      </c>
    </row>
    <row r="112" spans="1:8" s="18" customFormat="1" ht="12" customHeight="1" x14ac:dyDescent="0.2">
      <c r="A112" s="34"/>
      <c r="B112" s="38"/>
      <c r="C112" s="139"/>
      <c r="D112" s="107" t="s">
        <v>67</v>
      </c>
      <c r="E112" s="43">
        <v>12001885</v>
      </c>
      <c r="F112" s="43">
        <f>SUM(F113:F114)</f>
        <v>70000</v>
      </c>
      <c r="G112" s="43">
        <f>SUM(G113:G114)</f>
        <v>98000</v>
      </c>
      <c r="H112" s="43">
        <f>SUM(E112+F112-G112)</f>
        <v>11973885</v>
      </c>
    </row>
    <row r="113" spans="1:8" s="18" customFormat="1" ht="12" customHeight="1" x14ac:dyDescent="0.2">
      <c r="A113" s="34"/>
      <c r="B113" s="38"/>
      <c r="C113" s="49">
        <v>4270</v>
      </c>
      <c r="D113" s="135" t="s">
        <v>69</v>
      </c>
      <c r="E113" s="46">
        <v>3850000</v>
      </c>
      <c r="F113" s="46">
        <v>70000</v>
      </c>
      <c r="G113" s="46"/>
      <c r="H113" s="47">
        <f t="shared" ref="H113:H114" si="35">SUM(E113+F113-G113)</f>
        <v>3920000</v>
      </c>
    </row>
    <row r="114" spans="1:8" s="18" customFormat="1" ht="12" customHeight="1" x14ac:dyDescent="0.2">
      <c r="A114" s="126"/>
      <c r="B114" s="146"/>
      <c r="C114" s="147">
        <v>4300</v>
      </c>
      <c r="D114" s="48" t="s">
        <v>70</v>
      </c>
      <c r="E114" s="51">
        <v>6541139</v>
      </c>
      <c r="F114" s="51"/>
      <c r="G114" s="51">
        <v>98000</v>
      </c>
      <c r="H114" s="39">
        <f t="shared" si="35"/>
        <v>6443139</v>
      </c>
    </row>
    <row r="115" spans="1:8" s="18" customFormat="1" ht="12" customHeight="1" x14ac:dyDescent="0.2">
      <c r="A115" s="34"/>
      <c r="B115" s="38">
        <v>60016</v>
      </c>
      <c r="C115" s="28"/>
      <c r="D115" s="48" t="s">
        <v>19</v>
      </c>
      <c r="E115" s="51">
        <v>32003676.379999999</v>
      </c>
      <c r="F115" s="51">
        <f>SUM(F116)</f>
        <v>98000</v>
      </c>
      <c r="G115" s="51">
        <f>SUM(G116)</f>
        <v>70000</v>
      </c>
      <c r="H115" s="39">
        <f>SUM(E115+F115-G115)</f>
        <v>32031676.379999999</v>
      </c>
    </row>
    <row r="116" spans="1:8" s="18" customFormat="1" ht="12" customHeight="1" x14ac:dyDescent="0.2">
      <c r="A116" s="34"/>
      <c r="B116" s="38"/>
      <c r="C116" s="49"/>
      <c r="D116" s="107" t="s">
        <v>67</v>
      </c>
      <c r="E116" s="43">
        <v>4626944</v>
      </c>
      <c r="F116" s="43">
        <f>SUM(F117:F118)</f>
        <v>98000</v>
      </c>
      <c r="G116" s="43">
        <f>SUM(G117:G118)</f>
        <v>70000</v>
      </c>
      <c r="H116" s="43">
        <f>SUM(E116+F116-G116)</f>
        <v>4654944</v>
      </c>
    </row>
    <row r="117" spans="1:8" s="18" customFormat="1" ht="12" customHeight="1" x14ac:dyDescent="0.2">
      <c r="A117" s="34"/>
      <c r="B117" s="34"/>
      <c r="C117" s="49">
        <v>4270</v>
      </c>
      <c r="D117" s="135" t="s">
        <v>69</v>
      </c>
      <c r="E117" s="46">
        <v>2188000</v>
      </c>
      <c r="F117" s="46"/>
      <c r="G117" s="46">
        <v>70000</v>
      </c>
      <c r="H117" s="47">
        <f t="shared" ref="H117:H119" si="36">SUM(E117+F117-G117)</f>
        <v>2118000</v>
      </c>
    </row>
    <row r="118" spans="1:8" s="18" customFormat="1" ht="12" customHeight="1" x14ac:dyDescent="0.2">
      <c r="A118" s="34"/>
      <c r="B118" s="34"/>
      <c r="C118" s="50">
        <v>4300</v>
      </c>
      <c r="D118" s="44" t="s">
        <v>70</v>
      </c>
      <c r="E118" s="46">
        <v>2248944</v>
      </c>
      <c r="F118" s="46">
        <v>98000</v>
      </c>
      <c r="G118" s="46"/>
      <c r="H118" s="47">
        <f t="shared" si="36"/>
        <v>2346944</v>
      </c>
    </row>
    <row r="119" spans="1:8" s="18" customFormat="1" ht="12" customHeight="1" x14ac:dyDescent="0.2">
      <c r="A119" s="34"/>
      <c r="B119" s="38">
        <v>60095</v>
      </c>
      <c r="C119" s="28"/>
      <c r="D119" s="48" t="s">
        <v>12</v>
      </c>
      <c r="E119" s="51">
        <v>8113340</v>
      </c>
      <c r="F119" s="40">
        <f>SUM(F120)</f>
        <v>1365</v>
      </c>
      <c r="G119" s="40">
        <f>SUM(G120)</f>
        <v>1365</v>
      </c>
      <c r="H119" s="39">
        <f t="shared" si="36"/>
        <v>8113340</v>
      </c>
    </row>
    <row r="120" spans="1:8" s="144" customFormat="1" ht="12" customHeight="1" x14ac:dyDescent="0.2">
      <c r="A120" s="141"/>
      <c r="B120" s="142"/>
      <c r="C120" s="143"/>
      <c r="D120" s="107" t="s">
        <v>67</v>
      </c>
      <c r="E120" s="43">
        <v>4106880</v>
      </c>
      <c r="F120" s="43">
        <f>SUM(F121:F122)</f>
        <v>1365</v>
      </c>
      <c r="G120" s="43">
        <f>SUM(G121:G122)</f>
        <v>1365</v>
      </c>
      <c r="H120" s="43">
        <f>SUM(E120+F120-G120)</f>
        <v>4106880</v>
      </c>
    </row>
    <row r="121" spans="1:8" s="18" customFormat="1" ht="12" customHeight="1" x14ac:dyDescent="0.2">
      <c r="A121" s="34"/>
      <c r="B121" s="38"/>
      <c r="C121" s="50">
        <v>3020</v>
      </c>
      <c r="D121" s="44" t="s">
        <v>76</v>
      </c>
      <c r="E121" s="46">
        <v>32820</v>
      </c>
      <c r="F121" s="46">
        <v>1365</v>
      </c>
      <c r="G121" s="46"/>
      <c r="H121" s="47">
        <f t="shared" ref="H121:H124" si="37">SUM(E121+F121-G121)</f>
        <v>34185</v>
      </c>
    </row>
    <row r="122" spans="1:8" s="18" customFormat="1" ht="12" customHeight="1" x14ac:dyDescent="0.2">
      <c r="A122" s="34"/>
      <c r="B122" s="38"/>
      <c r="C122" s="130">
        <v>4360</v>
      </c>
      <c r="D122" s="403" t="s">
        <v>71</v>
      </c>
      <c r="E122" s="46">
        <v>1365</v>
      </c>
      <c r="F122" s="46"/>
      <c r="G122" s="46">
        <v>1365</v>
      </c>
      <c r="H122" s="47">
        <f t="shared" si="37"/>
        <v>0</v>
      </c>
    </row>
    <row r="123" spans="1:8" s="18" customFormat="1" ht="12" customHeight="1" thickBot="1" x14ac:dyDescent="0.25">
      <c r="A123" s="33">
        <v>700</v>
      </c>
      <c r="B123" s="33"/>
      <c r="C123" s="35"/>
      <c r="D123" s="36" t="s">
        <v>63</v>
      </c>
      <c r="E123" s="32">
        <v>58549784.630000003</v>
      </c>
      <c r="F123" s="37">
        <f>SUM(F124,F130)</f>
        <v>1133500</v>
      </c>
      <c r="G123" s="37">
        <f>SUM(G124,G130)</f>
        <v>33500</v>
      </c>
      <c r="H123" s="32">
        <f t="shared" si="37"/>
        <v>59649784.630000003</v>
      </c>
    </row>
    <row r="124" spans="1:8" s="18" customFormat="1" ht="12" customHeight="1" thickTop="1" x14ac:dyDescent="0.2">
      <c r="A124" s="22"/>
      <c r="B124" s="49">
        <v>70007</v>
      </c>
      <c r="C124" s="133"/>
      <c r="D124" s="136" t="s">
        <v>412</v>
      </c>
      <c r="E124" s="39">
        <v>30004484.630000003</v>
      </c>
      <c r="F124" s="40">
        <f>SUM(F125,F128)</f>
        <v>1108500</v>
      </c>
      <c r="G124" s="40">
        <f>SUM(G125,G128)</f>
        <v>1500</v>
      </c>
      <c r="H124" s="39">
        <f t="shared" si="37"/>
        <v>31111484.630000003</v>
      </c>
    </row>
    <row r="125" spans="1:8" s="18" customFormat="1" ht="12" customHeight="1" x14ac:dyDescent="0.2">
      <c r="A125" s="22"/>
      <c r="B125" s="49"/>
      <c r="C125" s="28"/>
      <c r="D125" s="107" t="s">
        <v>189</v>
      </c>
      <c r="E125" s="42">
        <v>109400</v>
      </c>
      <c r="F125" s="108">
        <f>SUM(F126:F127)</f>
        <v>8500</v>
      </c>
      <c r="G125" s="108">
        <f>SUM(G126:G127)</f>
        <v>1500</v>
      </c>
      <c r="H125" s="43">
        <f>SUM(E125+F125-G125)</f>
        <v>116400</v>
      </c>
    </row>
    <row r="126" spans="1:8" s="18" customFormat="1" ht="12" customHeight="1" x14ac:dyDescent="0.2">
      <c r="A126" s="22"/>
      <c r="B126" s="49"/>
      <c r="C126" s="50">
        <v>4300</v>
      </c>
      <c r="D126" s="44" t="s">
        <v>70</v>
      </c>
      <c r="E126" s="46">
        <v>5900</v>
      </c>
      <c r="F126" s="46"/>
      <c r="G126" s="46">
        <v>1500</v>
      </c>
      <c r="H126" s="47">
        <f t="shared" ref="H126:H127" si="38">SUM(E126+F126-G126)</f>
        <v>4400</v>
      </c>
    </row>
    <row r="127" spans="1:8" s="18" customFormat="1" ht="12" customHeight="1" x14ac:dyDescent="0.2">
      <c r="A127" s="22"/>
      <c r="B127" s="49"/>
      <c r="C127" s="50">
        <v>4430</v>
      </c>
      <c r="D127" s="44" t="s">
        <v>73</v>
      </c>
      <c r="E127" s="47">
        <v>8500</v>
      </c>
      <c r="F127" s="116">
        <v>8500</v>
      </c>
      <c r="G127" s="116"/>
      <c r="H127" s="47">
        <f t="shared" si="38"/>
        <v>17000</v>
      </c>
    </row>
    <row r="128" spans="1:8" s="18" customFormat="1" ht="12" customHeight="1" x14ac:dyDescent="0.2">
      <c r="A128" s="22"/>
      <c r="B128" s="50"/>
      <c r="C128" s="28"/>
      <c r="D128" s="149" t="s">
        <v>370</v>
      </c>
      <c r="E128" s="42">
        <v>29895084.630000003</v>
      </c>
      <c r="F128" s="108">
        <f>SUM(F129)</f>
        <v>1100000</v>
      </c>
      <c r="G128" s="108">
        <f>SUM(G129)</f>
        <v>0</v>
      </c>
      <c r="H128" s="43">
        <f>SUM(E128+F128-G128)</f>
        <v>30995084.630000003</v>
      </c>
    </row>
    <row r="129" spans="1:8" s="18" customFormat="1" ht="12" customHeight="1" x14ac:dyDescent="0.2">
      <c r="A129" s="22"/>
      <c r="B129" s="50"/>
      <c r="C129" s="130">
        <v>4260</v>
      </c>
      <c r="D129" s="403" t="s">
        <v>68</v>
      </c>
      <c r="E129" s="46">
        <v>8257400</v>
      </c>
      <c r="F129" s="46">
        <v>1100000</v>
      </c>
      <c r="G129" s="46"/>
      <c r="H129" s="47">
        <f t="shared" ref="H129:H130" si="39">SUM(E129+F129-G129)</f>
        <v>9357400</v>
      </c>
    </row>
    <row r="130" spans="1:8" s="18" customFormat="1" ht="12" customHeight="1" x14ac:dyDescent="0.2">
      <c r="A130" s="22"/>
      <c r="B130" s="49">
        <v>70095</v>
      </c>
      <c r="C130" s="133"/>
      <c r="D130" s="48" t="s">
        <v>12</v>
      </c>
      <c r="E130" s="39">
        <v>25274500</v>
      </c>
      <c r="F130" s="40">
        <f>SUM(F131)</f>
        <v>25000</v>
      </c>
      <c r="G130" s="40">
        <f>SUM(G131)</f>
        <v>32000</v>
      </c>
      <c r="H130" s="39">
        <f t="shared" si="39"/>
        <v>25267500</v>
      </c>
    </row>
    <row r="131" spans="1:8" s="18" customFormat="1" ht="12" customHeight="1" x14ac:dyDescent="0.2">
      <c r="A131" s="22"/>
      <c r="B131" s="49"/>
      <c r="C131" s="28"/>
      <c r="D131" s="107" t="s">
        <v>189</v>
      </c>
      <c r="E131" s="42">
        <v>1664500</v>
      </c>
      <c r="F131" s="108">
        <f>SUM(F132:F135)</f>
        <v>25000</v>
      </c>
      <c r="G131" s="108">
        <f>SUM(G132:G135)</f>
        <v>32000</v>
      </c>
      <c r="H131" s="43">
        <f>SUM(E131+F131-G131)</f>
        <v>1657500</v>
      </c>
    </row>
    <row r="132" spans="1:8" s="18" customFormat="1" ht="12" customHeight="1" x14ac:dyDescent="0.2">
      <c r="A132" s="22"/>
      <c r="B132" s="49"/>
      <c r="C132" s="130">
        <v>4580</v>
      </c>
      <c r="D132" s="403" t="s">
        <v>78</v>
      </c>
      <c r="E132" s="46">
        <v>35000</v>
      </c>
      <c r="F132" s="46"/>
      <c r="G132" s="46">
        <v>2000</v>
      </c>
      <c r="H132" s="47">
        <f t="shared" ref="H132:H140" si="40">SUM(E132+F132-G132)</f>
        <v>33000</v>
      </c>
    </row>
    <row r="133" spans="1:8" s="18" customFormat="1" ht="12" customHeight="1" x14ac:dyDescent="0.2">
      <c r="A133" s="22"/>
      <c r="B133" s="49"/>
      <c r="C133" s="130">
        <v>4590</v>
      </c>
      <c r="D133" s="403" t="s">
        <v>413</v>
      </c>
      <c r="E133" s="46">
        <v>120000</v>
      </c>
      <c r="F133" s="46">
        <v>25000</v>
      </c>
      <c r="G133" s="46"/>
      <c r="H133" s="47">
        <f t="shared" si="40"/>
        <v>145000</v>
      </c>
    </row>
    <row r="134" spans="1:8" s="18" customFormat="1" ht="23.25" customHeight="1" x14ac:dyDescent="0.2">
      <c r="A134" s="22"/>
      <c r="B134" s="49"/>
      <c r="C134" s="130">
        <v>4600</v>
      </c>
      <c r="D134" s="109" t="s">
        <v>74</v>
      </c>
      <c r="E134" s="46">
        <v>180000</v>
      </c>
      <c r="F134" s="46"/>
      <c r="G134" s="46">
        <v>25000</v>
      </c>
      <c r="H134" s="47">
        <f t="shared" si="40"/>
        <v>155000</v>
      </c>
    </row>
    <row r="135" spans="1:8" s="18" customFormat="1" ht="12" customHeight="1" x14ac:dyDescent="0.2">
      <c r="A135" s="22"/>
      <c r="B135" s="49"/>
      <c r="C135" s="50">
        <v>4610</v>
      </c>
      <c r="D135" s="44" t="s">
        <v>75</v>
      </c>
      <c r="E135" s="47">
        <v>73000</v>
      </c>
      <c r="F135" s="116"/>
      <c r="G135" s="116">
        <v>5000</v>
      </c>
      <c r="H135" s="47">
        <f t="shared" si="40"/>
        <v>68000</v>
      </c>
    </row>
    <row r="136" spans="1:8" s="18" customFormat="1" ht="12" customHeight="1" thickBot="1" x14ac:dyDescent="0.25">
      <c r="A136" s="33">
        <v>750</v>
      </c>
      <c r="B136" s="33"/>
      <c r="C136" s="35"/>
      <c r="D136" s="36" t="s">
        <v>41</v>
      </c>
      <c r="E136" s="32">
        <v>83301735.080000013</v>
      </c>
      <c r="F136" s="37">
        <f>SUM(F137,F141)</f>
        <v>36500</v>
      </c>
      <c r="G136" s="37">
        <f>SUM(G137,G141)</f>
        <v>36500</v>
      </c>
      <c r="H136" s="404">
        <f t="shared" si="40"/>
        <v>83301735.080000013</v>
      </c>
    </row>
    <row r="137" spans="1:8" s="18" customFormat="1" ht="12" customHeight="1" thickTop="1" x14ac:dyDescent="0.2">
      <c r="A137" s="33"/>
      <c r="B137" s="28" t="s">
        <v>81</v>
      </c>
      <c r="C137" s="50"/>
      <c r="D137" s="48" t="s">
        <v>82</v>
      </c>
      <c r="E137" s="39">
        <v>31982169.280000001</v>
      </c>
      <c r="F137" s="39">
        <f>SUM(F138)</f>
        <v>4500</v>
      </c>
      <c r="G137" s="39">
        <f>SUM(G138)</f>
        <v>4500</v>
      </c>
      <c r="H137" s="39">
        <f t="shared" si="40"/>
        <v>31982169.280000001</v>
      </c>
    </row>
    <row r="138" spans="1:8" s="18" customFormat="1" ht="12" customHeight="1" x14ac:dyDescent="0.2">
      <c r="A138" s="33"/>
      <c r="B138" s="50"/>
      <c r="C138" s="50"/>
      <c r="D138" s="107" t="s">
        <v>83</v>
      </c>
      <c r="E138" s="43">
        <v>27804590.690000001</v>
      </c>
      <c r="F138" s="42">
        <f>SUM(F139:F140)</f>
        <v>4500</v>
      </c>
      <c r="G138" s="42">
        <f>SUM(G139:G140)</f>
        <v>4500</v>
      </c>
      <c r="H138" s="42">
        <f t="shared" si="40"/>
        <v>27804590.690000001</v>
      </c>
    </row>
    <row r="139" spans="1:8" s="18" customFormat="1" ht="12" customHeight="1" x14ac:dyDescent="0.2">
      <c r="A139" s="33"/>
      <c r="B139" s="50"/>
      <c r="C139" s="50">
        <v>4280</v>
      </c>
      <c r="D139" s="44" t="s">
        <v>77</v>
      </c>
      <c r="E139" s="116">
        <v>20000</v>
      </c>
      <c r="F139" s="116">
        <v>4500</v>
      </c>
      <c r="G139" s="116"/>
      <c r="H139" s="116">
        <f t="shared" si="40"/>
        <v>24500</v>
      </c>
    </row>
    <row r="140" spans="1:8" s="18" customFormat="1" ht="12" customHeight="1" x14ac:dyDescent="0.2">
      <c r="A140" s="33"/>
      <c r="B140" s="50"/>
      <c r="C140" s="50">
        <v>4610</v>
      </c>
      <c r="D140" s="140" t="s">
        <v>75</v>
      </c>
      <c r="E140" s="116">
        <v>76970</v>
      </c>
      <c r="F140" s="116"/>
      <c r="G140" s="116">
        <v>4500</v>
      </c>
      <c r="H140" s="116">
        <f t="shared" si="40"/>
        <v>72470</v>
      </c>
    </row>
    <row r="141" spans="1:8" s="18" customFormat="1" ht="12" customHeight="1" x14ac:dyDescent="0.2">
      <c r="A141" s="38"/>
      <c r="B141" s="28" t="s">
        <v>414</v>
      </c>
      <c r="C141" s="50"/>
      <c r="D141" s="48" t="s">
        <v>415</v>
      </c>
      <c r="E141" s="39">
        <v>6517789</v>
      </c>
      <c r="F141" s="40">
        <f>SUM(F142)</f>
        <v>32000</v>
      </c>
      <c r="G141" s="40">
        <f>SUM(G142)</f>
        <v>32000</v>
      </c>
      <c r="H141" s="39">
        <f>SUM(E141+F141-G141)</f>
        <v>6517789</v>
      </c>
    </row>
    <row r="142" spans="1:8" s="18" customFormat="1" ht="11.25" customHeight="1" x14ac:dyDescent="0.2">
      <c r="A142" s="38"/>
      <c r="B142" s="28"/>
      <c r="C142" s="28"/>
      <c r="D142" s="107" t="s">
        <v>416</v>
      </c>
      <c r="E142" s="42">
        <v>6517789</v>
      </c>
      <c r="F142" s="108">
        <f>SUM(F143:F146)</f>
        <v>32000</v>
      </c>
      <c r="G142" s="108">
        <f>SUM(G143:G146)</f>
        <v>32000</v>
      </c>
      <c r="H142" s="43">
        <f>SUM(E142+F142-G142)</f>
        <v>6517789</v>
      </c>
    </row>
    <row r="143" spans="1:8" s="18" customFormat="1" ht="22.5" customHeight="1" x14ac:dyDescent="0.2">
      <c r="A143" s="38"/>
      <c r="B143" s="28"/>
      <c r="C143" s="162">
        <v>4140</v>
      </c>
      <c r="D143" s="405" t="s">
        <v>107</v>
      </c>
      <c r="E143" s="46">
        <v>37000</v>
      </c>
      <c r="F143" s="45"/>
      <c r="G143" s="45">
        <v>9500</v>
      </c>
      <c r="H143" s="46">
        <f t="shared" ref="H143:H146" si="41">SUM(E143+F143-G143)</f>
        <v>27500</v>
      </c>
    </row>
    <row r="144" spans="1:8" s="18" customFormat="1" ht="12" customHeight="1" x14ac:dyDescent="0.2">
      <c r="A144" s="38"/>
      <c r="B144" s="28"/>
      <c r="C144" s="151" t="s">
        <v>22</v>
      </c>
      <c r="D144" s="402" t="s">
        <v>89</v>
      </c>
      <c r="E144" s="46">
        <v>90000</v>
      </c>
      <c r="F144" s="45">
        <v>32000</v>
      </c>
      <c r="G144" s="45"/>
      <c r="H144" s="46">
        <f t="shared" si="41"/>
        <v>122000</v>
      </c>
    </row>
    <row r="145" spans="1:8" s="18" customFormat="1" ht="23.25" customHeight="1" x14ac:dyDescent="0.2">
      <c r="A145" s="38"/>
      <c r="B145" s="28"/>
      <c r="C145" s="130">
        <v>4700</v>
      </c>
      <c r="D145" s="186" t="s">
        <v>79</v>
      </c>
      <c r="E145" s="46">
        <v>12150</v>
      </c>
      <c r="F145" s="45"/>
      <c r="G145" s="45">
        <v>5000</v>
      </c>
      <c r="H145" s="46">
        <f t="shared" si="41"/>
        <v>7150</v>
      </c>
    </row>
    <row r="146" spans="1:8" s="18" customFormat="1" ht="12" customHeight="1" x14ac:dyDescent="0.2">
      <c r="A146" s="38"/>
      <c r="B146" s="28"/>
      <c r="C146" s="130">
        <v>4710</v>
      </c>
      <c r="D146" s="402" t="s">
        <v>80</v>
      </c>
      <c r="E146" s="46">
        <v>20000</v>
      </c>
      <c r="F146" s="45"/>
      <c r="G146" s="45">
        <v>17500</v>
      </c>
      <c r="H146" s="46">
        <f t="shared" si="41"/>
        <v>2500</v>
      </c>
    </row>
    <row r="147" spans="1:8" s="18" customFormat="1" ht="12" customHeight="1" x14ac:dyDescent="0.2">
      <c r="A147" s="153">
        <v>754</v>
      </c>
      <c r="B147" s="154"/>
      <c r="C147" s="155"/>
      <c r="D147" s="156" t="s">
        <v>93</v>
      </c>
      <c r="E147" s="157"/>
      <c r="F147" s="158"/>
      <c r="G147" s="158"/>
      <c r="H147" s="159"/>
    </row>
    <row r="148" spans="1:8" s="18" customFormat="1" ht="12" customHeight="1" thickBot="1" x14ac:dyDescent="0.25">
      <c r="A148" s="153"/>
      <c r="B148" s="154"/>
      <c r="C148" s="155"/>
      <c r="D148" s="156" t="s">
        <v>43</v>
      </c>
      <c r="E148" s="32">
        <v>6641236.1699999999</v>
      </c>
      <c r="F148" s="37">
        <f>SUM(F149,F167)</f>
        <v>39931</v>
      </c>
      <c r="G148" s="37">
        <f>SUM(G149,G167)</f>
        <v>39931</v>
      </c>
      <c r="H148" s="32">
        <f>SUM(E148+F148-G148)</f>
        <v>6641236.1699999999</v>
      </c>
    </row>
    <row r="149" spans="1:8" s="18" customFormat="1" ht="12" customHeight="1" thickTop="1" x14ac:dyDescent="0.2">
      <c r="A149" s="153"/>
      <c r="B149" s="135">
        <v>75416</v>
      </c>
      <c r="C149" s="49"/>
      <c r="D149" s="106" t="s">
        <v>417</v>
      </c>
      <c r="E149" s="39">
        <v>5644391</v>
      </c>
      <c r="F149" s="40">
        <f>SUM(F150,F159)</f>
        <v>34931</v>
      </c>
      <c r="G149" s="40">
        <f>SUM(G150,G159)</f>
        <v>34931</v>
      </c>
      <c r="H149" s="39">
        <f>SUM(E149+F149-G149)</f>
        <v>5644391</v>
      </c>
    </row>
    <row r="150" spans="1:8" s="18" customFormat="1" ht="12" customHeight="1" x14ac:dyDescent="0.2">
      <c r="A150" s="153"/>
      <c r="B150" s="135"/>
      <c r="C150" s="49"/>
      <c r="D150" s="406" t="s">
        <v>373</v>
      </c>
      <c r="E150" s="42">
        <v>4424802</v>
      </c>
      <c r="F150" s="108">
        <f>SUM(F151:F158)</f>
        <v>24123</v>
      </c>
      <c r="G150" s="108">
        <f>SUM(G151:G158)</f>
        <v>24123</v>
      </c>
      <c r="H150" s="43">
        <f>SUM(E150+F150-G150)</f>
        <v>4424802</v>
      </c>
    </row>
    <row r="151" spans="1:8" s="18" customFormat="1" ht="12" customHeight="1" x14ac:dyDescent="0.2">
      <c r="A151" s="153"/>
      <c r="B151" s="135"/>
      <c r="C151" s="50">
        <v>4010</v>
      </c>
      <c r="D151" s="44" t="s">
        <v>90</v>
      </c>
      <c r="E151" s="46">
        <v>2780871</v>
      </c>
      <c r="F151" s="45">
        <v>14563</v>
      </c>
      <c r="G151" s="45"/>
      <c r="H151" s="46">
        <f t="shared" ref="H151:H166" si="42">SUM(E151+F151-G151)</f>
        <v>2795434</v>
      </c>
    </row>
    <row r="152" spans="1:8" s="18" customFormat="1" ht="12" customHeight="1" x14ac:dyDescent="0.2">
      <c r="A152" s="153"/>
      <c r="B152" s="135"/>
      <c r="C152" s="50">
        <v>4040</v>
      </c>
      <c r="D152" s="44" t="s">
        <v>106</v>
      </c>
      <c r="E152" s="46">
        <v>200065</v>
      </c>
      <c r="F152" s="45"/>
      <c r="G152" s="45">
        <v>14563</v>
      </c>
      <c r="H152" s="46">
        <f t="shared" si="42"/>
        <v>185502</v>
      </c>
    </row>
    <row r="153" spans="1:8" s="18" customFormat="1" ht="12" customHeight="1" x14ac:dyDescent="0.2">
      <c r="A153" s="153"/>
      <c r="B153" s="28"/>
      <c r="C153" s="50">
        <v>4260</v>
      </c>
      <c r="D153" s="44" t="s">
        <v>68</v>
      </c>
      <c r="E153" s="407">
        <v>42000</v>
      </c>
      <c r="F153" s="407">
        <v>8792</v>
      </c>
      <c r="G153" s="407"/>
      <c r="H153" s="47">
        <f t="shared" si="42"/>
        <v>50792</v>
      </c>
    </row>
    <row r="154" spans="1:8" s="18" customFormat="1" ht="12" customHeight="1" x14ac:dyDescent="0.2">
      <c r="A154" s="153"/>
      <c r="B154" s="28"/>
      <c r="C154" s="130">
        <v>4360</v>
      </c>
      <c r="D154" s="403" t="s">
        <v>71</v>
      </c>
      <c r="E154" s="407">
        <v>20085</v>
      </c>
      <c r="F154" s="407"/>
      <c r="G154" s="407">
        <v>1000</v>
      </c>
      <c r="H154" s="47">
        <f t="shared" si="42"/>
        <v>19085</v>
      </c>
    </row>
    <row r="155" spans="1:8" s="18" customFormat="1" ht="12" customHeight="1" x14ac:dyDescent="0.2">
      <c r="A155" s="153"/>
      <c r="B155" s="28"/>
      <c r="C155" s="50">
        <v>4410</v>
      </c>
      <c r="D155" s="148" t="s">
        <v>84</v>
      </c>
      <c r="E155" s="407">
        <v>3150</v>
      </c>
      <c r="F155" s="407"/>
      <c r="G155" s="407">
        <v>1000</v>
      </c>
      <c r="H155" s="47">
        <f t="shared" si="42"/>
        <v>2150</v>
      </c>
    </row>
    <row r="156" spans="1:8" s="18" customFormat="1" ht="12" customHeight="1" x14ac:dyDescent="0.2">
      <c r="A156" s="153"/>
      <c r="B156" s="154"/>
      <c r="C156" s="50">
        <v>4440</v>
      </c>
      <c r="D156" s="44" t="s">
        <v>144</v>
      </c>
      <c r="E156" s="46">
        <v>90949</v>
      </c>
      <c r="F156" s="45">
        <v>768</v>
      </c>
      <c r="G156" s="45"/>
      <c r="H156" s="47">
        <f t="shared" si="42"/>
        <v>91717</v>
      </c>
    </row>
    <row r="157" spans="1:8" s="18" customFormat="1" ht="12" customHeight="1" x14ac:dyDescent="0.2">
      <c r="A157" s="153"/>
      <c r="B157" s="154"/>
      <c r="C157" s="50">
        <v>4610</v>
      </c>
      <c r="D157" s="140" t="s">
        <v>75</v>
      </c>
      <c r="E157" s="46">
        <v>810</v>
      </c>
      <c r="F157" s="45"/>
      <c r="G157" s="45">
        <v>710</v>
      </c>
      <c r="H157" s="47">
        <f t="shared" si="42"/>
        <v>100</v>
      </c>
    </row>
    <row r="158" spans="1:8" s="18" customFormat="1" ht="12" customHeight="1" x14ac:dyDescent="0.2">
      <c r="A158" s="153"/>
      <c r="B158" s="154"/>
      <c r="C158" s="50">
        <v>4710</v>
      </c>
      <c r="D158" s="148" t="s">
        <v>80</v>
      </c>
      <c r="E158" s="46">
        <v>15600</v>
      </c>
      <c r="F158" s="45"/>
      <c r="G158" s="45">
        <v>6850</v>
      </c>
      <c r="H158" s="47">
        <f t="shared" si="42"/>
        <v>8750</v>
      </c>
    </row>
    <row r="159" spans="1:8" s="18" customFormat="1" ht="12" customHeight="1" x14ac:dyDescent="0.2">
      <c r="A159" s="153"/>
      <c r="B159" s="150"/>
      <c r="C159" s="408"/>
      <c r="D159" s="409" t="s">
        <v>418</v>
      </c>
      <c r="E159" s="43">
        <v>854589</v>
      </c>
      <c r="F159" s="108">
        <f>SUM(F160:F166)</f>
        <v>10808</v>
      </c>
      <c r="G159" s="108">
        <f>SUM(G160:G166)</f>
        <v>10808</v>
      </c>
      <c r="H159" s="42">
        <f>SUM(E159+F159-G159)</f>
        <v>854589</v>
      </c>
    </row>
    <row r="160" spans="1:8" s="18" customFormat="1" ht="12" customHeight="1" x14ac:dyDescent="0.2">
      <c r="A160" s="153"/>
      <c r="B160" s="150"/>
      <c r="C160" s="50">
        <v>4010</v>
      </c>
      <c r="D160" s="44" t="s">
        <v>90</v>
      </c>
      <c r="E160" s="46">
        <v>495087</v>
      </c>
      <c r="F160" s="45">
        <v>2277</v>
      </c>
      <c r="G160" s="45"/>
      <c r="H160" s="46">
        <f t="shared" si="42"/>
        <v>497364</v>
      </c>
    </row>
    <row r="161" spans="1:8" s="18" customFormat="1" ht="12" customHeight="1" x14ac:dyDescent="0.2">
      <c r="A161" s="153"/>
      <c r="B161" s="150"/>
      <c r="C161" s="50">
        <v>4040</v>
      </c>
      <c r="D161" s="44" t="s">
        <v>106</v>
      </c>
      <c r="E161" s="46">
        <v>35890</v>
      </c>
      <c r="F161" s="45"/>
      <c r="G161" s="45">
        <v>2277</v>
      </c>
      <c r="H161" s="46">
        <f t="shared" si="42"/>
        <v>33613</v>
      </c>
    </row>
    <row r="162" spans="1:8" s="18" customFormat="1" ht="12" customHeight="1" x14ac:dyDescent="0.2">
      <c r="A162" s="153"/>
      <c r="B162" s="28"/>
      <c r="C162" s="50">
        <v>4260</v>
      </c>
      <c r="D162" s="44" t="s">
        <v>68</v>
      </c>
      <c r="E162" s="407">
        <v>52200</v>
      </c>
      <c r="F162" s="407">
        <v>7372</v>
      </c>
      <c r="G162" s="407"/>
      <c r="H162" s="47">
        <f t="shared" si="42"/>
        <v>59572</v>
      </c>
    </row>
    <row r="163" spans="1:8" s="18" customFormat="1" ht="12" customHeight="1" x14ac:dyDescent="0.2">
      <c r="A163" s="153"/>
      <c r="B163" s="154"/>
      <c r="C163" s="410">
        <v>4360</v>
      </c>
      <c r="D163" s="411" t="s">
        <v>71</v>
      </c>
      <c r="E163" s="46">
        <v>19356</v>
      </c>
      <c r="F163" s="45"/>
      <c r="G163" s="45">
        <v>5000</v>
      </c>
      <c r="H163" s="47">
        <f t="shared" si="42"/>
        <v>14356</v>
      </c>
    </row>
    <row r="164" spans="1:8" s="18" customFormat="1" ht="12" customHeight="1" x14ac:dyDescent="0.2">
      <c r="A164" s="153"/>
      <c r="B164" s="154"/>
      <c r="C164" s="50">
        <v>4440</v>
      </c>
      <c r="D164" s="44" t="s">
        <v>144</v>
      </c>
      <c r="E164" s="46">
        <v>19120</v>
      </c>
      <c r="F164" s="45">
        <v>1159</v>
      </c>
      <c r="G164" s="45"/>
      <c r="H164" s="47">
        <f t="shared" si="42"/>
        <v>20279</v>
      </c>
    </row>
    <row r="165" spans="1:8" s="18" customFormat="1" ht="24" customHeight="1" x14ac:dyDescent="0.2">
      <c r="A165" s="153"/>
      <c r="B165" s="154"/>
      <c r="C165" s="130">
        <v>4700</v>
      </c>
      <c r="D165" s="186" t="s">
        <v>79</v>
      </c>
      <c r="E165" s="46">
        <v>810</v>
      </c>
      <c r="F165" s="45"/>
      <c r="G165" s="45">
        <v>381</v>
      </c>
      <c r="H165" s="47">
        <f t="shared" si="42"/>
        <v>429</v>
      </c>
    </row>
    <row r="166" spans="1:8" s="18" customFormat="1" ht="12" customHeight="1" x14ac:dyDescent="0.2">
      <c r="A166" s="153"/>
      <c r="B166" s="154"/>
      <c r="C166" s="50">
        <v>4710</v>
      </c>
      <c r="D166" s="148" t="s">
        <v>80</v>
      </c>
      <c r="E166" s="46">
        <v>3150</v>
      </c>
      <c r="F166" s="45"/>
      <c r="G166" s="45">
        <v>3150</v>
      </c>
      <c r="H166" s="47">
        <f t="shared" si="42"/>
        <v>0</v>
      </c>
    </row>
    <row r="167" spans="1:8" s="18" customFormat="1" ht="12" customHeight="1" x14ac:dyDescent="0.2">
      <c r="A167" s="27"/>
      <c r="B167" s="28" t="s">
        <v>44</v>
      </c>
      <c r="C167" s="50"/>
      <c r="D167" s="48" t="s">
        <v>45</v>
      </c>
      <c r="E167" s="39">
        <v>146845.17000000001</v>
      </c>
      <c r="F167" s="40">
        <f>SUM(F168)</f>
        <v>5000</v>
      </c>
      <c r="G167" s="40">
        <f>SUM(G168)</f>
        <v>5000</v>
      </c>
      <c r="H167" s="39">
        <f>SUM(E167+F167-G167)</f>
        <v>146845.17000000001</v>
      </c>
    </row>
    <row r="168" spans="1:8" s="18" customFormat="1" ht="12" customHeight="1" x14ac:dyDescent="0.2">
      <c r="A168" s="27"/>
      <c r="B168" s="28"/>
      <c r="C168" s="41"/>
      <c r="D168" s="10" t="s">
        <v>46</v>
      </c>
      <c r="E168" s="42">
        <v>48010</v>
      </c>
      <c r="F168" s="42">
        <f>SUM(F169:F170)</f>
        <v>5000</v>
      </c>
      <c r="G168" s="42">
        <f>SUM(G169:G170)</f>
        <v>5000</v>
      </c>
      <c r="H168" s="43">
        <f>SUM(E168+F168-G168)</f>
        <v>48010</v>
      </c>
    </row>
    <row r="169" spans="1:8" s="18" customFormat="1" ht="12" customHeight="1" x14ac:dyDescent="0.2">
      <c r="A169" s="27"/>
      <c r="B169" s="28"/>
      <c r="C169" s="152" t="s">
        <v>22</v>
      </c>
      <c r="D169" s="148" t="s">
        <v>89</v>
      </c>
      <c r="E169" s="46">
        <v>5000</v>
      </c>
      <c r="F169" s="46"/>
      <c r="G169" s="46">
        <v>5000</v>
      </c>
      <c r="H169" s="47">
        <f t="shared" ref="H169:H171" si="43">SUM(E169+F169-G169)</f>
        <v>0</v>
      </c>
    </row>
    <row r="170" spans="1:8" s="18" customFormat="1" ht="12" customHeight="1" x14ac:dyDescent="0.2">
      <c r="A170" s="412"/>
      <c r="B170" s="413"/>
      <c r="C170" s="146">
        <v>4300</v>
      </c>
      <c r="D170" s="48" t="s">
        <v>70</v>
      </c>
      <c r="E170" s="51">
        <v>5000</v>
      </c>
      <c r="F170" s="51">
        <v>5000</v>
      </c>
      <c r="G170" s="51"/>
      <c r="H170" s="39">
        <f t="shared" si="43"/>
        <v>10000</v>
      </c>
    </row>
    <row r="171" spans="1:8" s="18" customFormat="1" ht="12" customHeight="1" thickBot="1" x14ac:dyDescent="0.25">
      <c r="A171" s="414">
        <v>757</v>
      </c>
      <c r="B171" s="133"/>
      <c r="C171" s="112"/>
      <c r="D171" s="112" t="s">
        <v>419</v>
      </c>
      <c r="E171" s="32">
        <v>23807680.84</v>
      </c>
      <c r="F171" s="37">
        <f>SUM(F174)</f>
        <v>126000</v>
      </c>
      <c r="G171" s="37">
        <f>SUM(G174)</f>
        <v>126000</v>
      </c>
      <c r="H171" s="32">
        <f t="shared" si="43"/>
        <v>23807680.84</v>
      </c>
    </row>
    <row r="172" spans="1:8" s="18" customFormat="1" ht="12" customHeight="1" thickTop="1" x14ac:dyDescent="0.2">
      <c r="A172" s="133"/>
      <c r="B172" s="133">
        <v>75702</v>
      </c>
      <c r="C172" s="135"/>
      <c r="D172" s="135" t="s">
        <v>420</v>
      </c>
      <c r="E172" s="415"/>
      <c r="F172" s="46"/>
      <c r="G172" s="46"/>
      <c r="H172" s="46"/>
    </row>
    <row r="173" spans="1:8" s="18" customFormat="1" ht="12" customHeight="1" x14ac:dyDescent="0.2">
      <c r="A173" s="133"/>
      <c r="B173" s="133"/>
      <c r="C173" s="135"/>
      <c r="D173" s="135" t="s">
        <v>421</v>
      </c>
      <c r="E173" s="415"/>
      <c r="F173" s="46"/>
      <c r="G173" s="46"/>
      <c r="H173" s="46"/>
    </row>
    <row r="174" spans="1:8" s="18" customFormat="1" ht="12" customHeight="1" x14ac:dyDescent="0.2">
      <c r="A174" s="119"/>
      <c r="B174" s="133"/>
      <c r="C174" s="135"/>
      <c r="D174" s="136" t="s">
        <v>422</v>
      </c>
      <c r="E174" s="39">
        <v>23807680.84</v>
      </c>
      <c r="F174" s="40">
        <f>SUM(F175)</f>
        <v>126000</v>
      </c>
      <c r="G174" s="40">
        <f>SUM(G175)</f>
        <v>126000</v>
      </c>
      <c r="H174" s="39">
        <f t="shared" ref="H174" si="44">SUM(E174+F174-G174)</f>
        <v>23807680.84</v>
      </c>
    </row>
    <row r="175" spans="1:8" s="18" customFormat="1" ht="12" customHeight="1" x14ac:dyDescent="0.2">
      <c r="A175" s="416"/>
      <c r="B175" s="417"/>
      <c r="C175" s="150"/>
      <c r="D175" s="406" t="s">
        <v>423</v>
      </c>
      <c r="E175" s="43">
        <v>23727680.84</v>
      </c>
      <c r="F175" s="43">
        <f>SUM(F176:F177)</f>
        <v>126000</v>
      </c>
      <c r="G175" s="43">
        <f>SUM(G176:G177)</f>
        <v>126000</v>
      </c>
      <c r="H175" s="43">
        <f>SUM(E175+F175-G175)</f>
        <v>23727680.84</v>
      </c>
    </row>
    <row r="176" spans="1:8" s="18" customFormat="1" ht="22.5" customHeight="1" x14ac:dyDescent="0.2">
      <c r="A176" s="416"/>
      <c r="B176" s="417"/>
      <c r="C176" s="418">
        <v>8090</v>
      </c>
      <c r="D176" s="419" t="s">
        <v>424</v>
      </c>
      <c r="E176" s="46">
        <v>70000</v>
      </c>
      <c r="F176" s="46">
        <v>126000</v>
      </c>
      <c r="G176" s="46"/>
      <c r="H176" s="46">
        <f t="shared" ref="H176:H177" si="45">SUM(E176+F176-G176)</f>
        <v>196000</v>
      </c>
    </row>
    <row r="177" spans="1:8" s="18" customFormat="1" ht="33.75" customHeight="1" x14ac:dyDescent="0.2">
      <c r="A177" s="19"/>
      <c r="B177" s="133"/>
      <c r="C177" s="130">
        <v>8110</v>
      </c>
      <c r="D177" s="115" t="s">
        <v>425</v>
      </c>
      <c r="E177" s="46">
        <v>23657680.84</v>
      </c>
      <c r="F177" s="46"/>
      <c r="G177" s="46">
        <v>126000</v>
      </c>
      <c r="H177" s="46">
        <f t="shared" si="45"/>
        <v>23531680.84</v>
      </c>
    </row>
    <row r="178" spans="1:8" s="18" customFormat="1" ht="12" customHeight="1" thickBot="1" x14ac:dyDescent="0.25">
      <c r="A178" s="34">
        <v>758</v>
      </c>
      <c r="B178" s="34"/>
      <c r="C178" s="35"/>
      <c r="D178" s="36" t="s">
        <v>47</v>
      </c>
      <c r="E178" s="32">
        <v>16221054.720000001</v>
      </c>
      <c r="F178" s="37">
        <f>SUM(F179)</f>
        <v>0</v>
      </c>
      <c r="G178" s="37">
        <f>SUM(G179)</f>
        <v>2825000</v>
      </c>
      <c r="H178" s="32">
        <f>SUM(E178+F178-G178)</f>
        <v>13396054.720000001</v>
      </c>
    </row>
    <row r="179" spans="1:8" s="18" customFormat="1" ht="12" customHeight="1" thickTop="1" x14ac:dyDescent="0.2">
      <c r="A179" s="105"/>
      <c r="B179" s="38">
        <v>75818</v>
      </c>
      <c r="C179" s="28"/>
      <c r="D179" s="125" t="s">
        <v>96</v>
      </c>
      <c r="E179" s="39">
        <v>16221054.720000001</v>
      </c>
      <c r="F179" s="40">
        <f>SUM(F180)</f>
        <v>0</v>
      </c>
      <c r="G179" s="40">
        <f>SUM(G180)</f>
        <v>2825000</v>
      </c>
      <c r="H179" s="39">
        <f>SUM(E179+F179-G179)</f>
        <v>13396054.720000001</v>
      </c>
    </row>
    <row r="180" spans="1:8" s="18" customFormat="1" ht="12" customHeight="1" x14ac:dyDescent="0.2">
      <c r="A180" s="105"/>
      <c r="B180" s="38"/>
      <c r="C180" s="28" t="s">
        <v>97</v>
      </c>
      <c r="D180" s="121" t="s">
        <v>98</v>
      </c>
      <c r="E180" s="160">
        <v>13979238.41</v>
      </c>
      <c r="F180" s="160">
        <f>SUM(F181:F182)</f>
        <v>0</v>
      </c>
      <c r="G180" s="160">
        <f>SUM(G181:G182)</f>
        <v>2825000</v>
      </c>
      <c r="H180" s="160">
        <f>SUM(E180+F180-G180)</f>
        <v>11154238.41</v>
      </c>
    </row>
    <row r="181" spans="1:8" s="18" customFormat="1" ht="12" customHeight="1" x14ac:dyDescent="0.2">
      <c r="A181" s="105"/>
      <c r="B181" s="38"/>
      <c r="C181" s="28"/>
      <c r="D181" s="148" t="s">
        <v>426</v>
      </c>
      <c r="E181" s="45">
        <v>1573206.87</v>
      </c>
      <c r="F181" s="46"/>
      <c r="G181" s="46">
        <f>1100000+95000+150000</f>
        <v>1345000</v>
      </c>
      <c r="H181" s="46">
        <f>SUM(E181+F181-G181)</f>
        <v>228206.87000000011</v>
      </c>
    </row>
    <row r="182" spans="1:8" s="18" customFormat="1" ht="12" customHeight="1" x14ac:dyDescent="0.2">
      <c r="A182" s="105"/>
      <c r="B182" s="38"/>
      <c r="C182" s="28"/>
      <c r="D182" s="148" t="s">
        <v>99</v>
      </c>
      <c r="E182" s="46">
        <v>12406031.539999999</v>
      </c>
      <c r="F182" s="46"/>
      <c r="G182" s="46">
        <v>1480000</v>
      </c>
      <c r="H182" s="46">
        <f t="shared" ref="H182" si="46">SUM(E182+F182-G182)</f>
        <v>10926031.539999999</v>
      </c>
    </row>
    <row r="183" spans="1:8" s="18" customFormat="1" ht="12" customHeight="1" thickBot="1" x14ac:dyDescent="0.25">
      <c r="A183" s="34">
        <v>801</v>
      </c>
      <c r="B183" s="34"/>
      <c r="C183" s="35"/>
      <c r="D183" s="36" t="s">
        <v>100</v>
      </c>
      <c r="E183" s="32">
        <v>312992111.36999995</v>
      </c>
      <c r="F183" s="37">
        <f>SUM(F184,F212,F224,F227,F251,F259,F262,F267,F272,F297,F300,F318,F339,F345,F354,F359,F368,F380,F387,F392,F404,F407)</f>
        <v>2469919.38</v>
      </c>
      <c r="G183" s="37">
        <f>SUM(G184,G212,G224,G227,G251,G259,G262,G267,G272,G297,G300,G318,G339,G345,G354,G359,G368,G380,G387,G392,G404,G407)</f>
        <v>548215.05000000005</v>
      </c>
      <c r="H183" s="32">
        <f>SUM(E183+F183-G183)</f>
        <v>314913815.69999993</v>
      </c>
    </row>
    <row r="184" spans="1:8" s="18" customFormat="1" ht="12" customHeight="1" thickTop="1" x14ac:dyDescent="0.2">
      <c r="A184" s="34"/>
      <c r="B184" s="38">
        <v>80101</v>
      </c>
      <c r="C184" s="28"/>
      <c r="D184" s="48" t="s">
        <v>101</v>
      </c>
      <c r="E184" s="39">
        <v>85597580.219999999</v>
      </c>
      <c r="F184" s="40">
        <f>SUM(F185,F188,F203,F210)</f>
        <v>451537.83999999997</v>
      </c>
      <c r="G184" s="40">
        <f>SUM(G185,G188,G203,G210)</f>
        <v>103133</v>
      </c>
      <c r="H184" s="39">
        <f>SUM(E184+F184-G184)</f>
        <v>85945985.060000002</v>
      </c>
    </row>
    <row r="185" spans="1:8" s="18" customFormat="1" ht="12" customHeight="1" x14ac:dyDescent="0.2">
      <c r="A185" s="34"/>
      <c r="B185" s="38"/>
      <c r="C185" s="28"/>
      <c r="D185" s="10" t="s">
        <v>102</v>
      </c>
      <c r="E185" s="42">
        <v>8302397.5199999996</v>
      </c>
      <c r="F185" s="42">
        <f>SUM(F186:F187)</f>
        <v>100000</v>
      </c>
      <c r="G185" s="42">
        <f>SUM(G186:G187)</f>
        <v>0</v>
      </c>
      <c r="H185" s="42">
        <f t="shared" ref="H185:H187" si="47">SUM(E185+F185-G185)</f>
        <v>8402397.5199999996</v>
      </c>
    </row>
    <row r="186" spans="1:8" s="18" customFormat="1" ht="21.75" customHeight="1" x14ac:dyDescent="0.2">
      <c r="A186" s="34"/>
      <c r="B186" s="38"/>
      <c r="C186" s="130">
        <v>2540</v>
      </c>
      <c r="D186" s="131" t="s">
        <v>103</v>
      </c>
      <c r="E186" s="116">
        <v>2539563.79</v>
      </c>
      <c r="F186" s="116">
        <v>50000</v>
      </c>
      <c r="G186" s="116"/>
      <c r="H186" s="116">
        <f t="shared" si="47"/>
        <v>2589563.79</v>
      </c>
    </row>
    <row r="187" spans="1:8" s="18" customFormat="1" ht="39" customHeight="1" x14ac:dyDescent="0.2">
      <c r="A187" s="34"/>
      <c r="B187" s="38"/>
      <c r="C187" s="130">
        <v>2590</v>
      </c>
      <c r="D187" s="161" t="s">
        <v>104</v>
      </c>
      <c r="E187" s="46">
        <v>5738035.8799999999</v>
      </c>
      <c r="F187" s="46">
        <v>50000</v>
      </c>
      <c r="G187" s="46"/>
      <c r="H187" s="45">
        <f t="shared" si="47"/>
        <v>5788035.8799999999</v>
      </c>
    </row>
    <row r="188" spans="1:8" s="18" customFormat="1" ht="12" customHeight="1" x14ac:dyDescent="0.2">
      <c r="A188" s="34"/>
      <c r="B188" s="38"/>
      <c r="C188" s="28"/>
      <c r="D188" s="107" t="s">
        <v>105</v>
      </c>
      <c r="E188" s="42">
        <v>75307954.879999995</v>
      </c>
      <c r="F188" s="42">
        <f>SUM(F189:F202)</f>
        <v>82138</v>
      </c>
      <c r="G188" s="42">
        <f>SUM(G189:G202)</f>
        <v>85383</v>
      </c>
      <c r="H188" s="43">
        <f>SUM(E188+F188-G188)</f>
        <v>75304709.879999995</v>
      </c>
    </row>
    <row r="189" spans="1:8" s="18" customFormat="1" ht="12" customHeight="1" x14ac:dyDescent="0.2">
      <c r="A189" s="34"/>
      <c r="B189" s="38"/>
      <c r="C189" s="50">
        <v>3020</v>
      </c>
      <c r="D189" s="44" t="s">
        <v>76</v>
      </c>
      <c r="E189" s="46">
        <v>493075</v>
      </c>
      <c r="F189" s="46"/>
      <c r="G189" s="46">
        <v>25344</v>
      </c>
      <c r="H189" s="47">
        <f t="shared" ref="H189:H202" si="48">SUM(E189+F189-G189)</f>
        <v>467731</v>
      </c>
    </row>
    <row r="190" spans="1:8" s="18" customFormat="1" ht="12" customHeight="1" x14ac:dyDescent="0.2">
      <c r="A190" s="34"/>
      <c r="B190" s="38"/>
      <c r="C190" s="50">
        <v>4010</v>
      </c>
      <c r="D190" s="44" t="s">
        <v>90</v>
      </c>
      <c r="E190" s="46">
        <v>9345023</v>
      </c>
      <c r="F190" s="46">
        <v>5838</v>
      </c>
      <c r="G190" s="46"/>
      <c r="H190" s="47">
        <f t="shared" si="48"/>
        <v>9350861</v>
      </c>
    </row>
    <row r="191" spans="1:8" s="18" customFormat="1" ht="12" customHeight="1" x14ac:dyDescent="0.2">
      <c r="A191" s="34"/>
      <c r="B191" s="38"/>
      <c r="C191" s="50">
        <v>4110</v>
      </c>
      <c r="D191" s="44" t="s">
        <v>91</v>
      </c>
      <c r="E191" s="46">
        <v>9128335.9399999995</v>
      </c>
      <c r="F191" s="46"/>
      <c r="G191" s="46">
        <v>12104</v>
      </c>
      <c r="H191" s="47">
        <f t="shared" si="48"/>
        <v>9116231.9399999995</v>
      </c>
    </row>
    <row r="192" spans="1:8" s="18" customFormat="1" ht="12" customHeight="1" x14ac:dyDescent="0.2">
      <c r="A192" s="34"/>
      <c r="B192" s="38"/>
      <c r="C192" s="50">
        <v>4120</v>
      </c>
      <c r="D192" s="44" t="s">
        <v>126</v>
      </c>
      <c r="E192" s="46">
        <v>1269853.4099999999</v>
      </c>
      <c r="F192" s="46"/>
      <c r="G192" s="46">
        <v>18585</v>
      </c>
      <c r="H192" s="47">
        <f t="shared" si="48"/>
        <v>1251268.4099999999</v>
      </c>
    </row>
    <row r="193" spans="1:8" s="18" customFormat="1" ht="19.899999999999999" customHeight="1" x14ac:dyDescent="0.2">
      <c r="A193" s="34"/>
      <c r="B193" s="38"/>
      <c r="C193" s="162">
        <v>4140</v>
      </c>
      <c r="D193" s="186" t="s">
        <v>107</v>
      </c>
      <c r="E193" s="46">
        <v>30741</v>
      </c>
      <c r="F193" s="46">
        <v>1374</v>
      </c>
      <c r="G193" s="46"/>
      <c r="H193" s="47">
        <f t="shared" si="48"/>
        <v>32115</v>
      </c>
    </row>
    <row r="194" spans="1:8" s="18" customFormat="1" ht="12" customHeight="1" x14ac:dyDescent="0.2">
      <c r="A194" s="34"/>
      <c r="B194" s="38"/>
      <c r="C194" s="152" t="s">
        <v>22</v>
      </c>
      <c r="D194" s="148" t="s">
        <v>89</v>
      </c>
      <c r="E194" s="46">
        <v>661695</v>
      </c>
      <c r="F194" s="46">
        <f>8626+4700</f>
        <v>13326</v>
      </c>
      <c r="G194" s="46"/>
      <c r="H194" s="47">
        <f t="shared" si="48"/>
        <v>675021</v>
      </c>
    </row>
    <row r="195" spans="1:8" s="18" customFormat="1" ht="12" customHeight="1" x14ac:dyDescent="0.2">
      <c r="A195" s="34"/>
      <c r="B195" s="38"/>
      <c r="C195" s="130">
        <v>4220</v>
      </c>
      <c r="D195" s="403" t="s">
        <v>161</v>
      </c>
      <c r="E195" s="46">
        <v>7700</v>
      </c>
      <c r="F195" s="46"/>
      <c r="G195" s="46">
        <v>2000</v>
      </c>
      <c r="H195" s="47">
        <f t="shared" si="48"/>
        <v>5700</v>
      </c>
    </row>
    <row r="196" spans="1:8" s="18" customFormat="1" ht="12" customHeight="1" x14ac:dyDescent="0.2">
      <c r="A196" s="34"/>
      <c r="B196" s="38"/>
      <c r="C196" s="50">
        <v>4240</v>
      </c>
      <c r="D196" s="44" t="s">
        <v>108</v>
      </c>
      <c r="E196" s="45">
        <v>492666</v>
      </c>
      <c r="F196" s="45">
        <v>8750</v>
      </c>
      <c r="G196" s="45">
        <v>5600</v>
      </c>
      <c r="H196" s="47">
        <f t="shared" si="48"/>
        <v>495816</v>
      </c>
    </row>
    <row r="197" spans="1:8" s="18" customFormat="1" ht="12" customHeight="1" x14ac:dyDescent="0.2">
      <c r="A197" s="34"/>
      <c r="B197" s="38"/>
      <c r="C197" s="50">
        <v>4260</v>
      </c>
      <c r="D197" s="44" t="s">
        <v>68</v>
      </c>
      <c r="E197" s="45">
        <v>4409815</v>
      </c>
      <c r="F197" s="45">
        <v>29800</v>
      </c>
      <c r="G197" s="45"/>
      <c r="H197" s="47">
        <f t="shared" si="48"/>
        <v>4439615</v>
      </c>
    </row>
    <row r="198" spans="1:8" s="18" customFormat="1" ht="12" customHeight="1" x14ac:dyDescent="0.2">
      <c r="A198" s="34"/>
      <c r="B198" s="38"/>
      <c r="C198" s="50">
        <v>4270</v>
      </c>
      <c r="D198" s="44" t="s">
        <v>69</v>
      </c>
      <c r="E198" s="45">
        <v>229828</v>
      </c>
      <c r="F198" s="45"/>
      <c r="G198" s="45">
        <f>8000+1700</f>
        <v>9700</v>
      </c>
      <c r="H198" s="47">
        <f t="shared" si="48"/>
        <v>220128</v>
      </c>
    </row>
    <row r="199" spans="1:8" s="18" customFormat="1" ht="12" customHeight="1" x14ac:dyDescent="0.2">
      <c r="A199" s="34"/>
      <c r="B199" s="38"/>
      <c r="C199" s="50">
        <v>4280</v>
      </c>
      <c r="D199" s="44" t="s">
        <v>77</v>
      </c>
      <c r="E199" s="45">
        <v>67177</v>
      </c>
      <c r="F199" s="45">
        <v>3150</v>
      </c>
      <c r="G199" s="45"/>
      <c r="H199" s="47">
        <f t="shared" si="48"/>
        <v>70327</v>
      </c>
    </row>
    <row r="200" spans="1:8" s="18" customFormat="1" ht="12" customHeight="1" x14ac:dyDescent="0.2">
      <c r="A200" s="34"/>
      <c r="B200" s="38"/>
      <c r="C200" s="38">
        <v>4300</v>
      </c>
      <c r="D200" s="44" t="s">
        <v>70</v>
      </c>
      <c r="E200" s="45">
        <v>848352</v>
      </c>
      <c r="F200" s="45">
        <v>19900</v>
      </c>
      <c r="G200" s="45">
        <v>4000</v>
      </c>
      <c r="H200" s="47">
        <f t="shared" si="48"/>
        <v>864252</v>
      </c>
    </row>
    <row r="201" spans="1:8" s="18" customFormat="1" ht="12" customHeight="1" x14ac:dyDescent="0.2">
      <c r="A201" s="34"/>
      <c r="B201" s="38"/>
      <c r="C201" s="130">
        <v>4430</v>
      </c>
      <c r="D201" s="403" t="s">
        <v>73</v>
      </c>
      <c r="E201" s="45">
        <v>8232</v>
      </c>
      <c r="F201" s="45"/>
      <c r="G201" s="45">
        <v>245</v>
      </c>
      <c r="H201" s="47">
        <f t="shared" si="48"/>
        <v>7987</v>
      </c>
    </row>
    <row r="202" spans="1:8" s="18" customFormat="1" ht="12" customHeight="1" x14ac:dyDescent="0.2">
      <c r="A202" s="34"/>
      <c r="B202" s="38"/>
      <c r="C202" s="50">
        <v>4710</v>
      </c>
      <c r="D202" s="148" t="s">
        <v>80</v>
      </c>
      <c r="E202" s="45">
        <v>116949.18</v>
      </c>
      <c r="F202" s="45"/>
      <c r="G202" s="45">
        <v>7805</v>
      </c>
      <c r="H202" s="47">
        <f t="shared" si="48"/>
        <v>109144.18</v>
      </c>
    </row>
    <row r="203" spans="1:8" s="18" customFormat="1" ht="23.1" customHeight="1" x14ac:dyDescent="0.2">
      <c r="A203" s="34"/>
      <c r="B203" s="38"/>
      <c r="C203" s="28"/>
      <c r="D203" s="120" t="s">
        <v>110</v>
      </c>
      <c r="E203" s="42">
        <v>1018750.28</v>
      </c>
      <c r="F203" s="42">
        <f>SUM(F204:F209)</f>
        <v>174399.84</v>
      </c>
      <c r="G203" s="42">
        <f>SUM(G204:G209)</f>
        <v>17750</v>
      </c>
      <c r="H203" s="43">
        <f>SUM(E203+F203-G203)</f>
        <v>1175400.1200000001</v>
      </c>
    </row>
    <row r="204" spans="1:8" s="18" customFormat="1" ht="23.1" customHeight="1" x14ac:dyDescent="0.2">
      <c r="A204" s="34"/>
      <c r="B204" s="38"/>
      <c r="C204" s="151" t="s">
        <v>86</v>
      </c>
      <c r="D204" s="145" t="s">
        <v>87</v>
      </c>
      <c r="E204" s="45">
        <v>159318.19</v>
      </c>
      <c r="F204" s="46">
        <v>982.22</v>
      </c>
      <c r="G204" s="46"/>
      <c r="H204" s="47">
        <f t="shared" ref="H204:H211" si="49">SUM(E204+F204-G204)</f>
        <v>160300.41</v>
      </c>
    </row>
    <row r="205" spans="1:8" s="18" customFormat="1" ht="12" customHeight="1" x14ac:dyDescent="0.2">
      <c r="A205" s="34"/>
      <c r="B205" s="38"/>
      <c r="C205" s="38">
        <v>4370</v>
      </c>
      <c r="D205" s="38" t="s">
        <v>94</v>
      </c>
      <c r="E205" s="45">
        <v>4832.25</v>
      </c>
      <c r="F205" s="46">
        <f>747.09+2550</f>
        <v>3297.09</v>
      </c>
      <c r="G205" s="46"/>
      <c r="H205" s="47">
        <f t="shared" si="49"/>
        <v>8129.34</v>
      </c>
    </row>
    <row r="206" spans="1:8" s="18" customFormat="1" ht="21" customHeight="1" x14ac:dyDescent="0.2">
      <c r="A206" s="34"/>
      <c r="B206" s="38"/>
      <c r="C206" s="130">
        <v>4740</v>
      </c>
      <c r="D206" s="131" t="s">
        <v>111</v>
      </c>
      <c r="E206" s="46">
        <v>40050.949999999997</v>
      </c>
      <c r="F206" s="46">
        <v>27</v>
      </c>
      <c r="G206" s="46"/>
      <c r="H206" s="47">
        <f t="shared" si="49"/>
        <v>40077.949999999997</v>
      </c>
    </row>
    <row r="207" spans="1:8" s="18" customFormat="1" ht="21.75" customHeight="1" x14ac:dyDescent="0.2">
      <c r="A207" s="34"/>
      <c r="B207" s="38"/>
      <c r="C207" s="130">
        <v>4750</v>
      </c>
      <c r="D207" s="131" t="s">
        <v>112</v>
      </c>
      <c r="E207" s="46">
        <v>564403.18999999994</v>
      </c>
      <c r="F207" s="46">
        <v>122149.3</v>
      </c>
      <c r="G207" s="46">
        <v>16250</v>
      </c>
      <c r="H207" s="47">
        <f t="shared" si="49"/>
        <v>670302.49</v>
      </c>
    </row>
    <row r="208" spans="1:8" s="18" customFormat="1" ht="23.1" customHeight="1" x14ac:dyDescent="0.2">
      <c r="A208" s="34"/>
      <c r="B208" s="38"/>
      <c r="C208" s="130">
        <v>4850</v>
      </c>
      <c r="D208" s="131" t="s">
        <v>113</v>
      </c>
      <c r="E208" s="46">
        <v>209441.68</v>
      </c>
      <c r="F208" s="46">
        <v>29666.1</v>
      </c>
      <c r="G208" s="46">
        <v>1500</v>
      </c>
      <c r="H208" s="47">
        <f t="shared" si="49"/>
        <v>237607.78</v>
      </c>
    </row>
    <row r="209" spans="1:8" s="18" customFormat="1" ht="20.25" customHeight="1" x14ac:dyDescent="0.2">
      <c r="A209" s="34"/>
      <c r="B209" s="38"/>
      <c r="C209" s="130">
        <v>4860</v>
      </c>
      <c r="D209" s="131" t="s">
        <v>114</v>
      </c>
      <c r="E209" s="46">
        <v>40704.019999999997</v>
      </c>
      <c r="F209" s="46">
        <f>2176.91+16101.22</f>
        <v>18278.129999999997</v>
      </c>
      <c r="G209" s="46"/>
      <c r="H209" s="47">
        <f t="shared" si="49"/>
        <v>58982.149999999994</v>
      </c>
    </row>
    <row r="210" spans="1:8" s="18" customFormat="1" ht="12" customHeight="1" x14ac:dyDescent="0.2">
      <c r="A210" s="34"/>
      <c r="B210" s="38"/>
      <c r="C210" s="35"/>
      <c r="D210" s="10" t="s">
        <v>427</v>
      </c>
      <c r="E210" s="42">
        <v>400000</v>
      </c>
      <c r="F210" s="42">
        <f>SUM(F211)</f>
        <v>95000</v>
      </c>
      <c r="G210" s="42">
        <f>SUM(G211)</f>
        <v>0</v>
      </c>
      <c r="H210" s="42">
        <f t="shared" si="49"/>
        <v>495000</v>
      </c>
    </row>
    <row r="211" spans="1:8" s="18" customFormat="1" ht="21.6" customHeight="1" x14ac:dyDescent="0.2">
      <c r="A211" s="34"/>
      <c r="B211" s="38"/>
      <c r="C211" s="130">
        <v>4600</v>
      </c>
      <c r="D211" s="109" t="s">
        <v>74</v>
      </c>
      <c r="E211" s="116">
        <v>0</v>
      </c>
      <c r="F211" s="116">
        <v>95000</v>
      </c>
      <c r="G211" s="116"/>
      <c r="H211" s="116">
        <f t="shared" si="49"/>
        <v>95000</v>
      </c>
    </row>
    <row r="212" spans="1:8" s="18" customFormat="1" ht="12" customHeight="1" x14ac:dyDescent="0.2">
      <c r="A212" s="34"/>
      <c r="B212" s="38">
        <v>80102</v>
      </c>
      <c r="C212" s="28"/>
      <c r="D212" s="48" t="s">
        <v>115</v>
      </c>
      <c r="E212" s="40">
        <v>11068966.02</v>
      </c>
      <c r="F212" s="40">
        <f>SUM(F213,F221)</f>
        <v>28846.25</v>
      </c>
      <c r="G212" s="40">
        <f>SUM(G213,G221)</f>
        <v>12000</v>
      </c>
      <c r="H212" s="39">
        <f>SUM(E212+F212-G212)</f>
        <v>11085812.27</v>
      </c>
    </row>
    <row r="213" spans="1:8" s="18" customFormat="1" ht="12" customHeight="1" x14ac:dyDescent="0.2">
      <c r="A213" s="34"/>
      <c r="B213" s="38"/>
      <c r="C213" s="28"/>
      <c r="D213" s="107" t="s">
        <v>105</v>
      </c>
      <c r="E213" s="42">
        <v>11048220.01</v>
      </c>
      <c r="F213" s="42">
        <f>SUM(F214:F220)</f>
        <v>21700</v>
      </c>
      <c r="G213" s="42">
        <f>SUM(G214:G220)</f>
        <v>12000</v>
      </c>
      <c r="H213" s="43">
        <f>SUM(E213+F213-G213)</f>
        <v>11057920.01</v>
      </c>
    </row>
    <row r="214" spans="1:8" s="18" customFormat="1" ht="12" customHeight="1" x14ac:dyDescent="0.2">
      <c r="A214" s="34"/>
      <c r="B214" s="38"/>
      <c r="C214" s="50">
        <v>3020</v>
      </c>
      <c r="D214" s="44" t="s">
        <v>76</v>
      </c>
      <c r="E214" s="46">
        <v>5803</v>
      </c>
      <c r="F214" s="46">
        <v>3700</v>
      </c>
      <c r="G214" s="46"/>
      <c r="H214" s="46">
        <f t="shared" ref="H214:H220" si="50">SUM(E214+F214-G214)</f>
        <v>9503</v>
      </c>
    </row>
    <row r="215" spans="1:8" s="18" customFormat="1" ht="12" customHeight="1" x14ac:dyDescent="0.2">
      <c r="A215" s="34"/>
      <c r="B215" s="38"/>
      <c r="C215" s="152" t="s">
        <v>22</v>
      </c>
      <c r="D215" s="148" t="s">
        <v>89</v>
      </c>
      <c r="E215" s="46">
        <v>37558</v>
      </c>
      <c r="F215" s="46">
        <v>13500</v>
      </c>
      <c r="G215" s="46"/>
      <c r="H215" s="46">
        <f t="shared" si="50"/>
        <v>51058</v>
      </c>
    </row>
    <row r="216" spans="1:8" s="18" customFormat="1" ht="12" customHeight="1" x14ac:dyDescent="0.2">
      <c r="A216" s="34"/>
      <c r="B216" s="38"/>
      <c r="C216" s="130">
        <v>4220</v>
      </c>
      <c r="D216" s="403" t="s">
        <v>161</v>
      </c>
      <c r="E216" s="46">
        <v>1500</v>
      </c>
      <c r="F216" s="46">
        <v>500</v>
      </c>
      <c r="G216" s="46"/>
      <c r="H216" s="46">
        <f t="shared" si="50"/>
        <v>2000</v>
      </c>
    </row>
    <row r="217" spans="1:8" s="18" customFormat="1" ht="12" customHeight="1" x14ac:dyDescent="0.2">
      <c r="A217" s="34"/>
      <c r="B217" s="38"/>
      <c r="C217" s="130">
        <v>4240</v>
      </c>
      <c r="D217" s="403" t="s">
        <v>108</v>
      </c>
      <c r="E217" s="46">
        <v>18591</v>
      </c>
      <c r="F217" s="46"/>
      <c r="G217" s="46">
        <v>7000</v>
      </c>
      <c r="H217" s="46">
        <f t="shared" si="50"/>
        <v>11591</v>
      </c>
    </row>
    <row r="218" spans="1:8" s="18" customFormat="1" ht="12" customHeight="1" x14ac:dyDescent="0.2">
      <c r="A218" s="34"/>
      <c r="B218" s="38"/>
      <c r="C218" s="38">
        <v>4300</v>
      </c>
      <c r="D218" s="44" t="s">
        <v>70</v>
      </c>
      <c r="E218" s="46">
        <v>39784</v>
      </c>
      <c r="F218" s="46">
        <v>4000</v>
      </c>
      <c r="G218" s="46"/>
      <c r="H218" s="46">
        <f t="shared" si="50"/>
        <v>43784</v>
      </c>
    </row>
    <row r="219" spans="1:8" s="18" customFormat="1" ht="12" customHeight="1" x14ac:dyDescent="0.2">
      <c r="A219" s="126"/>
      <c r="B219" s="146"/>
      <c r="C219" s="127">
        <v>4410</v>
      </c>
      <c r="D219" s="420" t="s">
        <v>84</v>
      </c>
      <c r="E219" s="51">
        <v>19700</v>
      </c>
      <c r="F219" s="51"/>
      <c r="G219" s="51">
        <v>2500</v>
      </c>
      <c r="H219" s="51">
        <f t="shared" si="50"/>
        <v>17200</v>
      </c>
    </row>
    <row r="220" spans="1:8" s="18" customFormat="1" ht="12" customHeight="1" x14ac:dyDescent="0.2">
      <c r="A220" s="34"/>
      <c r="B220" s="38"/>
      <c r="C220" s="50">
        <v>4710</v>
      </c>
      <c r="D220" s="148" t="s">
        <v>80</v>
      </c>
      <c r="E220" s="46">
        <v>14204</v>
      </c>
      <c r="F220" s="46"/>
      <c r="G220" s="46">
        <v>2500</v>
      </c>
      <c r="H220" s="46">
        <f t="shared" si="50"/>
        <v>11704</v>
      </c>
    </row>
    <row r="221" spans="1:8" s="18" customFormat="1" ht="24.75" customHeight="1" x14ac:dyDescent="0.2">
      <c r="A221" s="34"/>
      <c r="B221" s="38"/>
      <c r="C221" s="28"/>
      <c r="D221" s="120" t="s">
        <v>110</v>
      </c>
      <c r="E221" s="42">
        <v>20746.010000000002</v>
      </c>
      <c r="F221" s="42">
        <f>SUM(F222:F223)</f>
        <v>7146.25</v>
      </c>
      <c r="G221" s="42">
        <f>SUM(G222:G223)</f>
        <v>0</v>
      </c>
      <c r="H221" s="43">
        <f>SUM(E221+F221-G221)</f>
        <v>27892.260000000002</v>
      </c>
    </row>
    <row r="222" spans="1:8" s="18" customFormat="1" ht="23.1" customHeight="1" x14ac:dyDescent="0.2">
      <c r="A222" s="34"/>
      <c r="B222" s="38"/>
      <c r="C222" s="130">
        <v>4750</v>
      </c>
      <c r="D222" s="131" t="s">
        <v>112</v>
      </c>
      <c r="E222" s="46">
        <v>295</v>
      </c>
      <c r="F222" s="46">
        <v>5742.73</v>
      </c>
      <c r="G222" s="46"/>
      <c r="H222" s="47">
        <f t="shared" ref="H222:H223" si="51">SUM(E222+F222-G222)</f>
        <v>6037.73</v>
      </c>
    </row>
    <row r="223" spans="1:8" s="18" customFormat="1" ht="21.75" customHeight="1" x14ac:dyDescent="0.2">
      <c r="A223" s="34"/>
      <c r="B223" s="38"/>
      <c r="C223" s="130">
        <v>4850</v>
      </c>
      <c r="D223" s="131" t="s">
        <v>113</v>
      </c>
      <c r="E223" s="46">
        <v>2138.5100000000002</v>
      </c>
      <c r="F223" s="46">
        <v>1403.52</v>
      </c>
      <c r="G223" s="46"/>
      <c r="H223" s="47">
        <f t="shared" si="51"/>
        <v>3542.03</v>
      </c>
    </row>
    <row r="224" spans="1:8" s="18" customFormat="1" ht="12" customHeight="1" x14ac:dyDescent="0.2">
      <c r="A224" s="34"/>
      <c r="B224" s="49">
        <v>80103</v>
      </c>
      <c r="C224" s="133"/>
      <c r="D224" s="136" t="s">
        <v>116</v>
      </c>
      <c r="E224" s="40">
        <v>717752</v>
      </c>
      <c r="F224" s="40">
        <f>SUM(F225)</f>
        <v>30000</v>
      </c>
      <c r="G224" s="40">
        <f>SUM(G225)</f>
        <v>0</v>
      </c>
      <c r="H224" s="39">
        <f>SUM(E224+F224-G224)</f>
        <v>747752</v>
      </c>
    </row>
    <row r="225" spans="1:8" s="18" customFormat="1" ht="12" customHeight="1" x14ac:dyDescent="0.2">
      <c r="A225" s="34"/>
      <c r="B225" s="133"/>
      <c r="C225" s="133"/>
      <c r="D225" s="10" t="s">
        <v>117</v>
      </c>
      <c r="E225" s="42">
        <v>139687</v>
      </c>
      <c r="F225" s="42">
        <f>SUM(F226:F226)</f>
        <v>30000</v>
      </c>
      <c r="G225" s="42">
        <f>SUM(G226:G226)</f>
        <v>0</v>
      </c>
      <c r="H225" s="43">
        <f>SUM(E225+F225-G225)</f>
        <v>169687</v>
      </c>
    </row>
    <row r="226" spans="1:8" s="18" customFormat="1" ht="21" customHeight="1" x14ac:dyDescent="0.2">
      <c r="A226" s="34"/>
      <c r="B226" s="133"/>
      <c r="C226" s="130">
        <v>2540</v>
      </c>
      <c r="D226" s="131" t="s">
        <v>103</v>
      </c>
      <c r="E226" s="46">
        <v>139687</v>
      </c>
      <c r="F226" s="46">
        <v>30000</v>
      </c>
      <c r="G226" s="46"/>
      <c r="H226" s="47">
        <f t="shared" ref="H226" si="52">SUM(E226+F226-G226)</f>
        <v>169687</v>
      </c>
    </row>
    <row r="227" spans="1:8" s="18" customFormat="1" ht="12" customHeight="1" x14ac:dyDescent="0.2">
      <c r="A227" s="34"/>
      <c r="B227" s="38">
        <v>80104</v>
      </c>
      <c r="C227" s="28"/>
      <c r="D227" s="48" t="s">
        <v>120</v>
      </c>
      <c r="E227" s="40">
        <v>41094174.899999999</v>
      </c>
      <c r="F227" s="40">
        <f>SUM(F228,F231,F242,F249)</f>
        <v>1199792.8800000001</v>
      </c>
      <c r="G227" s="40">
        <f>SUM(G228,G231,G242,G249)</f>
        <v>86978.94</v>
      </c>
      <c r="H227" s="39">
        <f>SUM(E227+F227-G227)</f>
        <v>42206988.840000004</v>
      </c>
    </row>
    <row r="228" spans="1:8" s="18" customFormat="1" ht="12" customHeight="1" x14ac:dyDescent="0.2">
      <c r="A228" s="34"/>
      <c r="B228" s="38"/>
      <c r="C228" s="28"/>
      <c r="D228" s="10" t="s">
        <v>102</v>
      </c>
      <c r="E228" s="42">
        <v>9510632.3900000006</v>
      </c>
      <c r="F228" s="42">
        <f>SUM(F229:F230)</f>
        <v>1100000</v>
      </c>
      <c r="G228" s="42">
        <f>SUM(G229:G230)</f>
        <v>0</v>
      </c>
      <c r="H228" s="42">
        <f t="shared" ref="H228:H230" si="53">SUM(E228+F228-G228)</f>
        <v>10610632.390000001</v>
      </c>
    </row>
    <row r="229" spans="1:8" s="18" customFormat="1" ht="21" customHeight="1" x14ac:dyDescent="0.2">
      <c r="A229" s="34"/>
      <c r="B229" s="38"/>
      <c r="C229" s="130">
        <v>2540</v>
      </c>
      <c r="D229" s="131" t="s">
        <v>103</v>
      </c>
      <c r="E229" s="116">
        <v>7317196.3700000001</v>
      </c>
      <c r="F229" s="116">
        <v>800000</v>
      </c>
      <c r="G229" s="116"/>
      <c r="H229" s="116">
        <f t="shared" si="53"/>
        <v>8117196.3700000001</v>
      </c>
    </row>
    <row r="230" spans="1:8" s="18" customFormat="1" ht="39" customHeight="1" x14ac:dyDescent="0.2">
      <c r="A230" s="34"/>
      <c r="B230" s="38"/>
      <c r="C230" s="130">
        <v>2590</v>
      </c>
      <c r="D230" s="161" t="s">
        <v>104</v>
      </c>
      <c r="E230" s="46">
        <v>1953436.02</v>
      </c>
      <c r="F230" s="46">
        <v>300000</v>
      </c>
      <c r="G230" s="46"/>
      <c r="H230" s="45">
        <f t="shared" si="53"/>
        <v>2253436.02</v>
      </c>
    </row>
    <row r="231" spans="1:8" s="18" customFormat="1" ht="12" customHeight="1" x14ac:dyDescent="0.2">
      <c r="A231" s="34"/>
      <c r="B231" s="38"/>
      <c r="C231" s="28"/>
      <c r="D231" s="107" t="s">
        <v>105</v>
      </c>
      <c r="E231" s="42">
        <v>30529472.25</v>
      </c>
      <c r="F231" s="42">
        <f>SUM(F232:F241)</f>
        <v>36350</v>
      </c>
      <c r="G231" s="42">
        <f>SUM(G232:G241)</f>
        <v>48550</v>
      </c>
      <c r="H231" s="43">
        <f>SUM(E231+F231-G231)</f>
        <v>30517272.25</v>
      </c>
    </row>
    <row r="232" spans="1:8" s="18" customFormat="1" ht="12" customHeight="1" x14ac:dyDescent="0.2">
      <c r="A232" s="34"/>
      <c r="B232" s="38"/>
      <c r="C232" s="50">
        <v>3020</v>
      </c>
      <c r="D232" s="44" t="s">
        <v>76</v>
      </c>
      <c r="E232" s="46">
        <v>48338</v>
      </c>
      <c r="F232" s="46"/>
      <c r="G232" s="46">
        <v>1000</v>
      </c>
      <c r="H232" s="47">
        <f t="shared" ref="H232:H241" si="54">SUM(E232+F232-G232)</f>
        <v>47338</v>
      </c>
    </row>
    <row r="233" spans="1:8" s="18" customFormat="1" ht="12" customHeight="1" x14ac:dyDescent="0.2">
      <c r="A233" s="34"/>
      <c r="B233" s="38"/>
      <c r="C233" s="50">
        <v>4040</v>
      </c>
      <c r="D233" s="44" t="s">
        <v>106</v>
      </c>
      <c r="E233" s="46">
        <v>629839</v>
      </c>
      <c r="F233" s="46"/>
      <c r="G233" s="46">
        <v>23000</v>
      </c>
      <c r="H233" s="47">
        <f t="shared" si="54"/>
        <v>606839</v>
      </c>
    </row>
    <row r="234" spans="1:8" s="18" customFormat="1" ht="12" customHeight="1" x14ac:dyDescent="0.2">
      <c r="A234" s="34"/>
      <c r="B234" s="38"/>
      <c r="C234" s="152" t="s">
        <v>22</v>
      </c>
      <c r="D234" s="148" t="s">
        <v>89</v>
      </c>
      <c r="E234" s="45">
        <v>692905</v>
      </c>
      <c r="F234" s="45"/>
      <c r="G234" s="45">
        <v>8250</v>
      </c>
      <c r="H234" s="47">
        <f t="shared" si="54"/>
        <v>684655</v>
      </c>
    </row>
    <row r="235" spans="1:8" s="18" customFormat="1" ht="12" customHeight="1" x14ac:dyDescent="0.2">
      <c r="A235" s="34"/>
      <c r="B235" s="38"/>
      <c r="C235" s="130">
        <v>4240</v>
      </c>
      <c r="D235" s="403" t="s">
        <v>108</v>
      </c>
      <c r="E235" s="45">
        <v>111052</v>
      </c>
      <c r="F235" s="45"/>
      <c r="G235" s="45">
        <v>1400</v>
      </c>
      <c r="H235" s="47">
        <f t="shared" si="54"/>
        <v>109652</v>
      </c>
    </row>
    <row r="236" spans="1:8" s="18" customFormat="1" ht="12" customHeight="1" x14ac:dyDescent="0.2">
      <c r="A236" s="34"/>
      <c r="B236" s="38"/>
      <c r="C236" s="50">
        <v>4260</v>
      </c>
      <c r="D236" s="44" t="s">
        <v>68</v>
      </c>
      <c r="E236" s="45">
        <v>1520382</v>
      </c>
      <c r="F236" s="45">
        <v>15000</v>
      </c>
      <c r="G236" s="45"/>
      <c r="H236" s="47">
        <f t="shared" si="54"/>
        <v>1535382</v>
      </c>
    </row>
    <row r="237" spans="1:8" s="18" customFormat="1" ht="12" customHeight="1" x14ac:dyDescent="0.2">
      <c r="A237" s="34"/>
      <c r="B237" s="38"/>
      <c r="C237" s="50">
        <v>4270</v>
      </c>
      <c r="D237" s="44" t="s">
        <v>69</v>
      </c>
      <c r="E237" s="45">
        <v>205303</v>
      </c>
      <c r="F237" s="45">
        <v>10000</v>
      </c>
      <c r="G237" s="45"/>
      <c r="H237" s="47">
        <f t="shared" si="54"/>
        <v>215303</v>
      </c>
    </row>
    <row r="238" spans="1:8" s="18" customFormat="1" ht="12" customHeight="1" x14ac:dyDescent="0.2">
      <c r="A238" s="34"/>
      <c r="B238" s="38"/>
      <c r="C238" s="50">
        <v>4280</v>
      </c>
      <c r="D238" s="44" t="s">
        <v>77</v>
      </c>
      <c r="E238" s="45">
        <v>31752</v>
      </c>
      <c r="F238" s="45">
        <v>1350</v>
      </c>
      <c r="G238" s="45"/>
      <c r="H238" s="47">
        <f t="shared" si="54"/>
        <v>33102</v>
      </c>
    </row>
    <row r="239" spans="1:8" s="18" customFormat="1" ht="12" customHeight="1" x14ac:dyDescent="0.2">
      <c r="A239" s="34"/>
      <c r="B239" s="38"/>
      <c r="C239" s="38">
        <v>4300</v>
      </c>
      <c r="D239" s="44" t="s">
        <v>70</v>
      </c>
      <c r="E239" s="45">
        <v>595311</v>
      </c>
      <c r="F239" s="45">
        <v>10000</v>
      </c>
      <c r="G239" s="45"/>
      <c r="H239" s="47">
        <f t="shared" si="54"/>
        <v>605311</v>
      </c>
    </row>
    <row r="240" spans="1:8" s="18" customFormat="1" ht="12" customHeight="1" x14ac:dyDescent="0.2">
      <c r="A240" s="34"/>
      <c r="B240" s="38"/>
      <c r="C240" s="50">
        <v>4710</v>
      </c>
      <c r="D240" s="148" t="s">
        <v>80</v>
      </c>
      <c r="E240" s="45">
        <v>92678</v>
      </c>
      <c r="F240" s="45"/>
      <c r="G240" s="45">
        <v>4100</v>
      </c>
      <c r="H240" s="47">
        <f t="shared" si="54"/>
        <v>88578</v>
      </c>
    </row>
    <row r="241" spans="1:8" s="18" customFormat="1" ht="12" customHeight="1" x14ac:dyDescent="0.2">
      <c r="A241" s="34"/>
      <c r="B241" s="38"/>
      <c r="C241" s="49">
        <v>4800</v>
      </c>
      <c r="D241" s="163" t="s">
        <v>109</v>
      </c>
      <c r="E241" s="45">
        <v>900768</v>
      </c>
      <c r="F241" s="45"/>
      <c r="G241" s="45">
        <v>10800</v>
      </c>
      <c r="H241" s="47">
        <f t="shared" si="54"/>
        <v>889968</v>
      </c>
    </row>
    <row r="242" spans="1:8" s="18" customFormat="1" ht="23.1" customHeight="1" x14ac:dyDescent="0.2">
      <c r="A242" s="34"/>
      <c r="B242" s="38"/>
      <c r="C242" s="28"/>
      <c r="D242" s="120" t="s">
        <v>110</v>
      </c>
      <c r="E242" s="42">
        <v>102368.92</v>
      </c>
      <c r="F242" s="42">
        <f>SUM(F243:F248)</f>
        <v>60241.57</v>
      </c>
      <c r="G242" s="42">
        <f>SUM(G243:G248)</f>
        <v>38428.939999999995</v>
      </c>
      <c r="H242" s="43">
        <f>SUM(E242+F242-G242)</f>
        <v>124181.54999999999</v>
      </c>
    </row>
    <row r="243" spans="1:8" s="18" customFormat="1" ht="23.1" customHeight="1" x14ac:dyDescent="0.2">
      <c r="A243" s="34"/>
      <c r="B243" s="38"/>
      <c r="C243" s="151" t="s">
        <v>86</v>
      </c>
      <c r="D243" s="145" t="s">
        <v>87</v>
      </c>
      <c r="E243" s="45">
        <v>41901.93</v>
      </c>
      <c r="F243" s="46">
        <f>21399.75+11389.18</f>
        <v>32788.93</v>
      </c>
      <c r="G243" s="46"/>
      <c r="H243" s="47">
        <f t="shared" ref="H243:H248" si="55">SUM(E243+F243-G243)</f>
        <v>74690.86</v>
      </c>
    </row>
    <row r="244" spans="1:8" s="18" customFormat="1" ht="12.6" customHeight="1" x14ac:dyDescent="0.2">
      <c r="A244" s="34"/>
      <c r="B244" s="38"/>
      <c r="C244" s="38">
        <v>4370</v>
      </c>
      <c r="D244" s="38" t="s">
        <v>94</v>
      </c>
      <c r="E244" s="45">
        <v>0</v>
      </c>
      <c r="F244" s="46">
        <f>59.35+5514.25</f>
        <v>5573.6</v>
      </c>
      <c r="G244" s="46"/>
      <c r="H244" s="47">
        <f t="shared" si="55"/>
        <v>5573.6</v>
      </c>
    </row>
    <row r="245" spans="1:8" s="18" customFormat="1" ht="20.25" customHeight="1" x14ac:dyDescent="0.2">
      <c r="A245" s="34"/>
      <c r="B245" s="38"/>
      <c r="C245" s="130">
        <v>4740</v>
      </c>
      <c r="D245" s="131" t="s">
        <v>111</v>
      </c>
      <c r="E245" s="45">
        <v>9149.84</v>
      </c>
      <c r="F245" s="46"/>
      <c r="G245" s="46">
        <v>1110.28</v>
      </c>
      <c r="H245" s="47">
        <f t="shared" si="55"/>
        <v>8039.56</v>
      </c>
    </row>
    <row r="246" spans="1:8" s="18" customFormat="1" ht="21" customHeight="1" x14ac:dyDescent="0.2">
      <c r="A246" s="34"/>
      <c r="B246" s="38"/>
      <c r="C246" s="130">
        <v>4750</v>
      </c>
      <c r="D246" s="131" t="s">
        <v>112</v>
      </c>
      <c r="E246" s="46">
        <v>35661.97</v>
      </c>
      <c r="F246" s="45">
        <v>920.24</v>
      </c>
      <c r="G246" s="46">
        <v>27889.599999999999</v>
      </c>
      <c r="H246" s="47">
        <f t="shared" si="55"/>
        <v>8692.61</v>
      </c>
    </row>
    <row r="247" spans="1:8" s="18" customFormat="1" ht="23.1" customHeight="1" x14ac:dyDescent="0.2">
      <c r="A247" s="34"/>
      <c r="B247" s="38"/>
      <c r="C247" s="130">
        <v>4850</v>
      </c>
      <c r="D247" s="131" t="s">
        <v>113</v>
      </c>
      <c r="E247" s="46">
        <v>15367.12</v>
      </c>
      <c r="F247" s="45">
        <v>224.9</v>
      </c>
      <c r="G247" s="45">
        <v>9429.06</v>
      </c>
      <c r="H247" s="47">
        <f t="shared" si="55"/>
        <v>6162.9600000000009</v>
      </c>
    </row>
    <row r="248" spans="1:8" s="18" customFormat="1" ht="23.1" customHeight="1" x14ac:dyDescent="0.2">
      <c r="A248" s="34"/>
      <c r="B248" s="38"/>
      <c r="C248" s="130">
        <v>4860</v>
      </c>
      <c r="D248" s="131" t="s">
        <v>114</v>
      </c>
      <c r="E248" s="46">
        <v>288.06</v>
      </c>
      <c r="F248" s="45">
        <f>109.61+20624.29</f>
        <v>20733.900000000001</v>
      </c>
      <c r="G248" s="45"/>
      <c r="H248" s="47">
        <f t="shared" si="55"/>
        <v>21021.960000000003</v>
      </c>
    </row>
    <row r="249" spans="1:8" s="18" customFormat="1" ht="23.1" customHeight="1" x14ac:dyDescent="0.2">
      <c r="A249" s="34"/>
      <c r="B249" s="38"/>
      <c r="C249" s="28"/>
      <c r="D249" s="120" t="s">
        <v>121</v>
      </c>
      <c r="E249" s="42">
        <v>2391.3200000000002</v>
      </c>
      <c r="F249" s="42">
        <f>SUM(F250)</f>
        <v>3201.31</v>
      </c>
      <c r="G249" s="42">
        <f>SUM(G250)</f>
        <v>0</v>
      </c>
      <c r="H249" s="43">
        <f>SUM(E249+F249-G249)</f>
        <v>5592.63</v>
      </c>
    </row>
    <row r="250" spans="1:8" s="18" customFormat="1" ht="34.5" customHeight="1" x14ac:dyDescent="0.2">
      <c r="A250" s="34"/>
      <c r="B250" s="38"/>
      <c r="C250" s="151" t="s">
        <v>122</v>
      </c>
      <c r="D250" s="145" t="s">
        <v>123</v>
      </c>
      <c r="E250" s="45">
        <v>2391.3200000000002</v>
      </c>
      <c r="F250" s="46">
        <v>3201.31</v>
      </c>
      <c r="G250" s="46"/>
      <c r="H250" s="47">
        <f t="shared" ref="H250" si="56">SUM(E250+F250-G250)</f>
        <v>5592.63</v>
      </c>
    </row>
    <row r="251" spans="1:8" s="18" customFormat="1" ht="12" customHeight="1" x14ac:dyDescent="0.2">
      <c r="A251" s="34"/>
      <c r="B251" s="38">
        <v>80105</v>
      </c>
      <c r="C251" s="28"/>
      <c r="D251" s="48" t="s">
        <v>124</v>
      </c>
      <c r="E251" s="40">
        <v>874250.15999999992</v>
      </c>
      <c r="F251" s="40">
        <f>SUM(F252,F256)</f>
        <v>9771.2199999999993</v>
      </c>
      <c r="G251" s="40">
        <f>SUM(G252,G256)</f>
        <v>1500</v>
      </c>
      <c r="H251" s="39">
        <f>SUM(E251+F251-G251)</f>
        <v>882521.37999999989</v>
      </c>
    </row>
    <row r="252" spans="1:8" s="18" customFormat="1" ht="12" customHeight="1" x14ac:dyDescent="0.2">
      <c r="A252" s="34"/>
      <c r="B252" s="50"/>
      <c r="C252" s="28"/>
      <c r="D252" s="107" t="s">
        <v>105</v>
      </c>
      <c r="E252" s="42">
        <v>865660.96</v>
      </c>
      <c r="F252" s="42">
        <f>SUM(F253:F255)</f>
        <v>4500</v>
      </c>
      <c r="G252" s="42">
        <f>SUM(G253:G255)</f>
        <v>1500</v>
      </c>
      <c r="H252" s="43">
        <f>SUM(E252+F252-G252)</f>
        <v>868660.96</v>
      </c>
    </row>
    <row r="253" spans="1:8" s="18" customFormat="1" ht="12" customHeight="1" x14ac:dyDescent="0.2">
      <c r="A253" s="34"/>
      <c r="B253" s="50"/>
      <c r="C253" s="152" t="s">
        <v>22</v>
      </c>
      <c r="D253" s="148" t="s">
        <v>89</v>
      </c>
      <c r="E253" s="46">
        <v>1768</v>
      </c>
      <c r="F253" s="46">
        <v>1500</v>
      </c>
      <c r="G253" s="46"/>
      <c r="H253" s="47">
        <f t="shared" ref="H253:H255" si="57">SUM(E253+F253-G253)</f>
        <v>3268</v>
      </c>
    </row>
    <row r="254" spans="1:8" s="18" customFormat="1" ht="12" customHeight="1" x14ac:dyDescent="0.2">
      <c r="A254" s="34"/>
      <c r="B254" s="50"/>
      <c r="C254" s="38">
        <v>4300</v>
      </c>
      <c r="D254" s="44" t="s">
        <v>70</v>
      </c>
      <c r="E254" s="46">
        <v>4250</v>
      </c>
      <c r="F254" s="46">
        <v>3000</v>
      </c>
      <c r="G254" s="46"/>
      <c r="H254" s="47">
        <f t="shared" si="57"/>
        <v>7250</v>
      </c>
    </row>
    <row r="255" spans="1:8" s="18" customFormat="1" ht="12" customHeight="1" x14ac:dyDescent="0.2">
      <c r="A255" s="34"/>
      <c r="B255" s="50"/>
      <c r="C255" s="50">
        <v>4710</v>
      </c>
      <c r="D255" s="148" t="s">
        <v>80</v>
      </c>
      <c r="E255" s="46">
        <v>3861</v>
      </c>
      <c r="F255" s="46"/>
      <c r="G255" s="46">
        <v>1500</v>
      </c>
      <c r="H255" s="47">
        <f t="shared" si="57"/>
        <v>2361</v>
      </c>
    </row>
    <row r="256" spans="1:8" s="18" customFormat="1" ht="20.45" customHeight="1" x14ac:dyDescent="0.2">
      <c r="A256" s="34"/>
      <c r="B256" s="50"/>
      <c r="C256" s="28"/>
      <c r="D256" s="120" t="s">
        <v>110</v>
      </c>
      <c r="E256" s="42">
        <v>8589.2000000000007</v>
      </c>
      <c r="F256" s="42">
        <f>SUM(F257:F258)</f>
        <v>5271.2199999999993</v>
      </c>
      <c r="G256" s="42">
        <f>SUM(G257:G258)</f>
        <v>0</v>
      </c>
      <c r="H256" s="43">
        <f>SUM(E256+F256-G256)</f>
        <v>13860.42</v>
      </c>
    </row>
    <row r="257" spans="1:8" s="18" customFormat="1" ht="21" customHeight="1" x14ac:dyDescent="0.2">
      <c r="A257" s="34"/>
      <c r="B257" s="50"/>
      <c r="C257" s="130">
        <v>4750</v>
      </c>
      <c r="D257" s="131" t="s">
        <v>112</v>
      </c>
      <c r="E257" s="46">
        <v>0</v>
      </c>
      <c r="F257" s="46">
        <v>4235.95</v>
      </c>
      <c r="G257" s="46"/>
      <c r="H257" s="47">
        <f t="shared" ref="H257:H258" si="58">SUM(E257+F257-G257)</f>
        <v>4235.95</v>
      </c>
    </row>
    <row r="258" spans="1:8" s="18" customFormat="1" ht="21" customHeight="1" x14ac:dyDescent="0.2">
      <c r="A258" s="34"/>
      <c r="B258" s="50"/>
      <c r="C258" s="130">
        <v>4850</v>
      </c>
      <c r="D258" s="131" t="s">
        <v>113</v>
      </c>
      <c r="E258" s="46">
        <v>489.2</v>
      </c>
      <c r="F258" s="46">
        <v>1035.27</v>
      </c>
      <c r="G258" s="46"/>
      <c r="H258" s="47">
        <f t="shared" si="58"/>
        <v>1524.47</v>
      </c>
    </row>
    <row r="259" spans="1:8" s="18" customFormat="1" ht="12" customHeight="1" x14ac:dyDescent="0.2">
      <c r="A259" s="34"/>
      <c r="B259" s="49">
        <v>80106</v>
      </c>
      <c r="C259" s="133"/>
      <c r="D259" s="136" t="s">
        <v>428</v>
      </c>
      <c r="E259" s="39">
        <v>62237</v>
      </c>
      <c r="F259" s="40">
        <f>SUM(F260)</f>
        <v>7000</v>
      </c>
      <c r="G259" s="40">
        <f>SUM(G260)</f>
        <v>0</v>
      </c>
      <c r="H259" s="39">
        <f>SUM(E259+F259-G259)</f>
        <v>69237</v>
      </c>
    </row>
    <row r="260" spans="1:8" s="18" customFormat="1" ht="12" customHeight="1" x14ac:dyDescent="0.2">
      <c r="A260" s="34"/>
      <c r="B260" s="38"/>
      <c r="C260" s="28"/>
      <c r="D260" s="10" t="s">
        <v>102</v>
      </c>
      <c r="E260" s="42">
        <v>62237</v>
      </c>
      <c r="F260" s="42">
        <f>SUM(F261:F261)</f>
        <v>7000</v>
      </c>
      <c r="G260" s="42">
        <f>SUM(G261:G261)</f>
        <v>0</v>
      </c>
      <c r="H260" s="42">
        <f t="shared" ref="H260:H261" si="59">SUM(E260+F260-G260)</f>
        <v>69237</v>
      </c>
    </row>
    <row r="261" spans="1:8" s="18" customFormat="1" ht="21.6" customHeight="1" x14ac:dyDescent="0.2">
      <c r="A261" s="126"/>
      <c r="B261" s="146"/>
      <c r="C261" s="127">
        <v>2540</v>
      </c>
      <c r="D261" s="164" t="s">
        <v>103</v>
      </c>
      <c r="E261" s="40">
        <v>62237</v>
      </c>
      <c r="F261" s="40">
        <v>7000</v>
      </c>
      <c r="G261" s="40"/>
      <c r="H261" s="40">
        <f t="shared" si="59"/>
        <v>69237</v>
      </c>
    </row>
    <row r="262" spans="1:8" s="18" customFormat="1" ht="12" customHeight="1" x14ac:dyDescent="0.2">
      <c r="A262" s="34"/>
      <c r="B262" s="38">
        <v>80107</v>
      </c>
      <c r="C262" s="28"/>
      <c r="D262" s="136" t="s">
        <v>125</v>
      </c>
      <c r="E262" s="40">
        <v>5719736</v>
      </c>
      <c r="F262" s="40">
        <f>SUM(F263)</f>
        <v>3300</v>
      </c>
      <c r="G262" s="40">
        <f>SUM(G263)</f>
        <v>7300</v>
      </c>
      <c r="H262" s="39">
        <f>SUM(E262+F262-G262)</f>
        <v>5715736</v>
      </c>
    </row>
    <row r="263" spans="1:8" s="18" customFormat="1" ht="12" customHeight="1" x14ac:dyDescent="0.2">
      <c r="A263" s="34"/>
      <c r="B263" s="50"/>
      <c r="C263" s="28"/>
      <c r="D263" s="107" t="s">
        <v>105</v>
      </c>
      <c r="E263" s="42">
        <v>5719736</v>
      </c>
      <c r="F263" s="42">
        <f>SUM(F264:F266)</f>
        <v>3300</v>
      </c>
      <c r="G263" s="42">
        <f>SUM(G264:G266)</f>
        <v>7300</v>
      </c>
      <c r="H263" s="43">
        <f>SUM(E263+F263-G263)</f>
        <v>5715736</v>
      </c>
    </row>
    <row r="264" spans="1:8" s="18" customFormat="1" ht="12" customHeight="1" x14ac:dyDescent="0.2">
      <c r="A264" s="34"/>
      <c r="B264" s="50"/>
      <c r="C264" s="152" t="s">
        <v>22</v>
      </c>
      <c r="D264" s="148" t="s">
        <v>89</v>
      </c>
      <c r="E264" s="46">
        <v>20827</v>
      </c>
      <c r="F264" s="46">
        <v>1500</v>
      </c>
      <c r="G264" s="46"/>
      <c r="H264" s="47">
        <f t="shared" ref="H264:H266" si="60">SUM(E264+F264-G264)</f>
        <v>22327</v>
      </c>
    </row>
    <row r="265" spans="1:8" s="18" customFormat="1" ht="12" customHeight="1" x14ac:dyDescent="0.2">
      <c r="A265" s="34"/>
      <c r="B265" s="50"/>
      <c r="C265" s="38">
        <v>4300</v>
      </c>
      <c r="D265" s="44" t="s">
        <v>70</v>
      </c>
      <c r="E265" s="46">
        <v>3793</v>
      </c>
      <c r="F265" s="46">
        <v>1800</v>
      </c>
      <c r="G265" s="46"/>
      <c r="H265" s="47">
        <f t="shared" si="60"/>
        <v>5593</v>
      </c>
    </row>
    <row r="266" spans="1:8" s="18" customFormat="1" ht="12" customHeight="1" x14ac:dyDescent="0.2">
      <c r="A266" s="34"/>
      <c r="B266" s="50"/>
      <c r="C266" s="50">
        <v>4710</v>
      </c>
      <c r="D266" s="148" t="s">
        <v>80</v>
      </c>
      <c r="E266" s="46">
        <v>39638</v>
      </c>
      <c r="F266" s="46"/>
      <c r="G266" s="46">
        <v>7300</v>
      </c>
      <c r="H266" s="47">
        <f t="shared" si="60"/>
        <v>32338</v>
      </c>
    </row>
    <row r="267" spans="1:8" s="18" customFormat="1" ht="12" customHeight="1" x14ac:dyDescent="0.2">
      <c r="A267" s="34"/>
      <c r="B267" s="49" t="s">
        <v>127</v>
      </c>
      <c r="C267" s="133"/>
      <c r="D267" s="136" t="s">
        <v>128</v>
      </c>
      <c r="E267" s="39">
        <v>724991</v>
      </c>
      <c r="F267" s="40">
        <f>SUM(F268)</f>
        <v>1400</v>
      </c>
      <c r="G267" s="40">
        <f>SUM(G268)</f>
        <v>1400</v>
      </c>
      <c r="H267" s="39">
        <f>SUM(E267+F267-G267)</f>
        <v>724991</v>
      </c>
    </row>
    <row r="268" spans="1:8" s="18" customFormat="1" ht="12" customHeight="1" x14ac:dyDescent="0.2">
      <c r="A268" s="34"/>
      <c r="B268" s="34"/>
      <c r="C268" s="28"/>
      <c r="D268" s="107" t="s">
        <v>105</v>
      </c>
      <c r="E268" s="42">
        <v>604991</v>
      </c>
      <c r="F268" s="42">
        <f>SUM(F269:F271)</f>
        <v>1400</v>
      </c>
      <c r="G268" s="42">
        <f>SUM(G269:G271)</f>
        <v>1400</v>
      </c>
      <c r="H268" s="42">
        <f t="shared" ref="H268:H271" si="61">SUM(E268+F268-G268)</f>
        <v>604991</v>
      </c>
    </row>
    <row r="269" spans="1:8" s="18" customFormat="1" ht="12" customHeight="1" x14ac:dyDescent="0.2">
      <c r="A269" s="34"/>
      <c r="B269" s="105"/>
      <c r="C269" s="152" t="s">
        <v>22</v>
      </c>
      <c r="D269" s="148" t="s">
        <v>89</v>
      </c>
      <c r="E269" s="47">
        <v>100910</v>
      </c>
      <c r="F269" s="47"/>
      <c r="G269" s="116">
        <v>400</v>
      </c>
      <c r="H269" s="116">
        <f t="shared" si="61"/>
        <v>100510</v>
      </c>
    </row>
    <row r="270" spans="1:8" s="18" customFormat="1" ht="12" customHeight="1" x14ac:dyDescent="0.2">
      <c r="A270" s="34"/>
      <c r="B270" s="105"/>
      <c r="C270" s="38">
        <v>4300</v>
      </c>
      <c r="D270" s="44" t="s">
        <v>70</v>
      </c>
      <c r="E270" s="47">
        <v>25239</v>
      </c>
      <c r="F270" s="47"/>
      <c r="G270" s="116">
        <v>1000</v>
      </c>
      <c r="H270" s="116">
        <f t="shared" si="61"/>
        <v>24239</v>
      </c>
    </row>
    <row r="271" spans="1:8" s="18" customFormat="1" ht="21.6" customHeight="1" x14ac:dyDescent="0.2">
      <c r="A271" s="34"/>
      <c r="B271" s="105"/>
      <c r="C271" s="130">
        <v>4400</v>
      </c>
      <c r="D271" s="93" t="s">
        <v>429</v>
      </c>
      <c r="E271" s="47">
        <v>9200</v>
      </c>
      <c r="F271" s="47">
        <v>1400</v>
      </c>
      <c r="G271" s="116"/>
      <c r="H271" s="116">
        <f t="shared" si="61"/>
        <v>10600</v>
      </c>
    </row>
    <row r="272" spans="1:8" s="18" customFormat="1" ht="12" customHeight="1" x14ac:dyDescent="0.2">
      <c r="A272" s="34"/>
      <c r="B272" s="38">
        <v>80115</v>
      </c>
      <c r="C272" s="28"/>
      <c r="D272" s="48" t="s">
        <v>129</v>
      </c>
      <c r="E272" s="39">
        <v>44018262.469999999</v>
      </c>
      <c r="F272" s="40">
        <f>SUM(F273,F275,F289,F295)</f>
        <v>293985.74</v>
      </c>
      <c r="G272" s="40">
        <f>SUM(G273,G275,G289,G295)</f>
        <v>45028.11</v>
      </c>
      <c r="H272" s="39">
        <f>SUM(E272+F272-G272)</f>
        <v>44267220.100000001</v>
      </c>
    </row>
    <row r="273" spans="1:8" s="18" customFormat="1" ht="12" customHeight="1" x14ac:dyDescent="0.2">
      <c r="A273" s="34"/>
      <c r="B273" s="38"/>
      <c r="C273" s="28"/>
      <c r="D273" s="10" t="s">
        <v>102</v>
      </c>
      <c r="E273" s="42">
        <v>2681423.98</v>
      </c>
      <c r="F273" s="42">
        <f>SUM(F274:F274)</f>
        <v>100000</v>
      </c>
      <c r="G273" s="42">
        <f>SUM(G274:G274)</f>
        <v>0</v>
      </c>
      <c r="H273" s="42">
        <f t="shared" ref="H273:H288" si="62">SUM(E273+F273-G273)</f>
        <v>2781423.98</v>
      </c>
    </row>
    <row r="274" spans="1:8" s="18" customFormat="1" ht="21" customHeight="1" x14ac:dyDescent="0.2">
      <c r="A274" s="34"/>
      <c r="B274" s="38"/>
      <c r="C274" s="130">
        <v>2540</v>
      </c>
      <c r="D274" s="131" t="s">
        <v>103</v>
      </c>
      <c r="E274" s="116">
        <v>2681423.98</v>
      </c>
      <c r="F274" s="116">
        <v>100000</v>
      </c>
      <c r="G274" s="116"/>
      <c r="H274" s="116">
        <f t="shared" si="62"/>
        <v>2781423.98</v>
      </c>
    </row>
    <row r="275" spans="1:8" s="18" customFormat="1" ht="12" customHeight="1" x14ac:dyDescent="0.2">
      <c r="A275" s="34"/>
      <c r="B275" s="38"/>
      <c r="C275" s="50"/>
      <c r="D275" s="107" t="s">
        <v>105</v>
      </c>
      <c r="E275" s="42">
        <v>40406731.960000001</v>
      </c>
      <c r="F275" s="167">
        <f>SUM(F276:F288)</f>
        <v>186730</v>
      </c>
      <c r="G275" s="167">
        <f>SUM(G276:G288)</f>
        <v>43539</v>
      </c>
      <c r="H275" s="43">
        <f t="shared" si="62"/>
        <v>40549922.960000001</v>
      </c>
    </row>
    <row r="276" spans="1:8" s="18" customFormat="1" ht="12" customHeight="1" x14ac:dyDescent="0.2">
      <c r="A276" s="34"/>
      <c r="B276" s="38"/>
      <c r="C276" s="50">
        <v>3020</v>
      </c>
      <c r="D276" s="44" t="s">
        <v>76</v>
      </c>
      <c r="E276" s="46">
        <v>192416</v>
      </c>
      <c r="F276" s="45">
        <v>2500</v>
      </c>
      <c r="G276" s="45"/>
      <c r="H276" s="47">
        <f t="shared" si="62"/>
        <v>194916</v>
      </c>
    </row>
    <row r="277" spans="1:8" s="18" customFormat="1" ht="12" customHeight="1" x14ac:dyDescent="0.2">
      <c r="A277" s="34"/>
      <c r="B277" s="38"/>
      <c r="C277" s="50">
        <v>4040</v>
      </c>
      <c r="D277" s="44" t="s">
        <v>106</v>
      </c>
      <c r="E277" s="45">
        <v>371360</v>
      </c>
      <c r="F277" s="46"/>
      <c r="G277" s="46">
        <v>1709</v>
      </c>
      <c r="H277" s="47">
        <f t="shared" si="62"/>
        <v>369651</v>
      </c>
    </row>
    <row r="278" spans="1:8" s="18" customFormat="1" ht="20.25" customHeight="1" x14ac:dyDescent="0.2">
      <c r="A278" s="34"/>
      <c r="B278" s="38"/>
      <c r="C278" s="162">
        <v>4140</v>
      </c>
      <c r="D278" s="145" t="s">
        <v>107</v>
      </c>
      <c r="E278" s="45">
        <v>15350</v>
      </c>
      <c r="F278" s="46"/>
      <c r="G278" s="46">
        <v>2700</v>
      </c>
      <c r="H278" s="47">
        <f t="shared" si="62"/>
        <v>12650</v>
      </c>
    </row>
    <row r="279" spans="1:8" s="18" customFormat="1" ht="12" customHeight="1" x14ac:dyDescent="0.2">
      <c r="A279" s="34"/>
      <c r="B279" s="38"/>
      <c r="C279" s="152" t="s">
        <v>22</v>
      </c>
      <c r="D279" s="148" t="s">
        <v>89</v>
      </c>
      <c r="E279" s="45">
        <v>308462</v>
      </c>
      <c r="F279" s="46"/>
      <c r="G279" s="46">
        <v>11230</v>
      </c>
      <c r="H279" s="47">
        <f t="shared" si="62"/>
        <v>297232</v>
      </c>
    </row>
    <row r="280" spans="1:8" s="18" customFormat="1" ht="12" customHeight="1" x14ac:dyDescent="0.2">
      <c r="A280" s="34"/>
      <c r="B280" s="38"/>
      <c r="C280" s="50">
        <v>4260</v>
      </c>
      <c r="D280" s="44" t="s">
        <v>68</v>
      </c>
      <c r="E280" s="45">
        <v>1863232</v>
      </c>
      <c r="F280" s="46">
        <f>6000+150000</f>
        <v>156000</v>
      </c>
      <c r="G280" s="46"/>
      <c r="H280" s="47">
        <f t="shared" si="62"/>
        <v>2019232</v>
      </c>
    </row>
    <row r="281" spans="1:8" s="18" customFormat="1" ht="12" customHeight="1" x14ac:dyDescent="0.2">
      <c r="A281" s="34"/>
      <c r="B281" s="38"/>
      <c r="C281" s="50">
        <v>4270</v>
      </c>
      <c r="D281" s="44" t="s">
        <v>69</v>
      </c>
      <c r="E281" s="45">
        <v>206648</v>
      </c>
      <c r="F281" s="46"/>
      <c r="G281" s="46">
        <v>5000</v>
      </c>
      <c r="H281" s="47">
        <f t="shared" si="62"/>
        <v>201648</v>
      </c>
    </row>
    <row r="282" spans="1:8" s="18" customFormat="1" ht="12" customHeight="1" x14ac:dyDescent="0.2">
      <c r="A282" s="34"/>
      <c r="B282" s="38"/>
      <c r="C282" s="50">
        <v>4280</v>
      </c>
      <c r="D282" s="44" t="s">
        <v>77</v>
      </c>
      <c r="E282" s="45">
        <v>26007</v>
      </c>
      <c r="F282" s="46">
        <v>2300</v>
      </c>
      <c r="G282" s="46"/>
      <c r="H282" s="47">
        <f t="shared" si="62"/>
        <v>28307</v>
      </c>
    </row>
    <row r="283" spans="1:8" s="18" customFormat="1" ht="12" customHeight="1" x14ac:dyDescent="0.2">
      <c r="A283" s="34"/>
      <c r="B283" s="38"/>
      <c r="C283" s="38">
        <v>4300</v>
      </c>
      <c r="D283" s="44" t="s">
        <v>70</v>
      </c>
      <c r="E283" s="45">
        <v>356158</v>
      </c>
      <c r="F283" s="46">
        <v>22000</v>
      </c>
      <c r="G283" s="46">
        <v>1100</v>
      </c>
      <c r="H283" s="47">
        <f t="shared" si="62"/>
        <v>377058</v>
      </c>
    </row>
    <row r="284" spans="1:8" s="18" customFormat="1" ht="12" customHeight="1" x14ac:dyDescent="0.2">
      <c r="A284" s="34"/>
      <c r="B284" s="38"/>
      <c r="C284" s="130">
        <v>4360</v>
      </c>
      <c r="D284" s="403" t="s">
        <v>71</v>
      </c>
      <c r="E284" s="45">
        <v>26382</v>
      </c>
      <c r="F284" s="46">
        <v>630</v>
      </c>
      <c r="G284" s="46"/>
      <c r="H284" s="47">
        <f t="shared" si="62"/>
        <v>27012</v>
      </c>
    </row>
    <row r="285" spans="1:8" s="18" customFormat="1" ht="21" customHeight="1" x14ac:dyDescent="0.2">
      <c r="A285" s="34"/>
      <c r="B285" s="38"/>
      <c r="C285" s="130">
        <v>4390</v>
      </c>
      <c r="D285" s="109" t="s">
        <v>167</v>
      </c>
      <c r="E285" s="45">
        <v>4510</v>
      </c>
      <c r="F285" s="46"/>
      <c r="G285" s="46">
        <f>2000+200</f>
        <v>2200</v>
      </c>
      <c r="H285" s="47">
        <f t="shared" si="62"/>
        <v>2310</v>
      </c>
    </row>
    <row r="286" spans="1:8" s="18" customFormat="1" ht="12" customHeight="1" x14ac:dyDescent="0.2">
      <c r="A286" s="34"/>
      <c r="B286" s="38"/>
      <c r="C286" s="130">
        <v>4410</v>
      </c>
      <c r="D286" s="402" t="s">
        <v>84</v>
      </c>
      <c r="E286" s="45">
        <v>14211</v>
      </c>
      <c r="F286" s="46"/>
      <c r="G286" s="46">
        <v>2000</v>
      </c>
      <c r="H286" s="47">
        <f t="shared" si="62"/>
        <v>12211</v>
      </c>
    </row>
    <row r="287" spans="1:8" s="18" customFormat="1" ht="12" customHeight="1" x14ac:dyDescent="0.2">
      <c r="A287" s="34"/>
      <c r="B287" s="38"/>
      <c r="C287" s="130">
        <v>4420</v>
      </c>
      <c r="D287" s="402" t="s">
        <v>85</v>
      </c>
      <c r="E287" s="45">
        <v>0</v>
      </c>
      <c r="F287" s="46">
        <v>3300</v>
      </c>
      <c r="G287" s="46"/>
      <c r="H287" s="47">
        <f t="shared" si="62"/>
        <v>3300</v>
      </c>
    </row>
    <row r="288" spans="1:8" s="18" customFormat="1" ht="12" customHeight="1" x14ac:dyDescent="0.2">
      <c r="A288" s="34"/>
      <c r="B288" s="38"/>
      <c r="C288" s="50">
        <v>4710</v>
      </c>
      <c r="D288" s="148" t="s">
        <v>80</v>
      </c>
      <c r="E288" s="45">
        <v>98549.16</v>
      </c>
      <c r="F288" s="46"/>
      <c r="G288" s="46">
        <v>17600</v>
      </c>
      <c r="H288" s="47">
        <f t="shared" si="62"/>
        <v>80949.16</v>
      </c>
    </row>
    <row r="289" spans="1:8" s="18" customFormat="1" ht="23.1" customHeight="1" x14ac:dyDescent="0.2">
      <c r="A289" s="34"/>
      <c r="B289" s="38"/>
      <c r="C289" s="28"/>
      <c r="D289" s="120" t="s">
        <v>110</v>
      </c>
      <c r="E289" s="42">
        <v>15928.77</v>
      </c>
      <c r="F289" s="42">
        <f>SUM(F290:F294)</f>
        <v>6255.74</v>
      </c>
      <c r="G289" s="42">
        <f>SUM(G290:G294)</f>
        <v>1489.1100000000001</v>
      </c>
      <c r="H289" s="43">
        <f>SUM(E289+F289-G289)</f>
        <v>20695.400000000001</v>
      </c>
    </row>
    <row r="290" spans="1:8" s="18" customFormat="1" ht="20.45" customHeight="1" x14ac:dyDescent="0.2">
      <c r="A290" s="34"/>
      <c r="B290" s="38"/>
      <c r="C290" s="151" t="s">
        <v>86</v>
      </c>
      <c r="D290" s="145" t="s">
        <v>87</v>
      </c>
      <c r="E290" s="46">
        <v>739</v>
      </c>
      <c r="F290" s="46"/>
      <c r="G290" s="46">
        <v>739</v>
      </c>
      <c r="H290" s="47">
        <f t="shared" ref="H290:H296" si="63">SUM(E290+F290-G290)</f>
        <v>0</v>
      </c>
    </row>
    <row r="291" spans="1:8" s="18" customFormat="1" ht="12" customHeight="1" x14ac:dyDescent="0.2">
      <c r="A291" s="34"/>
      <c r="B291" s="38"/>
      <c r="C291" s="38">
        <v>4370</v>
      </c>
      <c r="D291" s="38" t="s">
        <v>94</v>
      </c>
      <c r="E291" s="46">
        <v>35.47</v>
      </c>
      <c r="F291" s="46"/>
      <c r="G291" s="46">
        <v>21.96</v>
      </c>
      <c r="H291" s="47">
        <f t="shared" si="63"/>
        <v>13.509999999999998</v>
      </c>
    </row>
    <row r="292" spans="1:8" s="18" customFormat="1" ht="23.1" customHeight="1" x14ac:dyDescent="0.2">
      <c r="A292" s="34"/>
      <c r="B292" s="38"/>
      <c r="C292" s="130">
        <v>4750</v>
      </c>
      <c r="D292" s="131" t="s">
        <v>112</v>
      </c>
      <c r="E292" s="46">
        <v>11718.37</v>
      </c>
      <c r="F292" s="45">
        <v>4911.3999999999996</v>
      </c>
      <c r="G292" s="45"/>
      <c r="H292" s="47">
        <f t="shared" si="63"/>
        <v>16629.77</v>
      </c>
    </row>
    <row r="293" spans="1:8" s="18" customFormat="1" ht="23.1" customHeight="1" x14ac:dyDescent="0.2">
      <c r="A293" s="34"/>
      <c r="B293" s="38"/>
      <c r="C293" s="130">
        <v>4850</v>
      </c>
      <c r="D293" s="131" t="s">
        <v>113</v>
      </c>
      <c r="E293" s="46">
        <v>2617.44</v>
      </c>
      <c r="F293" s="46">
        <v>1344.34</v>
      </c>
      <c r="G293" s="46"/>
      <c r="H293" s="47">
        <f t="shared" si="63"/>
        <v>3961.7799999999997</v>
      </c>
    </row>
    <row r="294" spans="1:8" s="18" customFormat="1" ht="20.25" customHeight="1" x14ac:dyDescent="0.2">
      <c r="A294" s="34"/>
      <c r="B294" s="38"/>
      <c r="C294" s="130">
        <v>4860</v>
      </c>
      <c r="D294" s="131" t="s">
        <v>114</v>
      </c>
      <c r="E294" s="46">
        <v>818.49</v>
      </c>
      <c r="F294" s="46"/>
      <c r="G294" s="46">
        <v>728.15</v>
      </c>
      <c r="H294" s="47">
        <f t="shared" si="63"/>
        <v>90.340000000000032</v>
      </c>
    </row>
    <row r="295" spans="1:8" s="18" customFormat="1" ht="12" customHeight="1" x14ac:dyDescent="0.2">
      <c r="A295" s="34"/>
      <c r="B295" s="38"/>
      <c r="C295" s="35"/>
      <c r="D295" s="10" t="s">
        <v>427</v>
      </c>
      <c r="E295" s="42">
        <v>914177.76</v>
      </c>
      <c r="F295" s="42">
        <f>SUM(F296)</f>
        <v>1000</v>
      </c>
      <c r="G295" s="42">
        <f>SUM(G296)</f>
        <v>0</v>
      </c>
      <c r="H295" s="42">
        <f t="shared" si="63"/>
        <v>915177.76</v>
      </c>
    </row>
    <row r="296" spans="1:8" s="18" customFormat="1" ht="12" customHeight="1" x14ac:dyDescent="0.2">
      <c r="A296" s="34"/>
      <c r="B296" s="38"/>
      <c r="C296" s="130">
        <v>4580</v>
      </c>
      <c r="D296" s="403" t="s">
        <v>78</v>
      </c>
      <c r="E296" s="116">
        <v>4500</v>
      </c>
      <c r="F296" s="116">
        <v>1000</v>
      </c>
      <c r="G296" s="116"/>
      <c r="H296" s="116">
        <f t="shared" si="63"/>
        <v>5500</v>
      </c>
    </row>
    <row r="297" spans="1:8" s="18" customFormat="1" ht="12" customHeight="1" x14ac:dyDescent="0.2">
      <c r="A297" s="34"/>
      <c r="B297" s="38">
        <v>80116</v>
      </c>
      <c r="C297" s="28"/>
      <c r="D297" s="48" t="s">
        <v>130</v>
      </c>
      <c r="E297" s="51">
        <v>5747682.5800000001</v>
      </c>
      <c r="F297" s="40">
        <f>SUM(F298)</f>
        <v>200000</v>
      </c>
      <c r="G297" s="40">
        <f>SUM(G298)</f>
        <v>0</v>
      </c>
      <c r="H297" s="39">
        <f>SUM(E297+F297-G297)</f>
        <v>5947682.5800000001</v>
      </c>
    </row>
    <row r="298" spans="1:8" s="18" customFormat="1" ht="12" customHeight="1" x14ac:dyDescent="0.2">
      <c r="A298" s="34"/>
      <c r="B298" s="38"/>
      <c r="C298" s="28"/>
      <c r="D298" s="10" t="s">
        <v>102</v>
      </c>
      <c r="E298" s="42">
        <v>4906549.91</v>
      </c>
      <c r="F298" s="42">
        <f>SUM(F299:F299)</f>
        <v>200000</v>
      </c>
      <c r="G298" s="42">
        <f>SUM(G299:G299)</f>
        <v>0</v>
      </c>
      <c r="H298" s="42">
        <f t="shared" ref="H298:H299" si="64">SUM(E298+F298-G298)</f>
        <v>5106549.91</v>
      </c>
    </row>
    <row r="299" spans="1:8" s="18" customFormat="1" ht="21" customHeight="1" x14ac:dyDescent="0.2">
      <c r="A299" s="34"/>
      <c r="B299" s="38"/>
      <c r="C299" s="130">
        <v>2540</v>
      </c>
      <c r="D299" s="131" t="s">
        <v>103</v>
      </c>
      <c r="E299" s="116">
        <v>4906549.91</v>
      </c>
      <c r="F299" s="116">
        <v>200000</v>
      </c>
      <c r="G299" s="116"/>
      <c r="H299" s="116">
        <f t="shared" si="64"/>
        <v>5106549.91</v>
      </c>
    </row>
    <row r="300" spans="1:8" s="18" customFormat="1" ht="12" customHeight="1" x14ac:dyDescent="0.2">
      <c r="A300" s="34"/>
      <c r="B300" s="38">
        <v>80117</v>
      </c>
      <c r="C300" s="28"/>
      <c r="D300" s="48" t="s">
        <v>131</v>
      </c>
      <c r="E300" s="51">
        <v>8793629.0999999996</v>
      </c>
      <c r="F300" s="40">
        <f>SUM(F301,F304,F310,F316)</f>
        <v>64425.27</v>
      </c>
      <c r="G300" s="40">
        <f>SUM(G301,G304,G310,G316)</f>
        <v>54800</v>
      </c>
      <c r="H300" s="39">
        <f>SUM(E300+F300-G300)</f>
        <v>8803254.3699999992</v>
      </c>
    </row>
    <row r="301" spans="1:8" s="18" customFormat="1" ht="12" customHeight="1" x14ac:dyDescent="0.2">
      <c r="A301" s="34"/>
      <c r="B301" s="38"/>
      <c r="C301" s="28"/>
      <c r="D301" s="10" t="s">
        <v>102</v>
      </c>
      <c r="E301" s="42">
        <v>2553219.77</v>
      </c>
      <c r="F301" s="42">
        <f>SUM(F302:F303)</f>
        <v>50000</v>
      </c>
      <c r="G301" s="42">
        <f>SUM(G302:G303)</f>
        <v>50000</v>
      </c>
      <c r="H301" s="42">
        <f t="shared" ref="H301:H309" si="65">SUM(E301+F301-G301)</f>
        <v>2553219.77</v>
      </c>
    </row>
    <row r="302" spans="1:8" s="18" customFormat="1" ht="21" customHeight="1" x14ac:dyDescent="0.2">
      <c r="A302" s="34"/>
      <c r="B302" s="38"/>
      <c r="C302" s="130">
        <v>2540</v>
      </c>
      <c r="D302" s="131" t="s">
        <v>103</v>
      </c>
      <c r="E302" s="116">
        <v>1579028.5</v>
      </c>
      <c r="F302" s="116"/>
      <c r="G302" s="116">
        <v>50000</v>
      </c>
      <c r="H302" s="116">
        <f t="shared" si="65"/>
        <v>1529028.5</v>
      </c>
    </row>
    <row r="303" spans="1:8" s="18" customFormat="1" ht="36.75" customHeight="1" x14ac:dyDescent="0.2">
      <c r="A303" s="34"/>
      <c r="B303" s="38"/>
      <c r="C303" s="130">
        <v>2590</v>
      </c>
      <c r="D303" s="161" t="s">
        <v>104</v>
      </c>
      <c r="E303" s="46">
        <v>974191.27</v>
      </c>
      <c r="F303" s="46">
        <v>50000</v>
      </c>
      <c r="G303" s="46"/>
      <c r="H303" s="45">
        <f t="shared" si="65"/>
        <v>1024191.27</v>
      </c>
    </row>
    <row r="304" spans="1:8" s="18" customFormat="1" ht="12" customHeight="1" x14ac:dyDescent="0.2">
      <c r="A304" s="34"/>
      <c r="B304" s="34"/>
      <c r="C304" s="28"/>
      <c r="D304" s="107" t="s">
        <v>105</v>
      </c>
      <c r="E304" s="42">
        <v>6236570.0499999998</v>
      </c>
      <c r="F304" s="42">
        <f>SUM(F305:F309)</f>
        <v>7000</v>
      </c>
      <c r="G304" s="42">
        <f>SUM(G305:G309)</f>
        <v>4800</v>
      </c>
      <c r="H304" s="42">
        <f t="shared" si="65"/>
        <v>6238770.0499999998</v>
      </c>
    </row>
    <row r="305" spans="1:8" s="18" customFormat="1" ht="12" customHeight="1" x14ac:dyDescent="0.2">
      <c r="A305" s="34"/>
      <c r="B305" s="34"/>
      <c r="C305" s="50">
        <v>4270</v>
      </c>
      <c r="D305" s="44" t="s">
        <v>69</v>
      </c>
      <c r="E305" s="46">
        <v>25330</v>
      </c>
      <c r="F305" s="46"/>
      <c r="G305" s="46">
        <v>1500</v>
      </c>
      <c r="H305" s="45">
        <f t="shared" si="65"/>
        <v>23830</v>
      </c>
    </row>
    <row r="306" spans="1:8" s="18" customFormat="1" ht="12" customHeight="1" x14ac:dyDescent="0.2">
      <c r="A306" s="34"/>
      <c r="B306" s="38"/>
      <c r="C306" s="38">
        <v>4300</v>
      </c>
      <c r="D306" s="44" t="s">
        <v>70</v>
      </c>
      <c r="E306" s="45">
        <v>73719</v>
      </c>
      <c r="F306" s="46">
        <v>7000</v>
      </c>
      <c r="G306" s="46"/>
      <c r="H306" s="45">
        <f t="shared" si="65"/>
        <v>80719</v>
      </c>
    </row>
    <row r="307" spans="1:8" s="18" customFormat="1" ht="12" customHeight="1" x14ac:dyDescent="0.2">
      <c r="A307" s="34"/>
      <c r="B307" s="38"/>
      <c r="C307" s="130">
        <v>4410</v>
      </c>
      <c r="D307" s="402" t="s">
        <v>84</v>
      </c>
      <c r="E307" s="45">
        <v>2137</v>
      </c>
      <c r="F307" s="46"/>
      <c r="G307" s="46">
        <v>500</v>
      </c>
      <c r="H307" s="45">
        <f t="shared" si="65"/>
        <v>1637</v>
      </c>
    </row>
    <row r="308" spans="1:8" s="18" customFormat="1" ht="12" customHeight="1" x14ac:dyDescent="0.2">
      <c r="A308" s="34"/>
      <c r="B308" s="38"/>
      <c r="C308" s="50">
        <v>4710</v>
      </c>
      <c r="D308" s="148" t="s">
        <v>80</v>
      </c>
      <c r="E308" s="45">
        <v>24475.03</v>
      </c>
      <c r="F308" s="46"/>
      <c r="G308" s="46">
        <v>2000</v>
      </c>
      <c r="H308" s="45">
        <f t="shared" si="65"/>
        <v>22475.03</v>
      </c>
    </row>
    <row r="309" spans="1:8" s="18" customFormat="1" ht="12" customHeight="1" x14ac:dyDescent="0.2">
      <c r="A309" s="126"/>
      <c r="B309" s="146"/>
      <c r="C309" s="165">
        <v>4800</v>
      </c>
      <c r="D309" s="166" t="s">
        <v>109</v>
      </c>
      <c r="E309" s="128">
        <v>267442</v>
      </c>
      <c r="F309" s="51"/>
      <c r="G309" s="51">
        <v>800</v>
      </c>
      <c r="H309" s="128">
        <f t="shared" si="65"/>
        <v>266642</v>
      </c>
    </row>
    <row r="310" spans="1:8" s="18" customFormat="1" ht="21.75" customHeight="1" x14ac:dyDescent="0.2">
      <c r="A310" s="34"/>
      <c r="B310" s="38"/>
      <c r="C310" s="28"/>
      <c r="D310" s="120" t="s">
        <v>110</v>
      </c>
      <c r="E310" s="42">
        <v>3839.28</v>
      </c>
      <c r="F310" s="42">
        <f>SUM(F311:F315)</f>
        <v>6715.9299999999994</v>
      </c>
      <c r="G310" s="42">
        <f>SUM(G311:G315)</f>
        <v>0</v>
      </c>
      <c r="H310" s="43">
        <f>SUM(E310+F310-G310)</f>
        <v>10555.21</v>
      </c>
    </row>
    <row r="311" spans="1:8" s="18" customFormat="1" ht="20.25" customHeight="1" x14ac:dyDescent="0.2">
      <c r="A311" s="34"/>
      <c r="B311" s="38"/>
      <c r="C311" s="151" t="s">
        <v>86</v>
      </c>
      <c r="D311" s="145" t="s">
        <v>87</v>
      </c>
      <c r="E311" s="46">
        <v>357.32</v>
      </c>
      <c r="F311" s="46">
        <v>2842.68</v>
      </c>
      <c r="G311" s="46"/>
      <c r="H311" s="47">
        <f t="shared" ref="H311:H315" si="66">SUM(E311+F311-G311)</f>
        <v>3200</v>
      </c>
    </row>
    <row r="312" spans="1:8" s="18" customFormat="1" ht="12" customHeight="1" x14ac:dyDescent="0.2">
      <c r="A312" s="34"/>
      <c r="B312" s="38"/>
      <c r="C312" s="38">
        <v>4370</v>
      </c>
      <c r="D312" s="38" t="s">
        <v>94</v>
      </c>
      <c r="E312" s="46">
        <v>0</v>
      </c>
      <c r="F312" s="46">
        <v>11.61</v>
      </c>
      <c r="G312" s="46"/>
      <c r="H312" s="47">
        <f t="shared" si="66"/>
        <v>11.61</v>
      </c>
    </row>
    <row r="313" spans="1:8" s="18" customFormat="1" ht="20.25" customHeight="1" x14ac:dyDescent="0.2">
      <c r="A313" s="34"/>
      <c r="B313" s="38"/>
      <c r="C313" s="130">
        <v>4750</v>
      </c>
      <c r="D313" s="131" t="s">
        <v>112</v>
      </c>
      <c r="E313" s="46">
        <v>2879.44</v>
      </c>
      <c r="F313" s="116">
        <v>1925.07</v>
      </c>
      <c r="G313" s="116"/>
      <c r="H313" s="116">
        <f t="shared" si="66"/>
        <v>4804.51</v>
      </c>
    </row>
    <row r="314" spans="1:8" s="18" customFormat="1" ht="21" customHeight="1" x14ac:dyDescent="0.2">
      <c r="A314" s="34"/>
      <c r="B314" s="38"/>
      <c r="C314" s="130">
        <v>4850</v>
      </c>
      <c r="D314" s="131" t="s">
        <v>113</v>
      </c>
      <c r="E314" s="46">
        <v>602.52</v>
      </c>
      <c r="F314" s="46">
        <v>910.83</v>
      </c>
      <c r="G314" s="46"/>
      <c r="H314" s="45">
        <f t="shared" si="66"/>
        <v>1513.35</v>
      </c>
    </row>
    <row r="315" spans="1:8" s="18" customFormat="1" ht="21" customHeight="1" x14ac:dyDescent="0.2">
      <c r="A315" s="34"/>
      <c r="B315" s="38"/>
      <c r="C315" s="130">
        <v>4860</v>
      </c>
      <c r="D315" s="131" t="s">
        <v>114</v>
      </c>
      <c r="E315" s="46">
        <v>0</v>
      </c>
      <c r="F315" s="46">
        <v>1025.74</v>
      </c>
      <c r="G315" s="46"/>
      <c r="H315" s="47">
        <f t="shared" si="66"/>
        <v>1025.74</v>
      </c>
    </row>
    <row r="316" spans="1:8" s="18" customFormat="1" ht="21" customHeight="1" x14ac:dyDescent="0.2">
      <c r="A316" s="34"/>
      <c r="B316" s="38"/>
      <c r="C316" s="28"/>
      <c r="D316" s="120" t="s">
        <v>121</v>
      </c>
      <c r="E316" s="42">
        <v>0</v>
      </c>
      <c r="F316" s="42">
        <f>SUM(F317)</f>
        <v>709.34</v>
      </c>
      <c r="G316" s="42">
        <f>SUM(G317)</f>
        <v>0</v>
      </c>
      <c r="H316" s="43">
        <f>SUM(E316+F316-G316)</f>
        <v>709.34</v>
      </c>
    </row>
    <row r="317" spans="1:8" s="18" customFormat="1" ht="34.5" customHeight="1" x14ac:dyDescent="0.2">
      <c r="A317" s="34"/>
      <c r="B317" s="38"/>
      <c r="C317" s="151" t="s">
        <v>122</v>
      </c>
      <c r="D317" s="145" t="s">
        <v>123</v>
      </c>
      <c r="E317" s="45">
        <v>0</v>
      </c>
      <c r="F317" s="46">
        <v>709.34</v>
      </c>
      <c r="G317" s="46"/>
      <c r="H317" s="47">
        <f t="shared" ref="H317" si="67">SUM(E317+F317-G317)</f>
        <v>709.34</v>
      </c>
    </row>
    <row r="318" spans="1:8" s="18" customFormat="1" ht="12" customHeight="1" x14ac:dyDescent="0.2">
      <c r="A318" s="34"/>
      <c r="B318" s="49">
        <v>80120</v>
      </c>
      <c r="C318" s="133"/>
      <c r="D318" s="136" t="s">
        <v>132</v>
      </c>
      <c r="E318" s="51">
        <v>30696842.66</v>
      </c>
      <c r="F318" s="40">
        <f>SUM(F319,F321,F332,F337)</f>
        <v>42298.86</v>
      </c>
      <c r="G318" s="40">
        <f>SUM(G319,G321,G332,G337)</f>
        <v>130115</v>
      </c>
      <c r="H318" s="39">
        <f>SUM(E318+F318-G318)</f>
        <v>30609026.52</v>
      </c>
    </row>
    <row r="319" spans="1:8" s="18" customFormat="1" ht="12" customHeight="1" x14ac:dyDescent="0.2">
      <c r="A319" s="34"/>
      <c r="B319" s="49"/>
      <c r="C319" s="28"/>
      <c r="D319" s="10" t="s">
        <v>102</v>
      </c>
      <c r="E319" s="42">
        <v>6358107.5899999999</v>
      </c>
      <c r="F319" s="42">
        <f>SUM(F320:F320)</f>
        <v>0</v>
      </c>
      <c r="G319" s="42">
        <f>SUM(G320:G320)</f>
        <v>100000</v>
      </c>
      <c r="H319" s="42">
        <f t="shared" ref="H319:H336" si="68">SUM(E319+F319-G319)</f>
        <v>6258107.5899999999</v>
      </c>
    </row>
    <row r="320" spans="1:8" s="18" customFormat="1" ht="18.75" customHeight="1" x14ac:dyDescent="0.2">
      <c r="A320" s="34"/>
      <c r="B320" s="49"/>
      <c r="C320" s="130">
        <v>2540</v>
      </c>
      <c r="D320" s="131" t="s">
        <v>103</v>
      </c>
      <c r="E320" s="116">
        <v>3326805.58</v>
      </c>
      <c r="F320" s="116"/>
      <c r="G320" s="116">
        <v>100000</v>
      </c>
      <c r="H320" s="116">
        <f t="shared" si="68"/>
        <v>3226805.58</v>
      </c>
    </row>
    <row r="321" spans="1:8" s="18" customFormat="1" ht="12" customHeight="1" x14ac:dyDescent="0.2">
      <c r="A321" s="34"/>
      <c r="B321" s="34"/>
      <c r="C321" s="28"/>
      <c r="D321" s="107" t="s">
        <v>105</v>
      </c>
      <c r="E321" s="42">
        <v>23835269.57</v>
      </c>
      <c r="F321" s="42">
        <f>SUM(F322:F331)</f>
        <v>25515</v>
      </c>
      <c r="G321" s="42">
        <f>SUM(G322:G331)</f>
        <v>30115</v>
      </c>
      <c r="H321" s="42">
        <f t="shared" si="68"/>
        <v>23830669.57</v>
      </c>
    </row>
    <row r="322" spans="1:8" s="18" customFormat="1" ht="11.45" customHeight="1" x14ac:dyDescent="0.2">
      <c r="A322" s="34"/>
      <c r="B322" s="38"/>
      <c r="C322" s="130">
        <v>3020</v>
      </c>
      <c r="D322" s="403" t="s">
        <v>76</v>
      </c>
      <c r="E322" s="47">
        <v>31452</v>
      </c>
      <c r="F322" s="116">
        <v>1000</v>
      </c>
      <c r="G322" s="116"/>
      <c r="H322" s="116">
        <f t="shared" si="68"/>
        <v>32452</v>
      </c>
    </row>
    <row r="323" spans="1:8" s="18" customFormat="1" ht="11.45" customHeight="1" x14ac:dyDescent="0.2">
      <c r="A323" s="34"/>
      <c r="B323" s="38"/>
      <c r="C323" s="50">
        <v>4040</v>
      </c>
      <c r="D323" s="44" t="s">
        <v>106</v>
      </c>
      <c r="E323" s="47">
        <v>202573</v>
      </c>
      <c r="F323" s="116"/>
      <c r="G323" s="116">
        <v>1600</v>
      </c>
      <c r="H323" s="116">
        <f t="shared" si="68"/>
        <v>200973</v>
      </c>
    </row>
    <row r="324" spans="1:8" s="18" customFormat="1" ht="11.45" customHeight="1" x14ac:dyDescent="0.2">
      <c r="A324" s="34"/>
      <c r="B324" s="38"/>
      <c r="C324" s="152" t="s">
        <v>22</v>
      </c>
      <c r="D324" s="148" t="s">
        <v>89</v>
      </c>
      <c r="E324" s="46">
        <v>158250</v>
      </c>
      <c r="F324" s="46">
        <v>15415</v>
      </c>
      <c r="G324" s="46"/>
      <c r="H324" s="45">
        <f t="shared" si="68"/>
        <v>173665</v>
      </c>
    </row>
    <row r="325" spans="1:8" s="18" customFormat="1" ht="11.45" customHeight="1" x14ac:dyDescent="0.2">
      <c r="A325" s="34"/>
      <c r="B325" s="38"/>
      <c r="C325" s="50">
        <v>4240</v>
      </c>
      <c r="D325" s="44" t="s">
        <v>108</v>
      </c>
      <c r="E325" s="47">
        <v>100153</v>
      </c>
      <c r="F325" s="46"/>
      <c r="G325" s="46">
        <v>5400</v>
      </c>
      <c r="H325" s="45">
        <f t="shared" si="68"/>
        <v>94753</v>
      </c>
    </row>
    <row r="326" spans="1:8" s="18" customFormat="1" ht="11.45" customHeight="1" x14ac:dyDescent="0.2">
      <c r="A326" s="34"/>
      <c r="B326" s="38"/>
      <c r="C326" s="130">
        <v>4260</v>
      </c>
      <c r="D326" s="403" t="s">
        <v>68</v>
      </c>
      <c r="E326" s="47">
        <v>1573017</v>
      </c>
      <c r="F326" s="46">
        <v>3700</v>
      </c>
      <c r="G326" s="46"/>
      <c r="H326" s="45">
        <f t="shared" si="68"/>
        <v>1576717</v>
      </c>
    </row>
    <row r="327" spans="1:8" s="18" customFormat="1" ht="11.45" customHeight="1" x14ac:dyDescent="0.2">
      <c r="A327" s="34"/>
      <c r="B327" s="38"/>
      <c r="C327" s="50">
        <v>4270</v>
      </c>
      <c r="D327" s="44" t="s">
        <v>69</v>
      </c>
      <c r="E327" s="47">
        <v>55659</v>
      </c>
      <c r="F327" s="46"/>
      <c r="G327" s="46">
        <v>11915</v>
      </c>
      <c r="H327" s="45">
        <f t="shared" si="68"/>
        <v>43744</v>
      </c>
    </row>
    <row r="328" spans="1:8" s="18" customFormat="1" ht="11.45" customHeight="1" x14ac:dyDescent="0.2">
      <c r="A328" s="34"/>
      <c r="B328" s="38"/>
      <c r="C328" s="50">
        <v>4280</v>
      </c>
      <c r="D328" s="44" t="s">
        <v>77</v>
      </c>
      <c r="E328" s="47">
        <v>15505</v>
      </c>
      <c r="F328" s="46">
        <v>1500</v>
      </c>
      <c r="G328" s="46"/>
      <c r="H328" s="45">
        <f t="shared" si="68"/>
        <v>17005</v>
      </c>
    </row>
    <row r="329" spans="1:8" s="18" customFormat="1" ht="11.45" customHeight="1" x14ac:dyDescent="0.2">
      <c r="A329" s="34"/>
      <c r="B329" s="38"/>
      <c r="C329" s="50">
        <v>4300</v>
      </c>
      <c r="D329" s="44" t="s">
        <v>70</v>
      </c>
      <c r="E329" s="47">
        <v>227333</v>
      </c>
      <c r="F329" s="46">
        <v>3900</v>
      </c>
      <c r="G329" s="46"/>
      <c r="H329" s="45">
        <f t="shared" si="68"/>
        <v>231233</v>
      </c>
    </row>
    <row r="330" spans="1:8" s="18" customFormat="1" ht="12" customHeight="1" x14ac:dyDescent="0.2">
      <c r="A330" s="34"/>
      <c r="B330" s="38"/>
      <c r="C330" s="130">
        <v>4360</v>
      </c>
      <c r="D330" s="403" t="s">
        <v>71</v>
      </c>
      <c r="E330" s="47">
        <v>17201</v>
      </c>
      <c r="F330" s="46"/>
      <c r="G330" s="46">
        <v>1500</v>
      </c>
      <c r="H330" s="45">
        <f t="shared" si="68"/>
        <v>15701</v>
      </c>
    </row>
    <row r="331" spans="1:8" s="18" customFormat="1" ht="11.45" customHeight="1" x14ac:dyDescent="0.2">
      <c r="A331" s="34"/>
      <c r="B331" s="38"/>
      <c r="C331" s="50">
        <v>4710</v>
      </c>
      <c r="D331" s="148" t="s">
        <v>80</v>
      </c>
      <c r="E331" s="47">
        <v>76399.960000000006</v>
      </c>
      <c r="F331" s="46"/>
      <c r="G331" s="46">
        <v>9700</v>
      </c>
      <c r="H331" s="45">
        <f t="shared" si="68"/>
        <v>66699.960000000006</v>
      </c>
    </row>
    <row r="332" spans="1:8" s="18" customFormat="1" ht="23.1" customHeight="1" x14ac:dyDescent="0.2">
      <c r="A332" s="34"/>
      <c r="B332" s="38"/>
      <c r="C332" s="28"/>
      <c r="D332" s="120" t="s">
        <v>110</v>
      </c>
      <c r="E332" s="42">
        <v>77929.69</v>
      </c>
      <c r="F332" s="42">
        <f>SUM(F333:F336)</f>
        <v>12305.470000000001</v>
      </c>
      <c r="G332" s="42">
        <f>SUM(G333:G336)</f>
        <v>0</v>
      </c>
      <c r="H332" s="42">
        <f t="shared" si="68"/>
        <v>90235.16</v>
      </c>
    </row>
    <row r="333" spans="1:8" s="18" customFormat="1" ht="12" customHeight="1" x14ac:dyDescent="0.2">
      <c r="A333" s="34"/>
      <c r="B333" s="38"/>
      <c r="C333" s="38">
        <v>4370</v>
      </c>
      <c r="D333" s="38" t="s">
        <v>94</v>
      </c>
      <c r="E333" s="46">
        <v>167.03</v>
      </c>
      <c r="F333" s="46">
        <v>150</v>
      </c>
      <c r="G333" s="46"/>
      <c r="H333" s="47">
        <f t="shared" si="68"/>
        <v>317.02999999999997</v>
      </c>
    </row>
    <row r="334" spans="1:8" s="18" customFormat="1" ht="23.1" customHeight="1" x14ac:dyDescent="0.2">
      <c r="A334" s="34"/>
      <c r="B334" s="38"/>
      <c r="C334" s="130">
        <v>4750</v>
      </c>
      <c r="D334" s="131" t="s">
        <v>112</v>
      </c>
      <c r="E334" s="46">
        <v>41096.980000000003</v>
      </c>
      <c r="F334" s="116">
        <v>9388.68</v>
      </c>
      <c r="G334" s="116"/>
      <c r="H334" s="47">
        <f t="shared" si="68"/>
        <v>50485.66</v>
      </c>
    </row>
    <row r="335" spans="1:8" s="18" customFormat="1" ht="23.1" customHeight="1" x14ac:dyDescent="0.2">
      <c r="A335" s="34"/>
      <c r="B335" s="38"/>
      <c r="C335" s="130">
        <v>4850</v>
      </c>
      <c r="D335" s="131" t="s">
        <v>113</v>
      </c>
      <c r="E335" s="46">
        <v>11681.78</v>
      </c>
      <c r="F335" s="116">
        <v>2266.79</v>
      </c>
      <c r="G335" s="116"/>
      <c r="H335" s="116">
        <f t="shared" si="68"/>
        <v>13948.57</v>
      </c>
    </row>
    <row r="336" spans="1:8" s="18" customFormat="1" ht="23.1" customHeight="1" x14ac:dyDescent="0.2">
      <c r="A336" s="34"/>
      <c r="B336" s="38"/>
      <c r="C336" s="130">
        <v>4860</v>
      </c>
      <c r="D336" s="131" t="s">
        <v>114</v>
      </c>
      <c r="E336" s="46">
        <v>3024.9</v>
      </c>
      <c r="F336" s="116">
        <v>500</v>
      </c>
      <c r="G336" s="116"/>
      <c r="H336" s="116">
        <f t="shared" si="68"/>
        <v>3524.9</v>
      </c>
    </row>
    <row r="337" spans="1:8" s="18" customFormat="1" ht="23.1" customHeight="1" x14ac:dyDescent="0.2">
      <c r="A337" s="34"/>
      <c r="B337" s="38"/>
      <c r="C337" s="28"/>
      <c r="D337" s="120" t="s">
        <v>121</v>
      </c>
      <c r="E337" s="42">
        <v>0</v>
      </c>
      <c r="F337" s="42">
        <f>SUM(F338)</f>
        <v>4478.3900000000003</v>
      </c>
      <c r="G337" s="42">
        <f>SUM(G338)</f>
        <v>0</v>
      </c>
      <c r="H337" s="43">
        <f>SUM(E337+F337-G337)</f>
        <v>4478.3900000000003</v>
      </c>
    </row>
    <row r="338" spans="1:8" s="18" customFormat="1" ht="34.5" customHeight="1" x14ac:dyDescent="0.2">
      <c r="A338" s="34"/>
      <c r="B338" s="38"/>
      <c r="C338" s="151" t="s">
        <v>122</v>
      </c>
      <c r="D338" s="145" t="s">
        <v>123</v>
      </c>
      <c r="E338" s="45">
        <v>0</v>
      </c>
      <c r="F338" s="46">
        <v>4478.3900000000003</v>
      </c>
      <c r="G338" s="46"/>
      <c r="H338" s="47">
        <f t="shared" ref="H338" si="69">SUM(E338+F338-G338)</f>
        <v>4478.3900000000003</v>
      </c>
    </row>
    <row r="339" spans="1:8" s="18" customFormat="1" ht="11.45" customHeight="1" x14ac:dyDescent="0.2">
      <c r="A339" s="34"/>
      <c r="B339" s="50">
        <v>80132</v>
      </c>
      <c r="C339" s="28"/>
      <c r="D339" s="48" t="s">
        <v>133</v>
      </c>
      <c r="E339" s="39">
        <v>14474849.199999999</v>
      </c>
      <c r="F339" s="40">
        <f>SUM(F340)</f>
        <v>5906.32</v>
      </c>
      <c r="G339" s="40">
        <f>SUM(G340)</f>
        <v>0</v>
      </c>
      <c r="H339" s="39">
        <f>SUM(E339+F339-G339)</f>
        <v>14480755.52</v>
      </c>
    </row>
    <row r="340" spans="1:8" s="18" customFormat="1" ht="23.1" customHeight="1" x14ac:dyDescent="0.2">
      <c r="A340" s="34"/>
      <c r="B340" s="50"/>
      <c r="C340" s="28"/>
      <c r="D340" s="120" t="s">
        <v>110</v>
      </c>
      <c r="E340" s="42">
        <v>10028.530000000001</v>
      </c>
      <c r="F340" s="42">
        <f>SUM(F341:F344)</f>
        <v>5906.32</v>
      </c>
      <c r="G340" s="42">
        <f>SUM(G341:G344)</f>
        <v>0</v>
      </c>
      <c r="H340" s="42">
        <f t="shared" ref="H340:H344" si="70">SUM(E340+F340-G340)</f>
        <v>15934.85</v>
      </c>
    </row>
    <row r="341" spans="1:8" s="18" customFormat="1" ht="12" customHeight="1" x14ac:dyDescent="0.2">
      <c r="A341" s="34"/>
      <c r="B341" s="38"/>
      <c r="C341" s="38">
        <v>4370</v>
      </c>
      <c r="D341" s="38" t="s">
        <v>94</v>
      </c>
      <c r="E341" s="46">
        <v>35.28</v>
      </c>
      <c r="F341" s="116">
        <v>6.28</v>
      </c>
      <c r="G341" s="116"/>
      <c r="H341" s="116">
        <f t="shared" si="70"/>
        <v>41.56</v>
      </c>
    </row>
    <row r="342" spans="1:8" s="18" customFormat="1" ht="23.1" customHeight="1" x14ac:dyDescent="0.2">
      <c r="A342" s="34"/>
      <c r="B342" s="38"/>
      <c r="C342" s="130">
        <v>4750</v>
      </c>
      <c r="D342" s="131" t="s">
        <v>112</v>
      </c>
      <c r="E342" s="46">
        <v>7344.09</v>
      </c>
      <c r="F342" s="116">
        <v>4594.26</v>
      </c>
      <c r="G342" s="116"/>
      <c r="H342" s="116">
        <f t="shared" si="70"/>
        <v>11938.35</v>
      </c>
    </row>
    <row r="343" spans="1:8" s="18" customFormat="1" ht="23.1" customHeight="1" x14ac:dyDescent="0.2">
      <c r="A343" s="34"/>
      <c r="B343" s="38"/>
      <c r="C343" s="130">
        <v>4850</v>
      </c>
      <c r="D343" s="131" t="s">
        <v>113</v>
      </c>
      <c r="E343" s="46">
        <v>1967.44</v>
      </c>
      <c r="F343" s="116">
        <v>1160</v>
      </c>
      <c r="G343" s="116"/>
      <c r="H343" s="116">
        <f t="shared" si="70"/>
        <v>3127.44</v>
      </c>
    </row>
    <row r="344" spans="1:8" s="18" customFormat="1" ht="23.1" customHeight="1" x14ac:dyDescent="0.2">
      <c r="A344" s="34"/>
      <c r="B344" s="38"/>
      <c r="C344" s="130">
        <v>4860</v>
      </c>
      <c r="D344" s="131" t="s">
        <v>114</v>
      </c>
      <c r="E344" s="46">
        <v>681.72</v>
      </c>
      <c r="F344" s="116">
        <v>145.78</v>
      </c>
      <c r="G344" s="116"/>
      <c r="H344" s="116">
        <f t="shared" si="70"/>
        <v>827.5</v>
      </c>
    </row>
    <row r="345" spans="1:8" s="18" customFormat="1" ht="11.45" customHeight="1" x14ac:dyDescent="0.2">
      <c r="A345" s="34"/>
      <c r="B345" s="38">
        <v>80134</v>
      </c>
      <c r="C345" s="28"/>
      <c r="D345" s="125" t="s">
        <v>134</v>
      </c>
      <c r="E345" s="51">
        <v>9803748.1699999999</v>
      </c>
      <c r="F345" s="40">
        <f>SUM(F346,F351)</f>
        <v>7000</v>
      </c>
      <c r="G345" s="40">
        <f>SUM(G346,G351)</f>
        <v>2700</v>
      </c>
      <c r="H345" s="39">
        <f>SUM(E345+F345-G345)</f>
        <v>9808048.1699999999</v>
      </c>
    </row>
    <row r="346" spans="1:8" s="18" customFormat="1" ht="11.45" customHeight="1" x14ac:dyDescent="0.2">
      <c r="A346" s="34"/>
      <c r="B346" s="34"/>
      <c r="C346" s="28"/>
      <c r="D346" s="107" t="s">
        <v>105</v>
      </c>
      <c r="E346" s="42">
        <v>9517925.9299999997</v>
      </c>
      <c r="F346" s="42">
        <f>SUM(F347:F350)</f>
        <v>7000</v>
      </c>
      <c r="G346" s="42">
        <f>SUM(G347:G350)</f>
        <v>1700</v>
      </c>
      <c r="H346" s="43">
        <f>SUM(E346+F346-G346)</f>
        <v>9523225.9299999997</v>
      </c>
    </row>
    <row r="347" spans="1:8" s="18" customFormat="1" ht="11.45" customHeight="1" x14ac:dyDescent="0.2">
      <c r="A347" s="34"/>
      <c r="B347" s="34"/>
      <c r="C347" s="130">
        <v>3020</v>
      </c>
      <c r="D347" s="403" t="s">
        <v>76</v>
      </c>
      <c r="E347" s="46">
        <v>32892</v>
      </c>
      <c r="F347" s="46"/>
      <c r="G347" s="46">
        <v>700</v>
      </c>
      <c r="H347" s="47">
        <f t="shared" ref="H347:H352" si="71">SUM(E347+F347-G347)</f>
        <v>32192</v>
      </c>
    </row>
    <row r="348" spans="1:8" s="18" customFormat="1" ht="11.45" customHeight="1" x14ac:dyDescent="0.2">
      <c r="A348" s="34"/>
      <c r="B348" s="34"/>
      <c r="C348" s="152" t="s">
        <v>22</v>
      </c>
      <c r="D348" s="148" t="s">
        <v>89</v>
      </c>
      <c r="E348" s="46">
        <v>35140</v>
      </c>
      <c r="F348" s="46">
        <v>1000</v>
      </c>
      <c r="G348" s="46"/>
      <c r="H348" s="47">
        <f t="shared" si="71"/>
        <v>36140</v>
      </c>
    </row>
    <row r="349" spans="1:8" s="18" customFormat="1" ht="11.45" customHeight="1" x14ac:dyDescent="0.2">
      <c r="A349" s="34"/>
      <c r="B349" s="34"/>
      <c r="C349" s="38">
        <v>4300</v>
      </c>
      <c r="D349" s="44" t="s">
        <v>70</v>
      </c>
      <c r="E349" s="46">
        <v>38816</v>
      </c>
      <c r="F349" s="46">
        <v>6000</v>
      </c>
      <c r="G349" s="46"/>
      <c r="H349" s="47">
        <f t="shared" si="71"/>
        <v>44816</v>
      </c>
    </row>
    <row r="350" spans="1:8" s="18" customFormat="1" ht="11.45" customHeight="1" x14ac:dyDescent="0.2">
      <c r="A350" s="34"/>
      <c r="B350" s="34"/>
      <c r="C350" s="50">
        <v>4710</v>
      </c>
      <c r="D350" s="148" t="s">
        <v>80</v>
      </c>
      <c r="E350" s="46">
        <v>13878</v>
      </c>
      <c r="F350" s="46"/>
      <c r="G350" s="46">
        <v>1000</v>
      </c>
      <c r="H350" s="47">
        <f t="shared" si="71"/>
        <v>12878</v>
      </c>
    </row>
    <row r="351" spans="1:8" s="18" customFormat="1" ht="11.45" customHeight="1" x14ac:dyDescent="0.2">
      <c r="A351" s="34"/>
      <c r="B351" s="34"/>
      <c r="C351" s="35"/>
      <c r="D351" s="10" t="s">
        <v>427</v>
      </c>
      <c r="E351" s="42">
        <v>285822.24</v>
      </c>
      <c r="F351" s="42">
        <f>SUM(F352)</f>
        <v>0</v>
      </c>
      <c r="G351" s="42">
        <f>SUM(G352)</f>
        <v>1000</v>
      </c>
      <c r="H351" s="42">
        <f t="shared" si="71"/>
        <v>284822.24</v>
      </c>
    </row>
    <row r="352" spans="1:8" s="18" customFormat="1" ht="11.45" customHeight="1" x14ac:dyDescent="0.2">
      <c r="A352" s="126"/>
      <c r="B352" s="126"/>
      <c r="C352" s="147">
        <v>4270</v>
      </c>
      <c r="D352" s="48" t="s">
        <v>69</v>
      </c>
      <c r="E352" s="40">
        <v>285822.24</v>
      </c>
      <c r="F352" s="40"/>
      <c r="G352" s="40">
        <v>1000</v>
      </c>
      <c r="H352" s="40">
        <f t="shared" si="71"/>
        <v>284822.24</v>
      </c>
    </row>
    <row r="353" spans="1:8" s="18" customFormat="1" ht="11.45" customHeight="1" x14ac:dyDescent="0.2">
      <c r="A353" s="34"/>
      <c r="B353" s="50">
        <v>80140</v>
      </c>
      <c r="C353" s="152"/>
      <c r="D353" s="169" t="s">
        <v>135</v>
      </c>
      <c r="E353" s="46"/>
      <c r="F353" s="46"/>
      <c r="G353" s="46"/>
      <c r="H353" s="47"/>
    </row>
    <row r="354" spans="1:8" s="18" customFormat="1" ht="11.45" customHeight="1" x14ac:dyDescent="0.2">
      <c r="A354" s="34"/>
      <c r="B354" s="50"/>
      <c r="C354" s="28"/>
      <c r="D354" s="48" t="s">
        <v>136</v>
      </c>
      <c r="E354" s="39">
        <v>3462699.12</v>
      </c>
      <c r="F354" s="40">
        <f>SUM(F355)</f>
        <v>2550</v>
      </c>
      <c r="G354" s="40">
        <f>SUM(G355)</f>
        <v>550</v>
      </c>
      <c r="H354" s="39">
        <f>SUM(E354+F354-G354)</f>
        <v>3464699.12</v>
      </c>
    </row>
    <row r="355" spans="1:8" s="18" customFormat="1" ht="11.45" customHeight="1" x14ac:dyDescent="0.2">
      <c r="A355" s="34"/>
      <c r="B355" s="33"/>
      <c r="C355" s="28"/>
      <c r="D355" s="107" t="s">
        <v>105</v>
      </c>
      <c r="E355" s="42">
        <v>3462699.12</v>
      </c>
      <c r="F355" s="42">
        <f>SUM(F356:F358)</f>
        <v>2550</v>
      </c>
      <c r="G355" s="42">
        <f>SUM(G356:G358)</f>
        <v>550</v>
      </c>
      <c r="H355" s="42">
        <f t="shared" ref="H355:H358" si="72">SUM(E355+F355-G355)</f>
        <v>3464699.12</v>
      </c>
    </row>
    <row r="356" spans="1:8" s="18" customFormat="1" ht="11.45" customHeight="1" x14ac:dyDescent="0.2">
      <c r="A356" s="34"/>
      <c r="B356" s="33"/>
      <c r="C356" s="130">
        <v>4360</v>
      </c>
      <c r="D356" s="403" t="s">
        <v>71</v>
      </c>
      <c r="E356" s="46">
        <v>8165</v>
      </c>
      <c r="F356" s="46">
        <v>2000</v>
      </c>
      <c r="G356" s="46"/>
      <c r="H356" s="47">
        <f t="shared" si="72"/>
        <v>10165</v>
      </c>
    </row>
    <row r="357" spans="1:8" s="18" customFormat="1" ht="11.45" customHeight="1" x14ac:dyDescent="0.2">
      <c r="A357" s="34"/>
      <c r="B357" s="33"/>
      <c r="C357" s="130">
        <v>4420</v>
      </c>
      <c r="D357" s="402" t="s">
        <v>85</v>
      </c>
      <c r="E357" s="46">
        <v>0</v>
      </c>
      <c r="F357" s="46">
        <v>550</v>
      </c>
      <c r="G357" s="46"/>
      <c r="H357" s="47">
        <f t="shared" si="72"/>
        <v>550</v>
      </c>
    </row>
    <row r="358" spans="1:8" s="18" customFormat="1" ht="11.45" customHeight="1" x14ac:dyDescent="0.2">
      <c r="A358" s="34"/>
      <c r="B358" s="33"/>
      <c r="C358" s="50">
        <v>4710</v>
      </c>
      <c r="D358" s="148" t="s">
        <v>80</v>
      </c>
      <c r="E358" s="46">
        <v>9695</v>
      </c>
      <c r="F358" s="46"/>
      <c r="G358" s="46">
        <v>550</v>
      </c>
      <c r="H358" s="45">
        <f t="shared" si="72"/>
        <v>9145</v>
      </c>
    </row>
    <row r="359" spans="1:8" s="18" customFormat="1" ht="12" customHeight="1" x14ac:dyDescent="0.2">
      <c r="A359" s="34"/>
      <c r="B359" s="135">
        <v>80146</v>
      </c>
      <c r="C359" s="152"/>
      <c r="D359" s="48" t="s">
        <v>138</v>
      </c>
      <c r="E359" s="39">
        <v>1315048</v>
      </c>
      <c r="F359" s="40">
        <f>SUM(F360)</f>
        <v>34938</v>
      </c>
      <c r="G359" s="40">
        <f>SUM(G360)</f>
        <v>17197</v>
      </c>
      <c r="H359" s="39">
        <f>SUM(E359+F359-G359)</f>
        <v>1332789</v>
      </c>
    </row>
    <row r="360" spans="1:8" s="18" customFormat="1" ht="12" customHeight="1" x14ac:dyDescent="0.2">
      <c r="A360" s="34"/>
      <c r="B360" s="38"/>
      <c r="C360" s="28"/>
      <c r="D360" s="107" t="s">
        <v>105</v>
      </c>
      <c r="E360" s="43">
        <v>1081598</v>
      </c>
      <c r="F360" s="167">
        <f>SUM(F361:F367)</f>
        <v>34938</v>
      </c>
      <c r="G360" s="167">
        <f>SUM(G361:G367)</f>
        <v>17197</v>
      </c>
      <c r="H360" s="42">
        <f t="shared" ref="H360:H367" si="73">SUM(E360+F360-G360)</f>
        <v>1099339</v>
      </c>
    </row>
    <row r="361" spans="1:8" s="18" customFormat="1" ht="12" customHeight="1" x14ac:dyDescent="0.2">
      <c r="A361" s="34"/>
      <c r="B361" s="38"/>
      <c r="C361" s="50">
        <v>4110</v>
      </c>
      <c r="D361" s="44" t="s">
        <v>91</v>
      </c>
      <c r="E361" s="46">
        <v>39878</v>
      </c>
      <c r="F361" s="45">
        <f>5000+3160</f>
        <v>8160</v>
      </c>
      <c r="G361" s="45"/>
      <c r="H361" s="45">
        <f t="shared" si="73"/>
        <v>48038</v>
      </c>
    </row>
    <row r="362" spans="1:8" s="18" customFormat="1" ht="12" customHeight="1" x14ac:dyDescent="0.2">
      <c r="A362" s="34"/>
      <c r="B362" s="38"/>
      <c r="C362" s="50">
        <v>4120</v>
      </c>
      <c r="D362" s="44" t="s">
        <v>126</v>
      </c>
      <c r="E362" s="46">
        <v>5747</v>
      </c>
      <c r="F362" s="45">
        <v>435</v>
      </c>
      <c r="G362" s="45"/>
      <c r="H362" s="45">
        <f t="shared" si="73"/>
        <v>6182</v>
      </c>
    </row>
    <row r="363" spans="1:8" s="18" customFormat="1" ht="12" customHeight="1" x14ac:dyDescent="0.2">
      <c r="A363" s="34"/>
      <c r="B363" s="38"/>
      <c r="C363" s="50">
        <v>4300</v>
      </c>
      <c r="D363" s="44" t="s">
        <v>70</v>
      </c>
      <c r="E363" s="46">
        <v>214542</v>
      </c>
      <c r="F363" s="45"/>
      <c r="G363" s="45">
        <v>2500</v>
      </c>
      <c r="H363" s="45">
        <f t="shared" si="73"/>
        <v>212042</v>
      </c>
    </row>
    <row r="364" spans="1:8" s="18" customFormat="1" ht="12" customHeight="1" x14ac:dyDescent="0.2">
      <c r="A364" s="34"/>
      <c r="B364" s="38"/>
      <c r="C364" s="130">
        <v>4410</v>
      </c>
      <c r="D364" s="402" t="s">
        <v>84</v>
      </c>
      <c r="E364" s="46">
        <v>63896</v>
      </c>
      <c r="F364" s="45"/>
      <c r="G364" s="45">
        <v>3300</v>
      </c>
      <c r="H364" s="45">
        <f t="shared" si="73"/>
        <v>60596</v>
      </c>
    </row>
    <row r="365" spans="1:8" s="18" customFormat="1" ht="19.5" customHeight="1" x14ac:dyDescent="0.2">
      <c r="A365" s="34"/>
      <c r="B365" s="38"/>
      <c r="C365" s="130">
        <v>4700</v>
      </c>
      <c r="D365" s="145" t="s">
        <v>79</v>
      </c>
      <c r="E365" s="46">
        <v>496471</v>
      </c>
      <c r="F365" s="45">
        <v>5800</v>
      </c>
      <c r="G365" s="45"/>
      <c r="H365" s="45">
        <f t="shared" si="73"/>
        <v>502271</v>
      </c>
    </row>
    <row r="366" spans="1:8" s="18" customFormat="1" ht="12" customHeight="1" x14ac:dyDescent="0.2">
      <c r="A366" s="34"/>
      <c r="B366" s="38"/>
      <c r="C366" s="49">
        <v>4790</v>
      </c>
      <c r="D366" s="163" t="s">
        <v>119</v>
      </c>
      <c r="E366" s="46">
        <v>205567</v>
      </c>
      <c r="F366" s="45">
        <f>6397+14146</f>
        <v>20543</v>
      </c>
      <c r="G366" s="45"/>
      <c r="H366" s="45">
        <f t="shared" si="73"/>
        <v>226110</v>
      </c>
    </row>
    <row r="367" spans="1:8" s="18" customFormat="1" ht="12" customHeight="1" x14ac:dyDescent="0.2">
      <c r="A367" s="34"/>
      <c r="B367" s="38"/>
      <c r="C367" s="49">
        <v>4800</v>
      </c>
      <c r="D367" s="163" t="s">
        <v>109</v>
      </c>
      <c r="E367" s="46">
        <v>38963</v>
      </c>
      <c r="F367" s="45"/>
      <c r="G367" s="45">
        <v>11397</v>
      </c>
      <c r="H367" s="45">
        <f t="shared" si="73"/>
        <v>27566</v>
      </c>
    </row>
    <row r="368" spans="1:8" s="18" customFormat="1" ht="12" customHeight="1" x14ac:dyDescent="0.2">
      <c r="A368" s="34"/>
      <c r="B368" s="38">
        <v>80148</v>
      </c>
      <c r="C368" s="28"/>
      <c r="D368" s="48" t="s">
        <v>139</v>
      </c>
      <c r="E368" s="51">
        <v>3398096</v>
      </c>
      <c r="F368" s="40">
        <f>SUM(F369)</f>
        <v>31067</v>
      </c>
      <c r="G368" s="40">
        <f>SUM(G369)</f>
        <v>1507</v>
      </c>
      <c r="H368" s="39">
        <f>SUM(E368+F368-G368)</f>
        <v>3427656</v>
      </c>
    </row>
    <row r="369" spans="1:8" s="18" customFormat="1" ht="12" customHeight="1" x14ac:dyDescent="0.2">
      <c r="A369" s="34"/>
      <c r="B369" s="34"/>
      <c r="C369" s="28"/>
      <c r="D369" s="107" t="s">
        <v>105</v>
      </c>
      <c r="E369" s="42">
        <v>3398096</v>
      </c>
      <c r="F369" s="42">
        <f>SUM(F370:F376)</f>
        <v>31067</v>
      </c>
      <c r="G369" s="42">
        <f>SUM(G370:G376)</f>
        <v>1507</v>
      </c>
      <c r="H369" s="42">
        <f t="shared" ref="H369:H376" si="74">SUM(E369+F369-G369)</f>
        <v>3427656</v>
      </c>
    </row>
    <row r="370" spans="1:8" s="18" customFormat="1" ht="12" customHeight="1" x14ac:dyDescent="0.2">
      <c r="A370" s="34"/>
      <c r="B370" s="34"/>
      <c r="C370" s="50">
        <v>4010</v>
      </c>
      <c r="D370" s="44" t="s">
        <v>90</v>
      </c>
      <c r="E370" s="46">
        <v>2369247</v>
      </c>
      <c r="F370" s="46">
        <v>23871</v>
      </c>
      <c r="G370" s="46"/>
      <c r="H370" s="116">
        <f t="shared" si="74"/>
        <v>2393118</v>
      </c>
    </row>
    <row r="371" spans="1:8" s="18" customFormat="1" ht="12" customHeight="1" x14ac:dyDescent="0.2">
      <c r="A371" s="34"/>
      <c r="B371" s="34"/>
      <c r="C371" s="50">
        <v>4110</v>
      </c>
      <c r="D371" s="44" t="s">
        <v>91</v>
      </c>
      <c r="E371" s="46">
        <v>458981</v>
      </c>
      <c r="F371" s="46">
        <v>4104</v>
      </c>
      <c r="G371" s="46"/>
      <c r="H371" s="116">
        <f t="shared" si="74"/>
        <v>463085</v>
      </c>
    </row>
    <row r="372" spans="1:8" s="18" customFormat="1" ht="12" customHeight="1" x14ac:dyDescent="0.2">
      <c r="A372" s="34"/>
      <c r="B372" s="34"/>
      <c r="C372" s="50">
        <v>4120</v>
      </c>
      <c r="D372" s="44" t="s">
        <v>126</v>
      </c>
      <c r="E372" s="46">
        <v>55091</v>
      </c>
      <c r="F372" s="46">
        <v>585</v>
      </c>
      <c r="G372" s="46"/>
      <c r="H372" s="116">
        <f t="shared" si="74"/>
        <v>55676</v>
      </c>
    </row>
    <row r="373" spans="1:8" s="18" customFormat="1" ht="12" customHeight="1" x14ac:dyDescent="0.2">
      <c r="A373" s="34"/>
      <c r="B373" s="38"/>
      <c r="C373" s="152" t="s">
        <v>22</v>
      </c>
      <c r="D373" s="148" t="s">
        <v>89</v>
      </c>
      <c r="E373" s="46">
        <v>55349</v>
      </c>
      <c r="F373" s="45">
        <v>695</v>
      </c>
      <c r="G373" s="45"/>
      <c r="H373" s="116">
        <f t="shared" si="74"/>
        <v>56044</v>
      </c>
    </row>
    <row r="374" spans="1:8" s="18" customFormat="1" ht="12" customHeight="1" x14ac:dyDescent="0.2">
      <c r="A374" s="34"/>
      <c r="B374" s="38"/>
      <c r="C374" s="50">
        <v>4270</v>
      </c>
      <c r="D374" s="44" t="s">
        <v>69</v>
      </c>
      <c r="E374" s="46">
        <v>33136</v>
      </c>
      <c r="F374" s="45">
        <v>1000</v>
      </c>
      <c r="G374" s="45">
        <v>375</v>
      </c>
      <c r="H374" s="116">
        <f t="shared" si="74"/>
        <v>33761</v>
      </c>
    </row>
    <row r="375" spans="1:8" s="18" customFormat="1" ht="12" customHeight="1" x14ac:dyDescent="0.2">
      <c r="A375" s="34"/>
      <c r="B375" s="38"/>
      <c r="C375" s="50">
        <v>4300</v>
      </c>
      <c r="D375" s="44" t="s">
        <v>70</v>
      </c>
      <c r="E375" s="46">
        <v>28757</v>
      </c>
      <c r="F375" s="45">
        <v>812</v>
      </c>
      <c r="G375" s="45"/>
      <c r="H375" s="116">
        <f t="shared" si="74"/>
        <v>29569</v>
      </c>
    </row>
    <row r="376" spans="1:8" s="18" customFormat="1" ht="12" customHeight="1" x14ac:dyDescent="0.2">
      <c r="A376" s="34"/>
      <c r="B376" s="38"/>
      <c r="C376" s="50">
        <v>4710</v>
      </c>
      <c r="D376" s="148" t="s">
        <v>80</v>
      </c>
      <c r="E376" s="46">
        <v>16652</v>
      </c>
      <c r="F376" s="45"/>
      <c r="G376" s="45">
        <v>1132</v>
      </c>
      <c r="H376" s="116">
        <f t="shared" si="74"/>
        <v>15520</v>
      </c>
    </row>
    <row r="377" spans="1:8" s="18" customFormat="1" ht="12" customHeight="1" x14ac:dyDescent="0.2">
      <c r="A377" s="34"/>
      <c r="B377" s="38">
        <v>80149</v>
      </c>
      <c r="C377" s="152"/>
      <c r="D377" s="148" t="s">
        <v>140</v>
      </c>
      <c r="E377" s="116"/>
      <c r="F377" s="116"/>
      <c r="G377" s="116"/>
      <c r="H377" s="116"/>
    </row>
    <row r="378" spans="1:8" s="18" customFormat="1" ht="12" customHeight="1" x14ac:dyDescent="0.2">
      <c r="A378" s="34"/>
      <c r="B378" s="38"/>
      <c r="C378" s="152"/>
      <c r="D378" s="148" t="s">
        <v>141</v>
      </c>
      <c r="E378" s="116"/>
      <c r="F378" s="116"/>
      <c r="G378" s="116"/>
      <c r="H378" s="116"/>
    </row>
    <row r="379" spans="1:8" s="18" customFormat="1" ht="12" customHeight="1" x14ac:dyDescent="0.2">
      <c r="A379" s="34"/>
      <c r="B379" s="38"/>
      <c r="C379" s="152"/>
      <c r="D379" s="148" t="s">
        <v>142</v>
      </c>
      <c r="E379" s="116"/>
      <c r="F379" s="116"/>
      <c r="G379" s="116"/>
      <c r="H379" s="116"/>
    </row>
    <row r="380" spans="1:8" s="18" customFormat="1" ht="12" customHeight="1" x14ac:dyDescent="0.2">
      <c r="A380" s="34"/>
      <c r="B380" s="38"/>
      <c r="C380" s="28"/>
      <c r="D380" s="48" t="s">
        <v>143</v>
      </c>
      <c r="E380" s="39">
        <v>4443199</v>
      </c>
      <c r="F380" s="40">
        <f>SUM(F381,F383)</f>
        <v>1000</v>
      </c>
      <c r="G380" s="40">
        <f>SUM(G381,G383)</f>
        <v>7000</v>
      </c>
      <c r="H380" s="39">
        <f>SUM(E380+F380-G380)</f>
        <v>4437199</v>
      </c>
    </row>
    <row r="381" spans="1:8" s="18" customFormat="1" ht="12" customHeight="1" x14ac:dyDescent="0.2">
      <c r="A381" s="34"/>
      <c r="B381" s="38"/>
      <c r="C381" s="28"/>
      <c r="D381" s="10" t="s">
        <v>102</v>
      </c>
      <c r="E381" s="42">
        <v>2277080</v>
      </c>
      <c r="F381" s="42">
        <f>SUM(F382:F382)</f>
        <v>0</v>
      </c>
      <c r="G381" s="42">
        <f>SUM(G382:G382)</f>
        <v>7000</v>
      </c>
      <c r="H381" s="42">
        <f t="shared" ref="H381:H384" si="75">SUM(E381+F381-G381)</f>
        <v>2270080</v>
      </c>
    </row>
    <row r="382" spans="1:8" s="18" customFormat="1" ht="35.450000000000003" customHeight="1" x14ac:dyDescent="0.2">
      <c r="A382" s="34"/>
      <c r="B382" s="38"/>
      <c r="C382" s="130">
        <v>2590</v>
      </c>
      <c r="D382" s="161" t="s">
        <v>104</v>
      </c>
      <c r="E382" s="116">
        <v>24507</v>
      </c>
      <c r="F382" s="116"/>
      <c r="G382" s="116">
        <v>7000</v>
      </c>
      <c r="H382" s="116">
        <f t="shared" si="75"/>
        <v>17507</v>
      </c>
    </row>
    <row r="383" spans="1:8" s="18" customFormat="1" ht="12" customHeight="1" x14ac:dyDescent="0.2">
      <c r="A383" s="34"/>
      <c r="B383" s="34"/>
      <c r="C383" s="28"/>
      <c r="D383" s="107" t="s">
        <v>105</v>
      </c>
      <c r="E383" s="42">
        <v>2166119</v>
      </c>
      <c r="F383" s="42">
        <f>SUM(F384:F384)</f>
        <v>1000</v>
      </c>
      <c r="G383" s="42">
        <f>SUM(G384:G384)</f>
        <v>0</v>
      </c>
      <c r="H383" s="42">
        <f t="shared" si="75"/>
        <v>2167119</v>
      </c>
    </row>
    <row r="384" spans="1:8" s="18" customFormat="1" ht="11.45" customHeight="1" x14ac:dyDescent="0.2">
      <c r="A384" s="34"/>
      <c r="B384" s="34"/>
      <c r="C384" s="130">
        <v>3020</v>
      </c>
      <c r="D384" s="403" t="s">
        <v>76</v>
      </c>
      <c r="E384" s="47">
        <v>0</v>
      </c>
      <c r="F384" s="116">
        <v>1000</v>
      </c>
      <c r="G384" s="116"/>
      <c r="H384" s="116">
        <f t="shared" si="75"/>
        <v>1000</v>
      </c>
    </row>
    <row r="385" spans="1:8" s="18" customFormat="1" ht="11.45" customHeight="1" x14ac:dyDescent="0.2">
      <c r="A385" s="34"/>
      <c r="B385" s="38">
        <v>80150</v>
      </c>
      <c r="C385" s="152"/>
      <c r="D385" s="148" t="s">
        <v>140</v>
      </c>
      <c r="E385" s="116"/>
      <c r="F385" s="116"/>
      <c r="G385" s="116"/>
      <c r="H385" s="116"/>
    </row>
    <row r="386" spans="1:8" s="18" customFormat="1" ht="11.45" customHeight="1" x14ac:dyDescent="0.2">
      <c r="A386" s="34"/>
      <c r="B386" s="38"/>
      <c r="C386" s="152"/>
      <c r="D386" s="148" t="s">
        <v>145</v>
      </c>
      <c r="E386" s="116"/>
      <c r="F386" s="116"/>
      <c r="G386" s="116"/>
      <c r="H386" s="116"/>
    </row>
    <row r="387" spans="1:8" s="18" customFormat="1" ht="11.45" customHeight="1" x14ac:dyDescent="0.2">
      <c r="A387" s="34"/>
      <c r="B387" s="38"/>
      <c r="C387" s="28"/>
      <c r="D387" s="48" t="s">
        <v>146</v>
      </c>
      <c r="E387" s="39">
        <v>9694713</v>
      </c>
      <c r="F387" s="40">
        <f>SUM(F388)</f>
        <v>0</v>
      </c>
      <c r="G387" s="40">
        <f>SUM(G388)</f>
        <v>12906</v>
      </c>
      <c r="H387" s="39">
        <f>SUM(E387+F387-G387)</f>
        <v>9681807</v>
      </c>
    </row>
    <row r="388" spans="1:8" s="18" customFormat="1" ht="12" customHeight="1" x14ac:dyDescent="0.2">
      <c r="A388" s="34"/>
      <c r="B388" s="38"/>
      <c r="C388" s="28"/>
      <c r="D388" s="107" t="s">
        <v>105</v>
      </c>
      <c r="E388" s="42">
        <v>9469414</v>
      </c>
      <c r="F388" s="42">
        <f>SUM(F389:F391)</f>
        <v>0</v>
      </c>
      <c r="G388" s="42">
        <f>SUM(G389:G391)</f>
        <v>12906</v>
      </c>
      <c r="H388" s="42">
        <f t="shared" ref="H388:H391" si="76">SUM(E388+F388-G388)</f>
        <v>9456508</v>
      </c>
    </row>
    <row r="389" spans="1:8" s="18" customFormat="1" ht="12" customHeight="1" x14ac:dyDescent="0.2">
      <c r="A389" s="34"/>
      <c r="B389" s="38"/>
      <c r="C389" s="50">
        <v>4240</v>
      </c>
      <c r="D389" s="44" t="s">
        <v>108</v>
      </c>
      <c r="E389" s="45">
        <v>122129</v>
      </c>
      <c r="F389" s="116"/>
      <c r="G389" s="116">
        <v>8750</v>
      </c>
      <c r="H389" s="116">
        <f t="shared" si="76"/>
        <v>113379</v>
      </c>
    </row>
    <row r="390" spans="1:8" s="18" customFormat="1" ht="12" customHeight="1" x14ac:dyDescent="0.2">
      <c r="A390" s="34"/>
      <c r="B390" s="38"/>
      <c r="C390" s="50">
        <v>4710</v>
      </c>
      <c r="D390" s="148" t="s">
        <v>80</v>
      </c>
      <c r="E390" s="45">
        <v>38073</v>
      </c>
      <c r="F390" s="116"/>
      <c r="G390" s="116">
        <v>3000</v>
      </c>
      <c r="H390" s="116">
        <f t="shared" si="76"/>
        <v>35073</v>
      </c>
    </row>
    <row r="391" spans="1:8" s="18" customFormat="1" ht="12" customHeight="1" x14ac:dyDescent="0.2">
      <c r="A391" s="34"/>
      <c r="B391" s="38"/>
      <c r="C391" s="49">
        <v>4800</v>
      </c>
      <c r="D391" s="163" t="s">
        <v>109</v>
      </c>
      <c r="E391" s="116">
        <v>503554</v>
      </c>
      <c r="F391" s="116"/>
      <c r="G391" s="116">
        <v>1156</v>
      </c>
      <c r="H391" s="116">
        <f t="shared" si="76"/>
        <v>502398</v>
      </c>
    </row>
    <row r="392" spans="1:8" s="18" customFormat="1" ht="12" customHeight="1" x14ac:dyDescent="0.2">
      <c r="A392" s="34"/>
      <c r="B392" s="50">
        <v>80151</v>
      </c>
      <c r="C392" s="28"/>
      <c r="D392" s="48" t="s">
        <v>147</v>
      </c>
      <c r="E392" s="51">
        <v>535475</v>
      </c>
      <c r="F392" s="40">
        <f>SUM(F393,F395)</f>
        <v>0</v>
      </c>
      <c r="G392" s="40">
        <f>SUM(G393,G395)</f>
        <v>52000</v>
      </c>
      <c r="H392" s="39">
        <f>SUM(E392+F392-G392)</f>
        <v>483475</v>
      </c>
    </row>
    <row r="393" spans="1:8" s="18" customFormat="1" ht="12" customHeight="1" x14ac:dyDescent="0.2">
      <c r="A393" s="34"/>
      <c r="B393" s="50"/>
      <c r="C393" s="28"/>
      <c r="D393" s="10" t="s">
        <v>102</v>
      </c>
      <c r="E393" s="42">
        <v>56410</v>
      </c>
      <c r="F393" s="42">
        <f>SUM(F394:F394)</f>
        <v>0</v>
      </c>
      <c r="G393" s="42">
        <f>SUM(G394:G394)</f>
        <v>50000</v>
      </c>
      <c r="H393" s="42">
        <f t="shared" ref="H393:H396" si="77">SUM(E393+F393-G393)</f>
        <v>6410</v>
      </c>
    </row>
    <row r="394" spans="1:8" s="18" customFormat="1" ht="21.75" customHeight="1" x14ac:dyDescent="0.2">
      <c r="A394" s="34"/>
      <c r="B394" s="50"/>
      <c r="C394" s="130">
        <v>2540</v>
      </c>
      <c r="D394" s="131" t="s">
        <v>103</v>
      </c>
      <c r="E394" s="116">
        <v>56410</v>
      </c>
      <c r="F394" s="116"/>
      <c r="G394" s="116">
        <v>50000</v>
      </c>
      <c r="H394" s="116">
        <f t="shared" si="77"/>
        <v>6410</v>
      </c>
    </row>
    <row r="395" spans="1:8" s="18" customFormat="1" ht="12" customHeight="1" x14ac:dyDescent="0.2">
      <c r="A395" s="34"/>
      <c r="B395" s="33"/>
      <c r="C395" s="28"/>
      <c r="D395" s="107" t="s">
        <v>105</v>
      </c>
      <c r="E395" s="42">
        <v>479065</v>
      </c>
      <c r="F395" s="42">
        <f>SUM(F396:F396)</f>
        <v>0</v>
      </c>
      <c r="G395" s="42">
        <f>SUM(G396:G396)</f>
        <v>2000</v>
      </c>
      <c r="H395" s="42">
        <f t="shared" si="77"/>
        <v>477065</v>
      </c>
    </row>
    <row r="396" spans="1:8" s="18" customFormat="1" ht="12" customHeight="1" x14ac:dyDescent="0.2">
      <c r="A396" s="34"/>
      <c r="B396" s="50"/>
      <c r="C396" s="49">
        <v>4790</v>
      </c>
      <c r="D396" s="163" t="s">
        <v>119</v>
      </c>
      <c r="E396" s="47">
        <v>178424</v>
      </c>
      <c r="F396" s="116"/>
      <c r="G396" s="116">
        <v>2000</v>
      </c>
      <c r="H396" s="116">
        <f t="shared" si="77"/>
        <v>176424</v>
      </c>
    </row>
    <row r="397" spans="1:8" s="18" customFormat="1" ht="11.45" customHeight="1" x14ac:dyDescent="0.2">
      <c r="A397" s="34"/>
      <c r="B397" s="38">
        <v>80152</v>
      </c>
      <c r="C397" s="152"/>
      <c r="D397" s="148" t="s">
        <v>140</v>
      </c>
      <c r="E397" s="116"/>
      <c r="F397" s="116"/>
      <c r="G397" s="116"/>
      <c r="H397" s="116"/>
    </row>
    <row r="398" spans="1:8" s="18" customFormat="1" ht="11.45" customHeight="1" x14ac:dyDescent="0.2">
      <c r="A398" s="34"/>
      <c r="B398" s="38"/>
      <c r="C398" s="152"/>
      <c r="D398" s="148" t="s">
        <v>145</v>
      </c>
      <c r="E398" s="116"/>
      <c r="F398" s="116"/>
      <c r="G398" s="116"/>
      <c r="H398" s="116"/>
    </row>
    <row r="399" spans="1:8" s="18" customFormat="1" ht="11.45" customHeight="1" x14ac:dyDescent="0.2">
      <c r="A399" s="34"/>
      <c r="B399" s="38"/>
      <c r="C399" s="152"/>
      <c r="D399" s="148" t="s">
        <v>148</v>
      </c>
      <c r="E399" s="116"/>
      <c r="F399" s="116"/>
      <c r="G399" s="116"/>
      <c r="H399" s="116"/>
    </row>
    <row r="400" spans="1:8" s="18" customFormat="1" ht="11.45" customHeight="1" x14ac:dyDescent="0.2">
      <c r="A400" s="34"/>
      <c r="B400" s="38"/>
      <c r="C400" s="152"/>
      <c r="D400" s="135" t="s">
        <v>149</v>
      </c>
      <c r="E400" s="116"/>
      <c r="F400" s="116"/>
      <c r="G400" s="116"/>
      <c r="H400" s="116"/>
    </row>
    <row r="401" spans="1:8" s="18" customFormat="1" ht="11.45" customHeight="1" x14ac:dyDescent="0.2">
      <c r="A401" s="34"/>
      <c r="B401" s="38"/>
      <c r="C401" s="152"/>
      <c r="D401" s="135" t="s">
        <v>150</v>
      </c>
      <c r="E401" s="116"/>
      <c r="F401" s="116"/>
      <c r="G401" s="116"/>
      <c r="H401" s="116"/>
    </row>
    <row r="402" spans="1:8" s="18" customFormat="1" ht="11.45" customHeight="1" x14ac:dyDescent="0.2">
      <c r="A402" s="34"/>
      <c r="B402" s="38"/>
      <c r="C402" s="152"/>
      <c r="D402" s="148" t="s">
        <v>151</v>
      </c>
      <c r="E402" s="116"/>
      <c r="F402" s="116"/>
      <c r="G402" s="116"/>
      <c r="H402" s="116"/>
    </row>
    <row r="403" spans="1:8" s="18" customFormat="1" ht="11.45" customHeight="1" x14ac:dyDescent="0.2">
      <c r="A403" s="34"/>
      <c r="B403" s="38"/>
      <c r="C403" s="152"/>
      <c r="D403" s="135" t="s">
        <v>152</v>
      </c>
      <c r="E403" s="116"/>
      <c r="F403" s="116"/>
      <c r="G403" s="116"/>
      <c r="H403" s="116"/>
    </row>
    <row r="404" spans="1:8" s="18" customFormat="1" ht="11.45" customHeight="1" x14ac:dyDescent="0.2">
      <c r="A404" s="34"/>
      <c r="B404" s="38"/>
      <c r="C404" s="28"/>
      <c r="D404" s="136" t="s">
        <v>153</v>
      </c>
      <c r="E404" s="39">
        <v>3459962</v>
      </c>
      <c r="F404" s="40">
        <f>SUM(F405)</f>
        <v>0</v>
      </c>
      <c r="G404" s="40">
        <f>SUM(G405)</f>
        <v>7000</v>
      </c>
      <c r="H404" s="39">
        <f>SUM(E404+F404-G404)</f>
        <v>3452962</v>
      </c>
    </row>
    <row r="405" spans="1:8" s="18" customFormat="1" ht="11.45" customHeight="1" x14ac:dyDescent="0.2">
      <c r="A405" s="34"/>
      <c r="B405" s="34"/>
      <c r="C405" s="28"/>
      <c r="D405" s="107" t="s">
        <v>105</v>
      </c>
      <c r="E405" s="42">
        <v>2916127</v>
      </c>
      <c r="F405" s="42">
        <f>SUM(F406:F406)</f>
        <v>0</v>
      </c>
      <c r="G405" s="42">
        <f>SUM(G406:G406)</f>
        <v>7000</v>
      </c>
      <c r="H405" s="42">
        <f t="shared" ref="H405:H406" si="78">SUM(E405+F405-G405)</f>
        <v>2909127</v>
      </c>
    </row>
    <row r="406" spans="1:8" s="18" customFormat="1" ht="12" customHeight="1" x14ac:dyDescent="0.2">
      <c r="A406" s="34"/>
      <c r="B406" s="34"/>
      <c r="C406" s="49">
        <v>4790</v>
      </c>
      <c r="D406" s="163" t="s">
        <v>119</v>
      </c>
      <c r="E406" s="45">
        <v>2134008</v>
      </c>
      <c r="F406" s="116"/>
      <c r="G406" s="116">
        <v>7000</v>
      </c>
      <c r="H406" s="116">
        <f t="shared" si="78"/>
        <v>2127008</v>
      </c>
    </row>
    <row r="407" spans="1:8" s="18" customFormat="1" ht="12" customHeight="1" x14ac:dyDescent="0.2">
      <c r="A407" s="34"/>
      <c r="B407" s="50">
        <v>80195</v>
      </c>
      <c r="C407" s="28"/>
      <c r="D407" s="48" t="s">
        <v>12</v>
      </c>
      <c r="E407" s="39">
        <v>27070777.769999992</v>
      </c>
      <c r="F407" s="40">
        <f>SUM(F408,F411,F416)</f>
        <v>55100</v>
      </c>
      <c r="G407" s="40">
        <f>SUM(G408,G411,G416)</f>
        <v>5100</v>
      </c>
      <c r="H407" s="39">
        <f>SUM(E407+F407-G407)</f>
        <v>27120777.769999992</v>
      </c>
    </row>
    <row r="408" spans="1:8" s="18" customFormat="1" ht="12" customHeight="1" x14ac:dyDescent="0.2">
      <c r="A408" s="34"/>
      <c r="B408" s="50"/>
      <c r="C408" s="28"/>
      <c r="D408" s="107" t="s">
        <v>105</v>
      </c>
      <c r="E408" s="42">
        <v>1597207</v>
      </c>
      <c r="F408" s="42">
        <f>SUM(F409:F410)</f>
        <v>100</v>
      </c>
      <c r="G408" s="42">
        <f>SUM(G409:G410)</f>
        <v>100</v>
      </c>
      <c r="H408" s="42">
        <f t="shared" ref="H408:H458" si="79">SUM(E408+F408-G408)</f>
        <v>1597207</v>
      </c>
    </row>
    <row r="409" spans="1:8" s="18" customFormat="1" ht="12" customHeight="1" x14ac:dyDescent="0.2">
      <c r="A409" s="34"/>
      <c r="B409" s="50"/>
      <c r="C409" s="50">
        <v>4010</v>
      </c>
      <c r="D409" s="44" t="s">
        <v>90</v>
      </c>
      <c r="E409" s="45">
        <v>19866</v>
      </c>
      <c r="F409" s="116">
        <v>100</v>
      </c>
      <c r="G409" s="116"/>
      <c r="H409" s="116">
        <f t="shared" si="79"/>
        <v>19966</v>
      </c>
    </row>
    <row r="410" spans="1:8" s="18" customFormat="1" ht="12" customHeight="1" x14ac:dyDescent="0.2">
      <c r="A410" s="126"/>
      <c r="B410" s="147"/>
      <c r="C410" s="165">
        <v>4790</v>
      </c>
      <c r="D410" s="166" t="s">
        <v>119</v>
      </c>
      <c r="E410" s="128">
        <v>41726</v>
      </c>
      <c r="F410" s="40"/>
      <c r="G410" s="40">
        <v>100</v>
      </c>
      <c r="H410" s="40">
        <f t="shared" si="79"/>
        <v>41626</v>
      </c>
    </row>
    <row r="411" spans="1:8" s="18" customFormat="1" ht="20.45" customHeight="1" x14ac:dyDescent="0.2">
      <c r="A411" s="34"/>
      <c r="B411" s="34"/>
      <c r="C411" s="41"/>
      <c r="D411" s="172" t="s">
        <v>430</v>
      </c>
      <c r="E411" s="43">
        <v>1870502.12</v>
      </c>
      <c r="F411" s="108">
        <f>SUM(F412:F415)</f>
        <v>5000</v>
      </c>
      <c r="G411" s="108">
        <f>SUM(G412:G415)</f>
        <v>5000</v>
      </c>
      <c r="H411" s="42">
        <f t="shared" si="79"/>
        <v>1870502.12</v>
      </c>
    </row>
    <row r="412" spans="1:8" s="18" customFormat="1" ht="12" customHeight="1" x14ac:dyDescent="0.2">
      <c r="A412" s="34"/>
      <c r="B412" s="34"/>
      <c r="C412" s="50">
        <v>4247</v>
      </c>
      <c r="D412" s="44" t="s">
        <v>108</v>
      </c>
      <c r="E412" s="46">
        <v>536634</v>
      </c>
      <c r="F412" s="45"/>
      <c r="G412" s="45">
        <v>4472</v>
      </c>
      <c r="H412" s="116">
        <f t="shared" si="79"/>
        <v>532162</v>
      </c>
    </row>
    <row r="413" spans="1:8" s="18" customFormat="1" ht="12" customHeight="1" x14ac:dyDescent="0.2">
      <c r="A413" s="34"/>
      <c r="B413" s="34"/>
      <c r="C413" s="50">
        <v>4249</v>
      </c>
      <c r="D413" s="44" t="s">
        <v>108</v>
      </c>
      <c r="E413" s="46">
        <v>63366</v>
      </c>
      <c r="F413" s="45"/>
      <c r="G413" s="45">
        <v>528</v>
      </c>
      <c r="H413" s="116">
        <f t="shared" si="79"/>
        <v>62838</v>
      </c>
    </row>
    <row r="414" spans="1:8" s="18" customFormat="1" ht="12" customHeight="1" x14ac:dyDescent="0.2">
      <c r="A414" s="34"/>
      <c r="B414" s="34"/>
      <c r="C414" s="38">
        <v>4307</v>
      </c>
      <c r="D414" s="44" t="s">
        <v>70</v>
      </c>
      <c r="E414" s="46">
        <v>941501</v>
      </c>
      <c r="F414" s="45">
        <v>4472</v>
      </c>
      <c r="G414" s="45"/>
      <c r="H414" s="116">
        <f t="shared" si="79"/>
        <v>945973</v>
      </c>
    </row>
    <row r="415" spans="1:8" s="18" customFormat="1" ht="12" customHeight="1" x14ac:dyDescent="0.2">
      <c r="A415" s="34"/>
      <c r="B415" s="34"/>
      <c r="C415" s="38">
        <v>4309</v>
      </c>
      <c r="D415" s="44" t="s">
        <v>70</v>
      </c>
      <c r="E415" s="46">
        <v>99643.12</v>
      </c>
      <c r="F415" s="45">
        <v>528</v>
      </c>
      <c r="G415" s="45"/>
      <c r="H415" s="116">
        <f t="shared" si="79"/>
        <v>100171.12</v>
      </c>
    </row>
    <row r="416" spans="1:8" s="18" customFormat="1" ht="22.15" customHeight="1" x14ac:dyDescent="0.2">
      <c r="A416" s="34"/>
      <c r="B416" s="34"/>
      <c r="C416" s="41"/>
      <c r="D416" s="120" t="s">
        <v>431</v>
      </c>
      <c r="E416" s="43">
        <v>448915</v>
      </c>
      <c r="F416" s="108">
        <f>SUM(F417:F424)</f>
        <v>50000</v>
      </c>
      <c r="G416" s="108">
        <f>SUM(G417:G424)</f>
        <v>0</v>
      </c>
      <c r="H416" s="42">
        <f t="shared" si="79"/>
        <v>498915</v>
      </c>
    </row>
    <row r="417" spans="1:8" s="18" customFormat="1" ht="12" customHeight="1" x14ac:dyDescent="0.2">
      <c r="A417" s="34"/>
      <c r="B417" s="34"/>
      <c r="C417" s="49">
        <v>4017</v>
      </c>
      <c r="D417" s="135" t="s">
        <v>90</v>
      </c>
      <c r="E417" s="46">
        <v>13982.96</v>
      </c>
      <c r="F417" s="45">
        <v>5001.92</v>
      </c>
      <c r="G417" s="45"/>
      <c r="H417" s="116">
        <f t="shared" si="79"/>
        <v>18984.879999999997</v>
      </c>
    </row>
    <row r="418" spans="1:8" s="18" customFormat="1" ht="12" customHeight="1" x14ac:dyDescent="0.2">
      <c r="A418" s="34"/>
      <c r="B418" s="34"/>
      <c r="C418" s="50">
        <v>4117</v>
      </c>
      <c r="D418" s="44" t="s">
        <v>118</v>
      </c>
      <c r="E418" s="46">
        <v>22484.13</v>
      </c>
      <c r="F418" s="45">
        <v>2007.51</v>
      </c>
      <c r="G418" s="45"/>
      <c r="H418" s="116">
        <f t="shared" si="79"/>
        <v>24491.64</v>
      </c>
    </row>
    <row r="419" spans="1:8" s="18" customFormat="1" ht="12" customHeight="1" x14ac:dyDescent="0.2">
      <c r="A419" s="34"/>
      <c r="B419" s="34"/>
      <c r="C419" s="50">
        <v>4127</v>
      </c>
      <c r="D419" s="44" t="s">
        <v>126</v>
      </c>
      <c r="E419" s="46">
        <v>2992.61</v>
      </c>
      <c r="F419" s="45">
        <v>286.11</v>
      </c>
      <c r="G419" s="45"/>
      <c r="H419" s="116">
        <f t="shared" si="79"/>
        <v>3278.7200000000003</v>
      </c>
    </row>
    <row r="420" spans="1:8" s="18" customFormat="1" ht="12" customHeight="1" x14ac:dyDescent="0.2">
      <c r="A420" s="34"/>
      <c r="B420" s="34"/>
      <c r="C420" s="50">
        <v>4177</v>
      </c>
      <c r="D420" s="44" t="s">
        <v>88</v>
      </c>
      <c r="E420" s="46">
        <v>100379.67</v>
      </c>
      <c r="F420" s="45">
        <v>8676.34</v>
      </c>
      <c r="G420" s="45"/>
      <c r="H420" s="116">
        <f t="shared" si="79"/>
        <v>109056.01</v>
      </c>
    </row>
    <row r="421" spans="1:8" s="18" customFormat="1" ht="12" customHeight="1" x14ac:dyDescent="0.2">
      <c r="A421" s="34"/>
      <c r="B421" s="34"/>
      <c r="C421" s="49">
        <v>4217</v>
      </c>
      <c r="D421" s="148" t="s">
        <v>89</v>
      </c>
      <c r="E421" s="46">
        <v>66041.39</v>
      </c>
      <c r="F421" s="45">
        <v>2500.88</v>
      </c>
      <c r="G421" s="45"/>
      <c r="H421" s="116">
        <f t="shared" si="79"/>
        <v>68542.27</v>
      </c>
    </row>
    <row r="422" spans="1:8" s="18" customFormat="1" ht="12" customHeight="1" x14ac:dyDescent="0.2">
      <c r="A422" s="34"/>
      <c r="B422" s="34"/>
      <c r="C422" s="50">
        <v>4247</v>
      </c>
      <c r="D422" s="44" t="s">
        <v>108</v>
      </c>
      <c r="E422" s="46">
        <v>168532.18</v>
      </c>
      <c r="F422" s="45">
        <v>30280</v>
      </c>
      <c r="G422" s="45"/>
      <c r="H422" s="116">
        <f t="shared" si="79"/>
        <v>198812.18</v>
      </c>
    </row>
    <row r="423" spans="1:8" s="18" customFormat="1" ht="12" customHeight="1" x14ac:dyDescent="0.2">
      <c r="A423" s="34"/>
      <c r="B423" s="34"/>
      <c r="C423" s="38">
        <v>4307</v>
      </c>
      <c r="D423" s="44" t="s">
        <v>70</v>
      </c>
      <c r="E423" s="46">
        <v>11861.3</v>
      </c>
      <c r="F423" s="45">
        <v>1220</v>
      </c>
      <c r="G423" s="45"/>
      <c r="H423" s="116">
        <f t="shared" si="79"/>
        <v>13081.3</v>
      </c>
    </row>
    <row r="424" spans="1:8" s="18" customFormat="1" ht="12" customHeight="1" x14ac:dyDescent="0.2">
      <c r="A424" s="34"/>
      <c r="B424" s="34"/>
      <c r="C424" s="50">
        <v>4717</v>
      </c>
      <c r="D424" s="148" t="s">
        <v>80</v>
      </c>
      <c r="E424" s="46">
        <v>467.02</v>
      </c>
      <c r="F424" s="45">
        <v>27.24</v>
      </c>
      <c r="G424" s="45"/>
      <c r="H424" s="116">
        <f t="shared" si="79"/>
        <v>494.26</v>
      </c>
    </row>
    <row r="425" spans="1:8" s="18" customFormat="1" ht="12" customHeight="1" thickBot="1" x14ac:dyDescent="0.25">
      <c r="A425" s="35" t="s">
        <v>432</v>
      </c>
      <c r="B425" s="33"/>
      <c r="C425" s="35"/>
      <c r="D425" s="36" t="s">
        <v>66</v>
      </c>
      <c r="E425" s="421">
        <v>6531314.1900000004</v>
      </c>
      <c r="F425" s="421">
        <f>SUM(F426,F431)</f>
        <v>381737</v>
      </c>
      <c r="G425" s="421">
        <f>SUM(G426,G431)</f>
        <v>381737</v>
      </c>
      <c r="H425" s="32">
        <f t="shared" si="79"/>
        <v>6531314.1900000004</v>
      </c>
    </row>
    <row r="426" spans="1:8" s="18" customFormat="1" ht="12" customHeight="1" thickTop="1" x14ac:dyDescent="0.2">
      <c r="A426" s="34"/>
      <c r="B426" s="38">
        <v>85153</v>
      </c>
      <c r="C426" s="49"/>
      <c r="D426" s="422" t="s">
        <v>221</v>
      </c>
      <c r="E426" s="423">
        <v>103000</v>
      </c>
      <c r="F426" s="423">
        <f>SUM(F427)</f>
        <v>0</v>
      </c>
      <c r="G426" s="423">
        <f>SUM(G427)</f>
        <v>27000</v>
      </c>
      <c r="H426" s="39">
        <f t="shared" si="79"/>
        <v>76000</v>
      </c>
    </row>
    <row r="427" spans="1:8" s="18" customFormat="1" ht="12" customHeight="1" x14ac:dyDescent="0.2">
      <c r="A427" s="34"/>
      <c r="B427" s="34"/>
      <c r="C427" s="49"/>
      <c r="D427" s="185" t="s">
        <v>184</v>
      </c>
      <c r="E427" s="424">
        <v>103000</v>
      </c>
      <c r="F427" s="424">
        <f>SUM(F428:F430)</f>
        <v>0</v>
      </c>
      <c r="G427" s="424">
        <f>SUM(G428:G430)</f>
        <v>27000</v>
      </c>
      <c r="H427" s="42">
        <f t="shared" si="79"/>
        <v>76000</v>
      </c>
    </row>
    <row r="428" spans="1:8" s="18" customFormat="1" ht="12" customHeight="1" x14ac:dyDescent="0.2">
      <c r="A428" s="34"/>
      <c r="B428" s="34"/>
      <c r="C428" s="130">
        <v>4170</v>
      </c>
      <c r="D428" s="403" t="s">
        <v>88</v>
      </c>
      <c r="E428" s="116">
        <v>1000</v>
      </c>
      <c r="F428" s="116"/>
      <c r="G428" s="116">
        <v>1000</v>
      </c>
      <c r="H428" s="116">
        <f t="shared" si="79"/>
        <v>0</v>
      </c>
    </row>
    <row r="429" spans="1:8" s="18" customFormat="1" ht="12" customHeight="1" x14ac:dyDescent="0.2">
      <c r="A429" s="34"/>
      <c r="B429" s="34"/>
      <c r="C429" s="151" t="s">
        <v>22</v>
      </c>
      <c r="D429" s="402" t="s">
        <v>89</v>
      </c>
      <c r="E429" s="116">
        <v>15000</v>
      </c>
      <c r="F429" s="116"/>
      <c r="G429" s="116">
        <v>5000</v>
      </c>
      <c r="H429" s="116">
        <f t="shared" si="79"/>
        <v>10000</v>
      </c>
    </row>
    <row r="430" spans="1:8" s="18" customFormat="1" ht="12" customHeight="1" x14ac:dyDescent="0.2">
      <c r="A430" s="34"/>
      <c r="B430" s="34"/>
      <c r="C430" s="50">
        <v>4300</v>
      </c>
      <c r="D430" s="44" t="s">
        <v>70</v>
      </c>
      <c r="E430" s="116">
        <v>32000</v>
      </c>
      <c r="F430" s="116"/>
      <c r="G430" s="116">
        <v>21000</v>
      </c>
      <c r="H430" s="116">
        <f t="shared" si="79"/>
        <v>11000</v>
      </c>
    </row>
    <row r="431" spans="1:8" s="18" customFormat="1" ht="12" customHeight="1" x14ac:dyDescent="0.2">
      <c r="A431" s="34"/>
      <c r="B431" s="49">
        <v>85154</v>
      </c>
      <c r="C431" s="133"/>
      <c r="D431" s="136" t="s">
        <v>433</v>
      </c>
      <c r="E431" s="40">
        <v>3921721.19</v>
      </c>
      <c r="F431" s="40">
        <f>SUM(F432,F441)</f>
        <v>381737</v>
      </c>
      <c r="G431" s="40">
        <f>SUM(G432,G441)</f>
        <v>354737</v>
      </c>
      <c r="H431" s="39">
        <f t="shared" si="79"/>
        <v>3948721.1899999995</v>
      </c>
    </row>
    <row r="432" spans="1:8" s="18" customFormat="1" ht="12" customHeight="1" x14ac:dyDescent="0.2">
      <c r="A432" s="34"/>
      <c r="B432" s="34"/>
      <c r="C432" s="49"/>
      <c r="D432" s="185" t="s">
        <v>184</v>
      </c>
      <c r="E432" s="424">
        <v>1332305.94</v>
      </c>
      <c r="F432" s="424">
        <f>SUM(F433:F440)</f>
        <v>3000</v>
      </c>
      <c r="G432" s="424">
        <f>SUM(G433:G440)</f>
        <v>354737</v>
      </c>
      <c r="H432" s="42">
        <f t="shared" si="79"/>
        <v>980568.94</v>
      </c>
    </row>
    <row r="433" spans="1:8" s="18" customFormat="1" ht="32.25" customHeight="1" x14ac:dyDescent="0.2">
      <c r="A433" s="34"/>
      <c r="B433" s="34"/>
      <c r="C433" s="151" t="s">
        <v>185</v>
      </c>
      <c r="D433" s="145" t="s">
        <v>186</v>
      </c>
      <c r="E433" s="116">
        <v>550000</v>
      </c>
      <c r="F433" s="116"/>
      <c r="G433" s="116">
        <v>21000</v>
      </c>
      <c r="H433" s="116">
        <f t="shared" si="79"/>
        <v>529000</v>
      </c>
    </row>
    <row r="434" spans="1:8" s="18" customFormat="1" ht="12" customHeight="1" x14ac:dyDescent="0.2">
      <c r="A434" s="34"/>
      <c r="B434" s="34"/>
      <c r="C434" s="130">
        <v>4170</v>
      </c>
      <c r="D434" s="403" t="s">
        <v>88</v>
      </c>
      <c r="E434" s="116">
        <v>107000</v>
      </c>
      <c r="F434" s="116"/>
      <c r="G434" s="116">
        <v>30000</v>
      </c>
      <c r="H434" s="116">
        <f t="shared" si="79"/>
        <v>77000</v>
      </c>
    </row>
    <row r="435" spans="1:8" s="18" customFormat="1" ht="12" customHeight="1" x14ac:dyDescent="0.2">
      <c r="A435" s="34"/>
      <c r="B435" s="34"/>
      <c r="C435" s="151" t="s">
        <v>22</v>
      </c>
      <c r="D435" s="402" t="s">
        <v>89</v>
      </c>
      <c r="E435" s="116">
        <v>35000</v>
      </c>
      <c r="F435" s="116"/>
      <c r="G435" s="116">
        <v>5000</v>
      </c>
      <c r="H435" s="116">
        <f t="shared" si="79"/>
        <v>30000</v>
      </c>
    </row>
    <row r="436" spans="1:8" s="18" customFormat="1" ht="12" customHeight="1" x14ac:dyDescent="0.2">
      <c r="A436" s="34"/>
      <c r="B436" s="34"/>
      <c r="C436" s="50">
        <v>4280</v>
      </c>
      <c r="D436" s="44" t="s">
        <v>77</v>
      </c>
      <c r="E436" s="116">
        <v>170000</v>
      </c>
      <c r="F436" s="116"/>
      <c r="G436" s="116">
        <v>61200</v>
      </c>
      <c r="H436" s="116">
        <f t="shared" si="79"/>
        <v>108800</v>
      </c>
    </row>
    <row r="437" spans="1:8" s="18" customFormat="1" ht="12" customHeight="1" x14ac:dyDescent="0.2">
      <c r="A437" s="34"/>
      <c r="B437" s="34"/>
      <c r="C437" s="50">
        <v>4300</v>
      </c>
      <c r="D437" s="44" t="s">
        <v>70</v>
      </c>
      <c r="E437" s="116">
        <v>452305.94</v>
      </c>
      <c r="F437" s="116"/>
      <c r="G437" s="116">
        <v>234537</v>
      </c>
      <c r="H437" s="116">
        <f t="shared" si="79"/>
        <v>217768.94</v>
      </c>
    </row>
    <row r="438" spans="1:8" s="18" customFormat="1" ht="12" customHeight="1" x14ac:dyDescent="0.2">
      <c r="A438" s="34"/>
      <c r="B438" s="34"/>
      <c r="C438" s="130">
        <v>4410</v>
      </c>
      <c r="D438" s="402" t="s">
        <v>84</v>
      </c>
      <c r="E438" s="116">
        <v>1000</v>
      </c>
      <c r="F438" s="116"/>
      <c r="G438" s="116">
        <v>700</v>
      </c>
      <c r="H438" s="116">
        <f t="shared" si="79"/>
        <v>300</v>
      </c>
    </row>
    <row r="439" spans="1:8" s="18" customFormat="1" ht="12" customHeight="1" x14ac:dyDescent="0.2">
      <c r="A439" s="34"/>
      <c r="B439" s="34"/>
      <c r="C439" s="130">
        <v>4610</v>
      </c>
      <c r="D439" s="425" t="s">
        <v>75</v>
      </c>
      <c r="E439" s="116">
        <v>7000</v>
      </c>
      <c r="F439" s="116">
        <v>3000</v>
      </c>
      <c r="G439" s="116"/>
      <c r="H439" s="116">
        <f t="shared" si="79"/>
        <v>10000</v>
      </c>
    </row>
    <row r="440" spans="1:8" s="18" customFormat="1" ht="12" customHeight="1" x14ac:dyDescent="0.2">
      <c r="A440" s="34"/>
      <c r="B440" s="34"/>
      <c r="C440" s="130">
        <v>4700</v>
      </c>
      <c r="D440" s="186" t="s">
        <v>79</v>
      </c>
      <c r="E440" s="116">
        <v>4000</v>
      </c>
      <c r="F440" s="116"/>
      <c r="G440" s="116">
        <v>2300</v>
      </c>
      <c r="H440" s="116">
        <f t="shared" si="79"/>
        <v>1700</v>
      </c>
    </row>
    <row r="441" spans="1:8" s="18" customFormat="1" ht="12" customHeight="1" x14ac:dyDescent="0.2">
      <c r="A441" s="34"/>
      <c r="B441" s="34"/>
      <c r="C441" s="49"/>
      <c r="D441" s="107" t="s">
        <v>39</v>
      </c>
      <c r="E441" s="108">
        <v>1192816</v>
      </c>
      <c r="F441" s="108">
        <f>SUM(F442:F458)</f>
        <v>378737</v>
      </c>
      <c r="G441" s="108">
        <f>SUM(G442:G458)</f>
        <v>0</v>
      </c>
      <c r="H441" s="42">
        <f t="shared" si="79"/>
        <v>1571553</v>
      </c>
    </row>
    <row r="442" spans="1:8" s="18" customFormat="1" ht="12" customHeight="1" x14ac:dyDescent="0.2">
      <c r="A442" s="34"/>
      <c r="B442" s="34"/>
      <c r="C442" s="130">
        <v>3020</v>
      </c>
      <c r="D442" s="44" t="s">
        <v>76</v>
      </c>
      <c r="E442" s="116">
        <v>1050</v>
      </c>
      <c r="F442" s="116">
        <v>100</v>
      </c>
      <c r="G442" s="116"/>
      <c r="H442" s="116">
        <f t="shared" si="79"/>
        <v>1150</v>
      </c>
    </row>
    <row r="443" spans="1:8" s="18" customFormat="1" ht="12" customHeight="1" x14ac:dyDescent="0.2">
      <c r="A443" s="34"/>
      <c r="B443" s="34"/>
      <c r="C443" s="50">
        <v>4010</v>
      </c>
      <c r="D443" s="44" t="s">
        <v>90</v>
      </c>
      <c r="E443" s="116">
        <v>464089</v>
      </c>
      <c r="F443" s="116">
        <v>158937</v>
      </c>
      <c r="G443" s="116"/>
      <c r="H443" s="116">
        <f t="shared" si="79"/>
        <v>623026</v>
      </c>
    </row>
    <row r="444" spans="1:8" s="18" customFormat="1" ht="12" customHeight="1" x14ac:dyDescent="0.2">
      <c r="A444" s="34"/>
      <c r="B444" s="34"/>
      <c r="C444" s="50">
        <v>4040</v>
      </c>
      <c r="D444" s="44" t="s">
        <v>106</v>
      </c>
      <c r="E444" s="116">
        <v>24724</v>
      </c>
      <c r="F444" s="116">
        <v>12500</v>
      </c>
      <c r="G444" s="116"/>
      <c r="H444" s="116">
        <f t="shared" si="79"/>
        <v>37224</v>
      </c>
    </row>
    <row r="445" spans="1:8" s="18" customFormat="1" ht="12" customHeight="1" x14ac:dyDescent="0.2">
      <c r="A445" s="34"/>
      <c r="B445" s="34"/>
      <c r="C445" s="50">
        <v>4110</v>
      </c>
      <c r="D445" s="44" t="s">
        <v>91</v>
      </c>
      <c r="E445" s="116">
        <v>86325</v>
      </c>
      <c r="F445" s="116">
        <v>26936</v>
      </c>
      <c r="G445" s="116"/>
      <c r="H445" s="116">
        <f t="shared" si="79"/>
        <v>113261</v>
      </c>
    </row>
    <row r="446" spans="1:8" s="18" customFormat="1" ht="12" customHeight="1" x14ac:dyDescent="0.2">
      <c r="A446" s="34"/>
      <c r="B446" s="34"/>
      <c r="C446" s="50">
        <v>4120</v>
      </c>
      <c r="D446" s="44" t="s">
        <v>126</v>
      </c>
      <c r="E446" s="116">
        <v>11636</v>
      </c>
      <c r="F446" s="116">
        <v>4200</v>
      </c>
      <c r="G446" s="116"/>
      <c r="H446" s="116">
        <f t="shared" si="79"/>
        <v>15836</v>
      </c>
    </row>
    <row r="447" spans="1:8" s="18" customFormat="1" ht="12" customHeight="1" x14ac:dyDescent="0.2">
      <c r="A447" s="34"/>
      <c r="B447" s="34"/>
      <c r="C447" s="151" t="s">
        <v>22</v>
      </c>
      <c r="D447" s="402" t="s">
        <v>89</v>
      </c>
      <c r="E447" s="116">
        <v>42790</v>
      </c>
      <c r="F447" s="116">
        <v>68519</v>
      </c>
      <c r="G447" s="116"/>
      <c r="H447" s="116">
        <f t="shared" si="79"/>
        <v>111309</v>
      </c>
    </row>
    <row r="448" spans="1:8" s="18" customFormat="1" ht="12" customHeight="1" x14ac:dyDescent="0.2">
      <c r="A448" s="34"/>
      <c r="B448" s="34"/>
      <c r="C448" s="130">
        <v>4220</v>
      </c>
      <c r="D448" s="403" t="s">
        <v>161</v>
      </c>
      <c r="E448" s="116">
        <v>35716</v>
      </c>
      <c r="F448" s="116">
        <v>10000</v>
      </c>
      <c r="G448" s="116"/>
      <c r="H448" s="116">
        <f t="shared" si="79"/>
        <v>45716</v>
      </c>
    </row>
    <row r="449" spans="1:8" s="18" customFormat="1" ht="12" customHeight="1" x14ac:dyDescent="0.2">
      <c r="A449" s="34"/>
      <c r="B449" s="34"/>
      <c r="C449" s="130">
        <v>4240</v>
      </c>
      <c r="D449" s="403" t="s">
        <v>108</v>
      </c>
      <c r="E449" s="116">
        <v>1500</v>
      </c>
      <c r="F449" s="116">
        <v>6500</v>
      </c>
      <c r="G449" s="116"/>
      <c r="H449" s="116">
        <f t="shared" si="79"/>
        <v>8000</v>
      </c>
    </row>
    <row r="450" spans="1:8" s="18" customFormat="1" ht="12" customHeight="1" x14ac:dyDescent="0.2">
      <c r="A450" s="34"/>
      <c r="B450" s="34"/>
      <c r="C450" s="130">
        <v>4260</v>
      </c>
      <c r="D450" s="403" t="s">
        <v>68</v>
      </c>
      <c r="E450" s="116">
        <v>68000</v>
      </c>
      <c r="F450" s="116">
        <v>39550</v>
      </c>
      <c r="G450" s="116"/>
      <c r="H450" s="116">
        <f t="shared" si="79"/>
        <v>107550</v>
      </c>
    </row>
    <row r="451" spans="1:8" s="18" customFormat="1" ht="12" customHeight="1" x14ac:dyDescent="0.2">
      <c r="A451" s="34"/>
      <c r="B451" s="34"/>
      <c r="C451" s="50">
        <v>4270</v>
      </c>
      <c r="D451" s="44" t="s">
        <v>69</v>
      </c>
      <c r="E451" s="116">
        <v>8000</v>
      </c>
      <c r="F451" s="116">
        <v>2000</v>
      </c>
      <c r="G451" s="116"/>
      <c r="H451" s="116">
        <f t="shared" si="79"/>
        <v>10000</v>
      </c>
    </row>
    <row r="452" spans="1:8" s="18" customFormat="1" ht="12" customHeight="1" x14ac:dyDescent="0.2">
      <c r="A452" s="34"/>
      <c r="B452" s="34"/>
      <c r="C452" s="50">
        <v>4280</v>
      </c>
      <c r="D452" s="44" t="s">
        <v>77</v>
      </c>
      <c r="E452" s="116">
        <v>720</v>
      </c>
      <c r="F452" s="116">
        <v>720</v>
      </c>
      <c r="G452" s="116"/>
      <c r="H452" s="116">
        <f t="shared" si="79"/>
        <v>1440</v>
      </c>
    </row>
    <row r="453" spans="1:8" s="18" customFormat="1" ht="12" customHeight="1" x14ac:dyDescent="0.2">
      <c r="A453" s="34"/>
      <c r="B453" s="34"/>
      <c r="C453" s="50">
        <v>4300</v>
      </c>
      <c r="D453" s="44" t="s">
        <v>70</v>
      </c>
      <c r="E453" s="116">
        <v>286562</v>
      </c>
      <c r="F453" s="116">
        <v>38255</v>
      </c>
      <c r="G453" s="116"/>
      <c r="H453" s="116">
        <f t="shared" si="79"/>
        <v>324817</v>
      </c>
    </row>
    <row r="454" spans="1:8" s="18" customFormat="1" ht="12" customHeight="1" x14ac:dyDescent="0.2">
      <c r="A454" s="34"/>
      <c r="B454" s="34"/>
      <c r="C454" s="130">
        <v>4360</v>
      </c>
      <c r="D454" s="403" t="s">
        <v>71</v>
      </c>
      <c r="E454" s="116">
        <v>5000</v>
      </c>
      <c r="F454" s="116">
        <v>2200</v>
      </c>
      <c r="G454" s="116"/>
      <c r="H454" s="116">
        <f t="shared" si="79"/>
        <v>7200</v>
      </c>
    </row>
    <row r="455" spans="1:8" s="18" customFormat="1" ht="12" customHeight="1" x14ac:dyDescent="0.2">
      <c r="A455" s="34"/>
      <c r="B455" s="34"/>
      <c r="C455" s="130">
        <v>4410</v>
      </c>
      <c r="D455" s="402" t="s">
        <v>84</v>
      </c>
      <c r="E455" s="116">
        <v>4506</v>
      </c>
      <c r="F455" s="116">
        <v>300</v>
      </c>
      <c r="G455" s="116"/>
      <c r="H455" s="116">
        <f t="shared" si="79"/>
        <v>4806</v>
      </c>
    </row>
    <row r="456" spans="1:8" s="18" customFormat="1" ht="12" customHeight="1" x14ac:dyDescent="0.2">
      <c r="A456" s="34"/>
      <c r="B456" s="34"/>
      <c r="C456" s="130">
        <v>4440</v>
      </c>
      <c r="D456" s="403" t="s">
        <v>144</v>
      </c>
      <c r="E456" s="116">
        <v>15115</v>
      </c>
      <c r="F456" s="116">
        <v>4989</v>
      </c>
      <c r="G456" s="116"/>
      <c r="H456" s="116">
        <f t="shared" si="79"/>
        <v>20104</v>
      </c>
    </row>
    <row r="457" spans="1:8" s="18" customFormat="1" ht="21.75" customHeight="1" x14ac:dyDescent="0.2">
      <c r="A457" s="34"/>
      <c r="B457" s="34"/>
      <c r="C457" s="130">
        <v>4700</v>
      </c>
      <c r="D457" s="186" t="s">
        <v>79</v>
      </c>
      <c r="E457" s="116">
        <v>15520</v>
      </c>
      <c r="F457" s="116">
        <v>1181</v>
      </c>
      <c r="G457" s="116"/>
      <c r="H457" s="116">
        <f t="shared" si="79"/>
        <v>16701</v>
      </c>
    </row>
    <row r="458" spans="1:8" s="18" customFormat="1" ht="12" customHeight="1" x14ac:dyDescent="0.2">
      <c r="A458" s="34"/>
      <c r="B458" s="34"/>
      <c r="C458" s="130">
        <v>4710</v>
      </c>
      <c r="D458" s="402" t="s">
        <v>80</v>
      </c>
      <c r="E458" s="116">
        <v>200</v>
      </c>
      <c r="F458" s="116">
        <v>1850</v>
      </c>
      <c r="G458" s="116"/>
      <c r="H458" s="116">
        <f t="shared" si="79"/>
        <v>2050</v>
      </c>
    </row>
    <row r="459" spans="1:8" s="18" customFormat="1" ht="12" customHeight="1" thickBot="1" x14ac:dyDescent="0.25">
      <c r="A459" s="35" t="s">
        <v>38</v>
      </c>
      <c r="B459" s="34"/>
      <c r="C459" s="35"/>
      <c r="D459" s="36" t="s">
        <v>53</v>
      </c>
      <c r="E459" s="32">
        <v>67753267.840000004</v>
      </c>
      <c r="F459" s="37">
        <f>SUM(F460,F467,F472,F477,F483,F495,F504,F508)</f>
        <v>563123</v>
      </c>
      <c r="G459" s="37">
        <f>SUM(G460,G467,G472,G477,G483,G495,G504,G508)</f>
        <v>608832</v>
      </c>
      <c r="H459" s="32">
        <f t="shared" ref="H459:H466" si="80">SUM(E459+F459-G459)</f>
        <v>67707558.840000004</v>
      </c>
    </row>
    <row r="460" spans="1:8" s="18" customFormat="1" ht="12" customHeight="1" thickTop="1" x14ac:dyDescent="0.2">
      <c r="A460" s="35"/>
      <c r="B460" s="38">
        <v>85202</v>
      </c>
      <c r="C460" s="28"/>
      <c r="D460" s="125" t="s">
        <v>154</v>
      </c>
      <c r="E460" s="51">
        <v>16218410.26</v>
      </c>
      <c r="F460" s="40">
        <f>SUM(F461,F465)</f>
        <v>20514</v>
      </c>
      <c r="G460" s="40">
        <f>SUM(G461,G465)</f>
        <v>66553</v>
      </c>
      <c r="H460" s="39">
        <f t="shared" si="80"/>
        <v>16172371.26</v>
      </c>
    </row>
    <row r="461" spans="1:8" s="18" customFormat="1" ht="12" customHeight="1" x14ac:dyDescent="0.2">
      <c r="A461" s="35"/>
      <c r="B461" s="38"/>
      <c r="C461" s="28"/>
      <c r="D461" s="107" t="s">
        <v>155</v>
      </c>
      <c r="E461" s="43">
        <v>4017236.26</v>
      </c>
      <c r="F461" s="167">
        <f>SUM(F462:F464)</f>
        <v>20514</v>
      </c>
      <c r="G461" s="167">
        <f>SUM(G462:G464)</f>
        <v>54475</v>
      </c>
      <c r="H461" s="42">
        <f t="shared" si="80"/>
        <v>3983275.26</v>
      </c>
    </row>
    <row r="462" spans="1:8" s="18" customFormat="1" ht="12" customHeight="1" x14ac:dyDescent="0.2">
      <c r="A462" s="35"/>
      <c r="B462" s="38"/>
      <c r="C462" s="50">
        <v>4010</v>
      </c>
      <c r="D462" s="44" t="s">
        <v>90</v>
      </c>
      <c r="E462" s="45">
        <v>2129549</v>
      </c>
      <c r="F462" s="46">
        <v>1694</v>
      </c>
      <c r="G462" s="46"/>
      <c r="H462" s="116">
        <f t="shared" si="80"/>
        <v>2131243</v>
      </c>
    </row>
    <row r="463" spans="1:8" s="18" customFormat="1" ht="12" customHeight="1" x14ac:dyDescent="0.2">
      <c r="A463" s="35"/>
      <c r="B463" s="38"/>
      <c r="C463" s="50">
        <v>4270</v>
      </c>
      <c r="D463" s="44" t="s">
        <v>69</v>
      </c>
      <c r="E463" s="45">
        <v>34605</v>
      </c>
      <c r="F463" s="46"/>
      <c r="G463" s="46">
        <v>10000</v>
      </c>
      <c r="H463" s="116">
        <f t="shared" si="80"/>
        <v>24605</v>
      </c>
    </row>
    <row r="464" spans="1:8" s="18" customFormat="1" ht="12" customHeight="1" x14ac:dyDescent="0.2">
      <c r="A464" s="35"/>
      <c r="B464" s="38"/>
      <c r="C464" s="50">
        <v>4300</v>
      </c>
      <c r="D464" s="44" t="s">
        <v>70</v>
      </c>
      <c r="E464" s="45">
        <v>160392</v>
      </c>
      <c r="F464" s="46">
        <v>18820</v>
      </c>
      <c r="G464" s="46">
        <v>44475</v>
      </c>
      <c r="H464" s="116">
        <f t="shared" si="80"/>
        <v>134737</v>
      </c>
    </row>
    <row r="465" spans="1:8" s="18" customFormat="1" ht="12" customHeight="1" x14ac:dyDescent="0.2">
      <c r="A465" s="35"/>
      <c r="B465" s="38"/>
      <c r="C465" s="28"/>
      <c r="D465" s="107" t="s">
        <v>156</v>
      </c>
      <c r="E465" s="43">
        <v>3452329</v>
      </c>
      <c r="F465" s="167">
        <f>SUM(F466:F466)</f>
        <v>0</v>
      </c>
      <c r="G465" s="167">
        <f>SUM(G466:G466)</f>
        <v>12078</v>
      </c>
      <c r="H465" s="42">
        <f t="shared" si="80"/>
        <v>3440251</v>
      </c>
    </row>
    <row r="466" spans="1:8" s="18" customFormat="1" ht="12" customHeight="1" x14ac:dyDescent="0.2">
      <c r="A466" s="171"/>
      <c r="B466" s="146"/>
      <c r="C466" s="147">
        <v>4260</v>
      </c>
      <c r="D466" s="48" t="s">
        <v>68</v>
      </c>
      <c r="E466" s="128">
        <v>257951</v>
      </c>
      <c r="F466" s="51"/>
      <c r="G466" s="51">
        <v>12078</v>
      </c>
      <c r="H466" s="40">
        <f t="shared" si="80"/>
        <v>245873</v>
      </c>
    </row>
    <row r="467" spans="1:8" s="18" customFormat="1" ht="12" customHeight="1" x14ac:dyDescent="0.2">
      <c r="A467" s="35"/>
      <c r="B467" s="49">
        <v>85203</v>
      </c>
      <c r="C467" s="170"/>
      <c r="D467" s="136" t="s">
        <v>157</v>
      </c>
      <c r="E467" s="51">
        <v>757023</v>
      </c>
      <c r="F467" s="40">
        <f>SUM(F468)</f>
        <v>9000</v>
      </c>
      <c r="G467" s="40">
        <f>SUM(G468)</f>
        <v>9000</v>
      </c>
      <c r="H467" s="39">
        <f t="shared" ref="H467:H470" si="81">SUM(E467+F467-G467)</f>
        <v>757023</v>
      </c>
    </row>
    <row r="468" spans="1:8" s="18" customFormat="1" ht="12" customHeight="1" x14ac:dyDescent="0.2">
      <c r="A468" s="35"/>
      <c r="B468" s="38"/>
      <c r="C468" s="28"/>
      <c r="D468" s="107" t="s">
        <v>183</v>
      </c>
      <c r="E468" s="43">
        <v>175718</v>
      </c>
      <c r="F468" s="167">
        <f>SUM(F469:F470)</f>
        <v>9000</v>
      </c>
      <c r="G468" s="167">
        <f>SUM(G469:G470)</f>
        <v>9000</v>
      </c>
      <c r="H468" s="43">
        <f t="shared" si="81"/>
        <v>175718</v>
      </c>
    </row>
    <row r="469" spans="1:8" s="18" customFormat="1" ht="12" customHeight="1" x14ac:dyDescent="0.2">
      <c r="A469" s="35"/>
      <c r="B469" s="38"/>
      <c r="C469" s="50">
        <v>4220</v>
      </c>
      <c r="D469" s="44" t="s">
        <v>161</v>
      </c>
      <c r="E469" s="46">
        <v>32400</v>
      </c>
      <c r="F469" s="45">
        <v>9000</v>
      </c>
      <c r="G469" s="45"/>
      <c r="H469" s="116">
        <f t="shared" si="81"/>
        <v>41400</v>
      </c>
    </row>
    <row r="470" spans="1:8" s="18" customFormat="1" ht="12" customHeight="1" x14ac:dyDescent="0.2">
      <c r="A470" s="35"/>
      <c r="B470" s="38"/>
      <c r="C470" s="50">
        <v>4260</v>
      </c>
      <c r="D470" s="44" t="s">
        <v>68</v>
      </c>
      <c r="E470" s="46">
        <v>31000</v>
      </c>
      <c r="F470" s="45"/>
      <c r="G470" s="45">
        <v>9000</v>
      </c>
      <c r="H470" s="116">
        <f t="shared" si="81"/>
        <v>22000</v>
      </c>
    </row>
    <row r="471" spans="1:8" s="18" customFormat="1" ht="12" customHeight="1" x14ac:dyDescent="0.2">
      <c r="A471" s="35"/>
      <c r="B471" s="38">
        <v>85214</v>
      </c>
      <c r="C471" s="28"/>
      <c r="D471" s="121" t="s">
        <v>54</v>
      </c>
      <c r="E471" s="111"/>
      <c r="F471" s="122"/>
      <c r="G471" s="122"/>
      <c r="H471" s="111"/>
    </row>
    <row r="472" spans="1:8" s="18" customFormat="1" ht="12" customHeight="1" x14ac:dyDescent="0.2">
      <c r="A472" s="35"/>
      <c r="B472" s="38"/>
      <c r="C472" s="28"/>
      <c r="D472" s="123" t="s">
        <v>55</v>
      </c>
      <c r="E472" s="39">
        <v>9513174.1400000006</v>
      </c>
      <c r="F472" s="40">
        <f>SUM(F473,F475)</f>
        <v>330</v>
      </c>
      <c r="G472" s="40">
        <f>SUM(G473,G475)</f>
        <v>90000</v>
      </c>
      <c r="H472" s="39">
        <f>SUM(E472+F472-G472)</f>
        <v>9423504.1400000006</v>
      </c>
    </row>
    <row r="473" spans="1:8" s="18" customFormat="1" ht="12" customHeight="1" x14ac:dyDescent="0.2">
      <c r="A473" s="35"/>
      <c r="B473" s="38"/>
      <c r="C473" s="28"/>
      <c r="D473" s="107" t="s">
        <v>39</v>
      </c>
      <c r="E473" s="179">
        <v>9466631.1400000006</v>
      </c>
      <c r="F473" s="108">
        <f>SUM(F474:F474)</f>
        <v>0</v>
      </c>
      <c r="G473" s="108">
        <f>SUM(G474:G474)</f>
        <v>90000</v>
      </c>
      <c r="H473" s="43">
        <f t="shared" ref="H473:H535" si="82">SUM(E473+F473-G473)</f>
        <v>9376631.1400000006</v>
      </c>
    </row>
    <row r="474" spans="1:8" s="18" customFormat="1" ht="12" customHeight="1" x14ac:dyDescent="0.2">
      <c r="A474" s="35"/>
      <c r="B474" s="38"/>
      <c r="C474" s="130">
        <v>3110</v>
      </c>
      <c r="D474" s="44" t="s">
        <v>169</v>
      </c>
      <c r="E474" s="47">
        <v>9377831.1400000006</v>
      </c>
      <c r="F474" s="116"/>
      <c r="G474" s="116">
        <v>90000</v>
      </c>
      <c r="H474" s="116">
        <f t="shared" si="82"/>
        <v>9287831.1400000006</v>
      </c>
    </row>
    <row r="475" spans="1:8" s="18" customFormat="1" ht="19.899999999999999" customHeight="1" x14ac:dyDescent="0.2">
      <c r="A475" s="35"/>
      <c r="B475" s="34"/>
      <c r="C475" s="41"/>
      <c r="D475" s="114" t="s">
        <v>158</v>
      </c>
      <c r="E475" s="43">
        <v>1430</v>
      </c>
      <c r="F475" s="108">
        <f>SUM(F476:F476)</f>
        <v>330</v>
      </c>
      <c r="G475" s="108">
        <f>SUM(G476:G476)</f>
        <v>0</v>
      </c>
      <c r="H475" s="43">
        <f t="shared" si="82"/>
        <v>1760</v>
      </c>
    </row>
    <row r="476" spans="1:8" s="18" customFormat="1" ht="21" customHeight="1" x14ac:dyDescent="0.2">
      <c r="A476" s="35"/>
      <c r="B476" s="34"/>
      <c r="C476" s="130">
        <v>3290</v>
      </c>
      <c r="D476" s="131" t="s">
        <v>159</v>
      </c>
      <c r="E476" s="47">
        <v>1430</v>
      </c>
      <c r="F476" s="47">
        <v>330</v>
      </c>
      <c r="G476" s="116"/>
      <c r="H476" s="47">
        <f t="shared" si="82"/>
        <v>1760</v>
      </c>
    </row>
    <row r="477" spans="1:8" s="18" customFormat="1" ht="12" customHeight="1" x14ac:dyDescent="0.2">
      <c r="A477" s="35"/>
      <c r="B477" s="38">
        <v>85215</v>
      </c>
      <c r="C477" s="130"/>
      <c r="D477" s="164" t="s">
        <v>434</v>
      </c>
      <c r="E477" s="39">
        <v>2598567</v>
      </c>
      <c r="F477" s="39">
        <f>SUM(F478)</f>
        <v>222909</v>
      </c>
      <c r="G477" s="40">
        <f>SUM(G478)</f>
        <v>1600</v>
      </c>
      <c r="H477" s="39">
        <f t="shared" si="82"/>
        <v>2819876</v>
      </c>
    </row>
    <row r="478" spans="1:8" s="18" customFormat="1" ht="12" customHeight="1" x14ac:dyDescent="0.2">
      <c r="A478" s="35"/>
      <c r="B478" s="34"/>
      <c r="C478" s="130"/>
      <c r="D478" s="107" t="s">
        <v>39</v>
      </c>
      <c r="E478" s="179">
        <v>2598567</v>
      </c>
      <c r="F478" s="179">
        <f>SUM(F479:F482)</f>
        <v>222909</v>
      </c>
      <c r="G478" s="424">
        <f>SUM(G479:G482)</f>
        <v>1600</v>
      </c>
      <c r="H478" s="43">
        <f>SUM(E478+F478-G478)</f>
        <v>2819876</v>
      </c>
    </row>
    <row r="479" spans="1:8" s="18" customFormat="1" ht="12" customHeight="1" x14ac:dyDescent="0.2">
      <c r="A479" s="35"/>
      <c r="B479" s="34"/>
      <c r="C479" s="130">
        <v>3110</v>
      </c>
      <c r="D479" s="44" t="s">
        <v>169</v>
      </c>
      <c r="E479" s="46">
        <v>2549040</v>
      </c>
      <c r="F479" s="46">
        <v>221909</v>
      </c>
      <c r="G479" s="45"/>
      <c r="H479" s="116">
        <f t="shared" ref="H479:H482" si="83">SUM(E479+F479-G479)</f>
        <v>2770949</v>
      </c>
    </row>
    <row r="480" spans="1:8" s="18" customFormat="1" ht="12" customHeight="1" x14ac:dyDescent="0.2">
      <c r="A480" s="35"/>
      <c r="B480" s="34"/>
      <c r="C480" s="151" t="s">
        <v>22</v>
      </c>
      <c r="D480" s="402" t="s">
        <v>89</v>
      </c>
      <c r="E480" s="47">
        <v>15363</v>
      </c>
      <c r="F480" s="47">
        <v>1000</v>
      </c>
      <c r="G480" s="116"/>
      <c r="H480" s="116">
        <f t="shared" si="83"/>
        <v>16363</v>
      </c>
    </row>
    <row r="481" spans="1:8" s="18" customFormat="1" ht="12" customHeight="1" x14ac:dyDescent="0.2">
      <c r="A481" s="35"/>
      <c r="B481" s="34"/>
      <c r="C481" s="50">
        <v>4270</v>
      </c>
      <c r="D481" s="44" t="s">
        <v>69</v>
      </c>
      <c r="E481" s="47">
        <v>2700</v>
      </c>
      <c r="F481" s="47"/>
      <c r="G481" s="116">
        <v>1000</v>
      </c>
      <c r="H481" s="116">
        <f t="shared" si="83"/>
        <v>1700</v>
      </c>
    </row>
    <row r="482" spans="1:8" s="18" customFormat="1" ht="21.75" customHeight="1" x14ac:dyDescent="0.2">
      <c r="A482" s="35"/>
      <c r="B482" s="34"/>
      <c r="C482" s="130">
        <v>4700</v>
      </c>
      <c r="D482" s="186" t="s">
        <v>79</v>
      </c>
      <c r="E482" s="47">
        <v>2210</v>
      </c>
      <c r="F482" s="47"/>
      <c r="G482" s="116">
        <v>600</v>
      </c>
      <c r="H482" s="116">
        <f t="shared" si="83"/>
        <v>1610</v>
      </c>
    </row>
    <row r="483" spans="1:8" s="18" customFormat="1" ht="12" customHeight="1" x14ac:dyDescent="0.2">
      <c r="A483" s="35"/>
      <c r="B483" s="38">
        <v>85219</v>
      </c>
      <c r="C483" s="28"/>
      <c r="D483" s="123" t="s">
        <v>58</v>
      </c>
      <c r="E483" s="51">
        <v>15061153</v>
      </c>
      <c r="F483" s="40">
        <f>SUM(F484)</f>
        <v>63200</v>
      </c>
      <c r="G483" s="40">
        <f>SUM(G484)</f>
        <v>122860</v>
      </c>
      <c r="H483" s="39">
        <f t="shared" si="82"/>
        <v>15001493</v>
      </c>
    </row>
    <row r="484" spans="1:8" s="18" customFormat="1" ht="12" customHeight="1" x14ac:dyDescent="0.2">
      <c r="A484" s="35"/>
      <c r="B484" s="34"/>
      <c r="C484" s="28"/>
      <c r="D484" s="107" t="s">
        <v>39</v>
      </c>
      <c r="E484" s="43">
        <v>15061153</v>
      </c>
      <c r="F484" s="108">
        <f>SUM(F485:F493)</f>
        <v>63200</v>
      </c>
      <c r="G484" s="108">
        <f>SUM(G485:G493)</f>
        <v>122860</v>
      </c>
      <c r="H484" s="43">
        <f>SUM(E484+F484-G484)</f>
        <v>15001493</v>
      </c>
    </row>
    <row r="485" spans="1:8" s="18" customFormat="1" ht="12" customHeight="1" x14ac:dyDescent="0.2">
      <c r="A485" s="35"/>
      <c r="B485" s="38"/>
      <c r="C485" s="50">
        <v>4040</v>
      </c>
      <c r="D485" s="44" t="s">
        <v>106</v>
      </c>
      <c r="E485" s="46">
        <v>708417</v>
      </c>
      <c r="F485" s="116"/>
      <c r="G485" s="116">
        <v>737</v>
      </c>
      <c r="H485" s="116">
        <f t="shared" ref="H485:H493" si="84">SUM(E485+F485-G485)</f>
        <v>707680</v>
      </c>
    </row>
    <row r="486" spans="1:8" s="18" customFormat="1" ht="12" customHeight="1" x14ac:dyDescent="0.2">
      <c r="A486" s="35"/>
      <c r="B486" s="38"/>
      <c r="C486" s="50">
        <v>4120</v>
      </c>
      <c r="D486" s="44" t="s">
        <v>126</v>
      </c>
      <c r="E486" s="46">
        <v>216051</v>
      </c>
      <c r="F486" s="116"/>
      <c r="G486" s="116">
        <v>3000</v>
      </c>
      <c r="H486" s="116">
        <f t="shared" si="84"/>
        <v>213051</v>
      </c>
    </row>
    <row r="487" spans="1:8" s="18" customFormat="1" ht="12" customHeight="1" x14ac:dyDescent="0.2">
      <c r="A487" s="35"/>
      <c r="B487" s="38"/>
      <c r="C487" s="130">
        <v>4170</v>
      </c>
      <c r="D487" s="403" t="s">
        <v>88</v>
      </c>
      <c r="E487" s="46">
        <v>35590</v>
      </c>
      <c r="F487" s="116"/>
      <c r="G487" s="116">
        <v>5000</v>
      </c>
      <c r="H487" s="116">
        <f t="shared" si="84"/>
        <v>30590</v>
      </c>
    </row>
    <row r="488" spans="1:8" s="18" customFormat="1" ht="12" customHeight="1" x14ac:dyDescent="0.2">
      <c r="A488" s="35"/>
      <c r="B488" s="38"/>
      <c r="C488" s="151" t="s">
        <v>22</v>
      </c>
      <c r="D488" s="402" t="s">
        <v>89</v>
      </c>
      <c r="E488" s="46">
        <v>205208</v>
      </c>
      <c r="F488" s="116">
        <v>63200</v>
      </c>
      <c r="G488" s="116">
        <v>5600</v>
      </c>
      <c r="H488" s="116">
        <f t="shared" si="84"/>
        <v>262808</v>
      </c>
    </row>
    <row r="489" spans="1:8" s="18" customFormat="1" ht="12" customHeight="1" x14ac:dyDescent="0.2">
      <c r="A489" s="35"/>
      <c r="B489" s="38"/>
      <c r="C489" s="130">
        <v>4260</v>
      </c>
      <c r="D489" s="403" t="s">
        <v>68</v>
      </c>
      <c r="E489" s="46">
        <v>235500</v>
      </c>
      <c r="F489" s="116"/>
      <c r="G489" s="116">
        <v>5000</v>
      </c>
      <c r="H489" s="116">
        <f t="shared" si="84"/>
        <v>230500</v>
      </c>
    </row>
    <row r="490" spans="1:8" s="18" customFormat="1" ht="12" customHeight="1" x14ac:dyDescent="0.2">
      <c r="A490" s="35"/>
      <c r="B490" s="38"/>
      <c r="C490" s="50">
        <v>4270</v>
      </c>
      <c r="D490" s="44" t="s">
        <v>69</v>
      </c>
      <c r="E490" s="46">
        <v>37565</v>
      </c>
      <c r="F490" s="116"/>
      <c r="G490" s="116">
        <v>18200</v>
      </c>
      <c r="H490" s="116">
        <f t="shared" si="84"/>
        <v>19365</v>
      </c>
    </row>
    <row r="491" spans="1:8" s="18" customFormat="1" ht="12" customHeight="1" x14ac:dyDescent="0.2">
      <c r="A491" s="35"/>
      <c r="B491" s="38"/>
      <c r="C491" s="50">
        <v>4300</v>
      </c>
      <c r="D491" s="44" t="s">
        <v>70</v>
      </c>
      <c r="E491" s="46">
        <v>402743</v>
      </c>
      <c r="F491" s="116"/>
      <c r="G491" s="116">
        <v>70195</v>
      </c>
      <c r="H491" s="116">
        <f t="shared" si="84"/>
        <v>332548</v>
      </c>
    </row>
    <row r="492" spans="1:8" s="18" customFormat="1" ht="12" customHeight="1" x14ac:dyDescent="0.2">
      <c r="A492" s="35"/>
      <c r="B492" s="38"/>
      <c r="C492" s="130">
        <v>4410</v>
      </c>
      <c r="D492" s="402" t="s">
        <v>84</v>
      </c>
      <c r="E492" s="46">
        <v>32254</v>
      </c>
      <c r="F492" s="116"/>
      <c r="G492" s="116">
        <v>5000</v>
      </c>
      <c r="H492" s="116">
        <f t="shared" si="84"/>
        <v>27254</v>
      </c>
    </row>
    <row r="493" spans="1:8" s="18" customFormat="1" ht="21" customHeight="1" x14ac:dyDescent="0.2">
      <c r="A493" s="35"/>
      <c r="B493" s="38"/>
      <c r="C493" s="130">
        <v>4700</v>
      </c>
      <c r="D493" s="145" t="s">
        <v>79</v>
      </c>
      <c r="E493" s="46">
        <v>40240</v>
      </c>
      <c r="F493" s="116"/>
      <c r="G493" s="116">
        <v>10128</v>
      </c>
      <c r="H493" s="116">
        <f t="shared" si="84"/>
        <v>30112</v>
      </c>
    </row>
    <row r="494" spans="1:8" s="18" customFormat="1" ht="12" customHeight="1" x14ac:dyDescent="0.2">
      <c r="A494" s="35"/>
      <c r="B494" s="49">
        <v>85220</v>
      </c>
      <c r="C494" s="133"/>
      <c r="D494" s="135" t="s">
        <v>435</v>
      </c>
      <c r="E494" s="46"/>
      <c r="F494" s="116"/>
      <c r="G494" s="116"/>
      <c r="H494" s="116"/>
    </row>
    <row r="495" spans="1:8" s="18" customFormat="1" ht="12" customHeight="1" x14ac:dyDescent="0.2">
      <c r="A495" s="35"/>
      <c r="B495" s="134"/>
      <c r="C495" s="133"/>
      <c r="D495" s="136" t="s">
        <v>436</v>
      </c>
      <c r="E495" s="51">
        <v>831938</v>
      </c>
      <c r="F495" s="40">
        <f>SUM(F496,F499)</f>
        <v>0</v>
      </c>
      <c r="G495" s="40">
        <f>SUM(G496,G499)</f>
        <v>23831</v>
      </c>
      <c r="H495" s="39">
        <f>SUM(E495+F495-G495)</f>
        <v>808107</v>
      </c>
    </row>
    <row r="496" spans="1:8" s="18" customFormat="1" ht="12" customHeight="1" x14ac:dyDescent="0.2">
      <c r="A496" s="35"/>
      <c r="B496" s="134"/>
      <c r="C496" s="133"/>
      <c r="D496" s="181" t="s">
        <v>437</v>
      </c>
      <c r="E496" s="179">
        <v>31000</v>
      </c>
      <c r="F496" s="424">
        <f>SUM(F497)</f>
        <v>0</v>
      </c>
      <c r="G496" s="424">
        <f>SUM(G497)</f>
        <v>2000</v>
      </c>
      <c r="H496" s="43">
        <f t="shared" ref="H496:H497" si="85">SUM(E496+F496-G496)</f>
        <v>29000</v>
      </c>
    </row>
    <row r="497" spans="1:8" s="18" customFormat="1" ht="12" customHeight="1" x14ac:dyDescent="0.2">
      <c r="A497" s="35"/>
      <c r="B497" s="134"/>
      <c r="C497" s="50">
        <v>4270</v>
      </c>
      <c r="D497" s="44" t="s">
        <v>69</v>
      </c>
      <c r="E497" s="46">
        <v>2000</v>
      </c>
      <c r="F497" s="116"/>
      <c r="G497" s="116">
        <v>2000</v>
      </c>
      <c r="H497" s="47">
        <f t="shared" si="85"/>
        <v>0</v>
      </c>
    </row>
    <row r="498" spans="1:8" s="18" customFormat="1" ht="12" customHeight="1" x14ac:dyDescent="0.2">
      <c r="A498" s="35"/>
      <c r="B498" s="38"/>
      <c r="C498" s="130"/>
      <c r="D498" s="150" t="s">
        <v>438</v>
      </c>
      <c r="E498" s="46"/>
      <c r="F498" s="116"/>
      <c r="G498" s="116"/>
      <c r="H498" s="116"/>
    </row>
    <row r="499" spans="1:8" s="18" customFormat="1" ht="12" customHeight="1" x14ac:dyDescent="0.2">
      <c r="A499" s="35"/>
      <c r="B499" s="38"/>
      <c r="C499" s="130"/>
      <c r="D499" s="149" t="s">
        <v>439</v>
      </c>
      <c r="E499" s="43">
        <v>800938</v>
      </c>
      <c r="F499" s="108">
        <f>SUM(F500:F503)</f>
        <v>0</v>
      </c>
      <c r="G499" s="108">
        <f>SUM(G500:G503)</f>
        <v>21831</v>
      </c>
      <c r="H499" s="43">
        <f t="shared" ref="H499:H503" si="86">SUM(E499+F499-G499)</f>
        <v>779107</v>
      </c>
    </row>
    <row r="500" spans="1:8" s="18" customFormat="1" ht="12" customHeight="1" x14ac:dyDescent="0.2">
      <c r="A500" s="35"/>
      <c r="B500" s="38"/>
      <c r="C500" s="50">
        <v>4040</v>
      </c>
      <c r="D500" s="44" t="s">
        <v>106</v>
      </c>
      <c r="E500" s="46">
        <v>30637</v>
      </c>
      <c r="F500" s="116"/>
      <c r="G500" s="116">
        <v>1231</v>
      </c>
      <c r="H500" s="116">
        <f t="shared" si="86"/>
        <v>29406</v>
      </c>
    </row>
    <row r="501" spans="1:8" s="18" customFormat="1" ht="12" customHeight="1" x14ac:dyDescent="0.2">
      <c r="A501" s="35"/>
      <c r="B501" s="38"/>
      <c r="C501" s="50">
        <v>4300</v>
      </c>
      <c r="D501" s="44" t="s">
        <v>70</v>
      </c>
      <c r="E501" s="46">
        <v>38120</v>
      </c>
      <c r="F501" s="116"/>
      <c r="G501" s="116">
        <v>20000</v>
      </c>
      <c r="H501" s="116">
        <f t="shared" si="86"/>
        <v>18120</v>
      </c>
    </row>
    <row r="502" spans="1:8" s="18" customFormat="1" ht="12" customHeight="1" x14ac:dyDescent="0.2">
      <c r="A502" s="35"/>
      <c r="B502" s="38"/>
      <c r="C502" s="130">
        <v>4410</v>
      </c>
      <c r="D502" s="402" t="s">
        <v>84</v>
      </c>
      <c r="E502" s="46">
        <v>900</v>
      </c>
      <c r="F502" s="116"/>
      <c r="G502" s="116">
        <v>500</v>
      </c>
      <c r="H502" s="116">
        <f t="shared" si="86"/>
        <v>400</v>
      </c>
    </row>
    <row r="503" spans="1:8" s="18" customFormat="1" ht="12" customHeight="1" x14ac:dyDescent="0.2">
      <c r="A503" s="35"/>
      <c r="B503" s="38"/>
      <c r="C503" s="130">
        <v>4700</v>
      </c>
      <c r="D503" s="186" t="s">
        <v>79</v>
      </c>
      <c r="E503" s="46">
        <v>9180</v>
      </c>
      <c r="F503" s="116"/>
      <c r="G503" s="116">
        <v>100</v>
      </c>
      <c r="H503" s="116">
        <f t="shared" si="86"/>
        <v>9080</v>
      </c>
    </row>
    <row r="504" spans="1:8" s="18" customFormat="1" ht="12" customHeight="1" x14ac:dyDescent="0.2">
      <c r="A504" s="35"/>
      <c r="B504" s="49">
        <v>85230</v>
      </c>
      <c r="C504" s="133"/>
      <c r="D504" s="136" t="s">
        <v>440</v>
      </c>
      <c r="E504" s="51">
        <v>5620415</v>
      </c>
      <c r="F504" s="40">
        <f>SUM(F505)</f>
        <v>247000</v>
      </c>
      <c r="G504" s="40">
        <f>SUM(G505)</f>
        <v>247000</v>
      </c>
      <c r="H504" s="39">
        <f>SUM(E504+F504-G504)</f>
        <v>5620415</v>
      </c>
    </row>
    <row r="505" spans="1:8" s="18" customFormat="1" ht="12" customHeight="1" x14ac:dyDescent="0.2">
      <c r="A505" s="35"/>
      <c r="B505" s="34"/>
      <c r="C505" s="41"/>
      <c r="D505" s="107" t="s">
        <v>39</v>
      </c>
      <c r="E505" s="179">
        <v>5567833</v>
      </c>
      <c r="F505" s="424">
        <f>SUM(F506:F507)</f>
        <v>247000</v>
      </c>
      <c r="G505" s="424">
        <f>SUM(G506:G507)</f>
        <v>247000</v>
      </c>
      <c r="H505" s="43">
        <f t="shared" ref="H505:H507" si="87">SUM(E505+F505-G505)</f>
        <v>5567833</v>
      </c>
    </row>
    <row r="506" spans="1:8" s="18" customFormat="1" ht="12" customHeight="1" x14ac:dyDescent="0.2">
      <c r="A506" s="35"/>
      <c r="B506" s="34"/>
      <c r="C506" s="50">
        <v>3110</v>
      </c>
      <c r="D506" s="44" t="s">
        <v>169</v>
      </c>
      <c r="E506" s="46">
        <v>3167833</v>
      </c>
      <c r="F506" s="116">
        <v>247000</v>
      </c>
      <c r="G506" s="116"/>
      <c r="H506" s="116">
        <f t="shared" si="87"/>
        <v>3414833</v>
      </c>
    </row>
    <row r="507" spans="1:8" s="18" customFormat="1" ht="12" customHeight="1" x14ac:dyDescent="0.2">
      <c r="A507" s="35"/>
      <c r="B507" s="34"/>
      <c r="C507" s="135">
        <v>4300</v>
      </c>
      <c r="D507" s="148" t="s">
        <v>70</v>
      </c>
      <c r="E507" s="46">
        <v>2400000</v>
      </c>
      <c r="F507" s="116"/>
      <c r="G507" s="116">
        <v>247000</v>
      </c>
      <c r="H507" s="116">
        <f t="shared" si="87"/>
        <v>2153000</v>
      </c>
    </row>
    <row r="508" spans="1:8" s="18" customFormat="1" ht="12" customHeight="1" x14ac:dyDescent="0.2">
      <c r="A508" s="35"/>
      <c r="B508" s="38">
        <v>85295</v>
      </c>
      <c r="C508" s="28"/>
      <c r="D508" s="48" t="s">
        <v>12</v>
      </c>
      <c r="E508" s="39">
        <v>5570489.4400000004</v>
      </c>
      <c r="F508" s="40">
        <f>SUM(F509)</f>
        <v>170</v>
      </c>
      <c r="G508" s="40">
        <f>SUM(G509)</f>
        <v>47988</v>
      </c>
      <c r="H508" s="39">
        <f>SUM(E508+F508-G508)</f>
        <v>5522671.4400000004</v>
      </c>
    </row>
    <row r="509" spans="1:8" s="18" customFormat="1" ht="12" customHeight="1" x14ac:dyDescent="0.2">
      <c r="A509" s="35"/>
      <c r="B509" s="34"/>
      <c r="C509" s="41"/>
      <c r="D509" s="107" t="s">
        <v>39</v>
      </c>
      <c r="E509" s="43">
        <v>1322778</v>
      </c>
      <c r="F509" s="108">
        <f>SUM(F510:F515)</f>
        <v>170</v>
      </c>
      <c r="G509" s="108">
        <f>SUM(G510:G515)</f>
        <v>47988</v>
      </c>
      <c r="H509" s="43">
        <f t="shared" ref="H509:H525" si="88">SUM(E509+F509-G509)</f>
        <v>1274960</v>
      </c>
    </row>
    <row r="510" spans="1:8" s="18" customFormat="1" ht="12" customHeight="1" x14ac:dyDescent="0.2">
      <c r="A510" s="35"/>
      <c r="B510" s="34"/>
      <c r="C510" s="130">
        <v>3110</v>
      </c>
      <c r="D510" s="44" t="s">
        <v>169</v>
      </c>
      <c r="E510" s="46">
        <v>92160</v>
      </c>
      <c r="F510" s="45"/>
      <c r="G510" s="45">
        <v>1000</v>
      </c>
      <c r="H510" s="116">
        <f t="shared" si="88"/>
        <v>91160</v>
      </c>
    </row>
    <row r="511" spans="1:8" s="18" customFormat="1" ht="12" customHeight="1" x14ac:dyDescent="0.2">
      <c r="A511" s="35"/>
      <c r="B511" s="34"/>
      <c r="C511" s="50">
        <v>4300</v>
      </c>
      <c r="D511" s="44" t="s">
        <v>70</v>
      </c>
      <c r="E511" s="116">
        <v>61193</v>
      </c>
      <c r="F511" s="47"/>
      <c r="G511" s="116">
        <v>25818</v>
      </c>
      <c r="H511" s="116">
        <f t="shared" si="88"/>
        <v>35375</v>
      </c>
    </row>
    <row r="512" spans="1:8" s="18" customFormat="1" ht="12" customHeight="1" x14ac:dyDescent="0.2">
      <c r="A512" s="35"/>
      <c r="B512" s="34"/>
      <c r="C512" s="56" t="s">
        <v>441</v>
      </c>
      <c r="D512" s="426" t="s">
        <v>442</v>
      </c>
      <c r="E512" s="116">
        <v>80000</v>
      </c>
      <c r="F512" s="47"/>
      <c r="G512" s="116">
        <v>20000</v>
      </c>
      <c r="H512" s="116">
        <f t="shared" si="88"/>
        <v>60000</v>
      </c>
    </row>
    <row r="513" spans="1:8" s="18" customFormat="1" ht="12" customHeight="1" x14ac:dyDescent="0.2">
      <c r="A513" s="35"/>
      <c r="B513" s="34"/>
      <c r="C513" s="130">
        <v>4360</v>
      </c>
      <c r="D513" s="403" t="s">
        <v>71</v>
      </c>
      <c r="E513" s="116">
        <v>650</v>
      </c>
      <c r="F513" s="47">
        <v>170</v>
      </c>
      <c r="G513" s="116"/>
      <c r="H513" s="116">
        <f t="shared" si="88"/>
        <v>820</v>
      </c>
    </row>
    <row r="514" spans="1:8" s="18" customFormat="1" ht="12" customHeight="1" x14ac:dyDescent="0.2">
      <c r="A514" s="35"/>
      <c r="B514" s="34"/>
      <c r="C514" s="130">
        <v>4410</v>
      </c>
      <c r="D514" s="402" t="s">
        <v>84</v>
      </c>
      <c r="E514" s="116">
        <v>1800</v>
      </c>
      <c r="F514" s="47"/>
      <c r="G514" s="116">
        <v>1000</v>
      </c>
      <c r="H514" s="116">
        <f t="shared" si="88"/>
        <v>800</v>
      </c>
    </row>
    <row r="515" spans="1:8" s="18" customFormat="1" ht="21.75" customHeight="1" x14ac:dyDescent="0.2">
      <c r="A515" s="35"/>
      <c r="B515" s="34"/>
      <c r="C515" s="130">
        <v>4700</v>
      </c>
      <c r="D515" s="186" t="s">
        <v>79</v>
      </c>
      <c r="E515" s="116">
        <v>3230</v>
      </c>
      <c r="F515" s="47"/>
      <c r="G515" s="116">
        <v>170</v>
      </c>
      <c r="H515" s="116">
        <f t="shared" si="88"/>
        <v>3060</v>
      </c>
    </row>
    <row r="516" spans="1:8" s="18" customFormat="1" ht="12" customHeight="1" thickBot="1" x14ac:dyDescent="0.25">
      <c r="A516" s="33">
        <v>853</v>
      </c>
      <c r="B516" s="34"/>
      <c r="C516" s="35"/>
      <c r="D516" s="36" t="s">
        <v>160</v>
      </c>
      <c r="E516" s="32">
        <v>10339561.9</v>
      </c>
      <c r="F516" s="37">
        <f>SUM(F517)</f>
        <v>15184.56</v>
      </c>
      <c r="G516" s="37">
        <f>SUM(G517)</f>
        <v>15184.56</v>
      </c>
      <c r="H516" s="32">
        <f t="shared" si="88"/>
        <v>10339561.9</v>
      </c>
    </row>
    <row r="517" spans="1:8" s="18" customFormat="1" ht="12" customHeight="1" thickTop="1" x14ac:dyDescent="0.2">
      <c r="A517" s="35"/>
      <c r="B517" s="38">
        <v>85395</v>
      </c>
      <c r="C517" s="28"/>
      <c r="D517" s="48" t="s">
        <v>12</v>
      </c>
      <c r="E517" s="51">
        <v>6379289.9000000004</v>
      </c>
      <c r="F517" s="39">
        <f>SUM(F518,F523,F526)</f>
        <v>15184.56</v>
      </c>
      <c r="G517" s="39">
        <f>SUM(G518,G523,G526)</f>
        <v>15184.56</v>
      </c>
      <c r="H517" s="39">
        <f t="shared" si="88"/>
        <v>6379289.9000000004</v>
      </c>
    </row>
    <row r="518" spans="1:8" s="18" customFormat="1" ht="22.5" customHeight="1" x14ac:dyDescent="0.2">
      <c r="A518" s="35"/>
      <c r="B518" s="38"/>
      <c r="C518" s="28"/>
      <c r="D518" s="172" t="s">
        <v>443</v>
      </c>
      <c r="E518" s="43">
        <v>434361</v>
      </c>
      <c r="F518" s="43">
        <f>SUM(F519:F522)</f>
        <v>4000</v>
      </c>
      <c r="G518" s="43">
        <f>SUM(G519:G522)</f>
        <v>4000</v>
      </c>
      <c r="H518" s="43">
        <f t="shared" si="88"/>
        <v>434361</v>
      </c>
    </row>
    <row r="519" spans="1:8" s="18" customFormat="1" ht="12" customHeight="1" x14ac:dyDescent="0.2">
      <c r="A519" s="35"/>
      <c r="B519" s="38"/>
      <c r="C519" s="50">
        <v>4040</v>
      </c>
      <c r="D519" s="44" t="s">
        <v>106</v>
      </c>
      <c r="E519" s="46">
        <v>17000</v>
      </c>
      <c r="F519" s="47"/>
      <c r="G519" s="47">
        <v>2000</v>
      </c>
      <c r="H519" s="116">
        <f t="shared" si="88"/>
        <v>15000</v>
      </c>
    </row>
    <row r="520" spans="1:8" s="18" customFormat="1" ht="12" customHeight="1" x14ac:dyDescent="0.2">
      <c r="A520" s="35"/>
      <c r="B520" s="38"/>
      <c r="C520" s="151" t="s">
        <v>22</v>
      </c>
      <c r="D520" s="402" t="s">
        <v>89</v>
      </c>
      <c r="E520" s="46">
        <v>12200</v>
      </c>
      <c r="F520" s="47"/>
      <c r="G520" s="47">
        <v>2000</v>
      </c>
      <c r="H520" s="116">
        <f t="shared" si="88"/>
        <v>10200</v>
      </c>
    </row>
    <row r="521" spans="1:8" s="18" customFormat="1" ht="12" customHeight="1" x14ac:dyDescent="0.2">
      <c r="A521" s="35"/>
      <c r="B521" s="38"/>
      <c r="C521" s="130">
        <v>4260</v>
      </c>
      <c r="D521" s="403" t="s">
        <v>68</v>
      </c>
      <c r="E521" s="46">
        <v>25000</v>
      </c>
      <c r="F521" s="47">
        <v>2000</v>
      </c>
      <c r="G521" s="47"/>
      <c r="H521" s="116">
        <f t="shared" si="88"/>
        <v>27000</v>
      </c>
    </row>
    <row r="522" spans="1:8" s="18" customFormat="1" ht="12" customHeight="1" x14ac:dyDescent="0.2">
      <c r="A522" s="171"/>
      <c r="B522" s="146"/>
      <c r="C522" s="147">
        <v>4300</v>
      </c>
      <c r="D522" s="48" t="s">
        <v>70</v>
      </c>
      <c r="E522" s="51">
        <v>70793</v>
      </c>
      <c r="F522" s="39">
        <v>2000</v>
      </c>
      <c r="G522" s="39"/>
      <c r="H522" s="40">
        <f t="shared" si="88"/>
        <v>72793</v>
      </c>
    </row>
    <row r="523" spans="1:8" s="18" customFormat="1" ht="12" customHeight="1" x14ac:dyDescent="0.2">
      <c r="A523" s="35"/>
      <c r="B523" s="38"/>
      <c r="C523" s="41"/>
      <c r="D523" s="10" t="s">
        <v>95</v>
      </c>
      <c r="E523" s="43">
        <v>4277280</v>
      </c>
      <c r="F523" s="108">
        <f>SUM(F524:F525)</f>
        <v>500</v>
      </c>
      <c r="G523" s="108">
        <f>SUM(G524:G525)</f>
        <v>500</v>
      </c>
      <c r="H523" s="43">
        <f t="shared" si="88"/>
        <v>4277280</v>
      </c>
    </row>
    <row r="524" spans="1:8" s="18" customFormat="1" ht="12" customHeight="1" x14ac:dyDescent="0.2">
      <c r="A524" s="35"/>
      <c r="B524" s="38"/>
      <c r="C524" s="50">
        <v>4220</v>
      </c>
      <c r="D524" s="44" t="s">
        <v>161</v>
      </c>
      <c r="E524" s="46">
        <v>1220600</v>
      </c>
      <c r="F524" s="45"/>
      <c r="G524" s="45">
        <v>500</v>
      </c>
      <c r="H524" s="116">
        <f t="shared" si="88"/>
        <v>1220100</v>
      </c>
    </row>
    <row r="525" spans="1:8" s="18" customFormat="1" ht="12" customHeight="1" x14ac:dyDescent="0.2">
      <c r="A525" s="35"/>
      <c r="B525" s="38"/>
      <c r="C525" s="130">
        <v>4610</v>
      </c>
      <c r="D525" s="425" t="s">
        <v>75</v>
      </c>
      <c r="E525" s="46">
        <v>200</v>
      </c>
      <c r="F525" s="45">
        <v>500</v>
      </c>
      <c r="G525" s="45"/>
      <c r="H525" s="116">
        <f t="shared" si="88"/>
        <v>700</v>
      </c>
    </row>
    <row r="526" spans="1:8" s="18" customFormat="1" ht="34.5" customHeight="1" x14ac:dyDescent="0.2">
      <c r="A526" s="35"/>
      <c r="B526" s="38"/>
      <c r="C526" s="50"/>
      <c r="D526" s="172" t="s">
        <v>444</v>
      </c>
      <c r="E526" s="43">
        <v>295961.84999999998</v>
      </c>
      <c r="F526" s="108">
        <f>SUM(F527:F534)</f>
        <v>10684.56</v>
      </c>
      <c r="G526" s="108">
        <f>SUM(G527:G534)</f>
        <v>10684.56</v>
      </c>
      <c r="H526" s="43">
        <f>SUM(E526+F526-G526)</f>
        <v>295961.84999999998</v>
      </c>
    </row>
    <row r="527" spans="1:8" s="18" customFormat="1" ht="12" customHeight="1" x14ac:dyDescent="0.2">
      <c r="A527" s="35"/>
      <c r="B527" s="38"/>
      <c r="C527" s="50">
        <v>4116</v>
      </c>
      <c r="D527" s="44" t="s">
        <v>91</v>
      </c>
      <c r="E527" s="46">
        <v>233.36</v>
      </c>
      <c r="F527" s="116"/>
      <c r="G527" s="116">
        <v>233.36</v>
      </c>
      <c r="H527" s="47">
        <f t="shared" ref="H527:H534" si="89">SUM(E527+F527-G527)</f>
        <v>0</v>
      </c>
    </row>
    <row r="528" spans="1:8" s="18" customFormat="1" ht="12" customHeight="1" x14ac:dyDescent="0.2">
      <c r="A528" s="35"/>
      <c r="B528" s="38"/>
      <c r="C528" s="50">
        <v>4117</v>
      </c>
      <c r="D528" s="44" t="s">
        <v>91</v>
      </c>
      <c r="E528" s="46">
        <v>1322.41</v>
      </c>
      <c r="F528" s="116"/>
      <c r="G528" s="116">
        <v>1322.41</v>
      </c>
      <c r="H528" s="47">
        <f t="shared" si="89"/>
        <v>0</v>
      </c>
    </row>
    <row r="529" spans="1:8" s="18" customFormat="1" ht="12" customHeight="1" x14ac:dyDescent="0.2">
      <c r="A529" s="35"/>
      <c r="B529" s="38"/>
      <c r="C529" s="50">
        <v>4126</v>
      </c>
      <c r="D529" s="44" t="s">
        <v>126</v>
      </c>
      <c r="E529" s="46">
        <v>32.75</v>
      </c>
      <c r="F529" s="116"/>
      <c r="G529" s="116">
        <v>32.75</v>
      </c>
      <c r="H529" s="47">
        <f t="shared" si="89"/>
        <v>0</v>
      </c>
    </row>
    <row r="530" spans="1:8" s="18" customFormat="1" ht="12" customHeight="1" x14ac:dyDescent="0.2">
      <c r="A530" s="35"/>
      <c r="B530" s="38"/>
      <c r="C530" s="50">
        <v>4127</v>
      </c>
      <c r="D530" s="44" t="s">
        <v>126</v>
      </c>
      <c r="E530" s="46">
        <v>185.56</v>
      </c>
      <c r="F530" s="116"/>
      <c r="G530" s="116">
        <v>185.56</v>
      </c>
      <c r="H530" s="47">
        <f t="shared" si="89"/>
        <v>0</v>
      </c>
    </row>
    <row r="531" spans="1:8" s="18" customFormat="1" ht="12" customHeight="1" x14ac:dyDescent="0.2">
      <c r="A531" s="35"/>
      <c r="B531" s="38"/>
      <c r="C531" s="130">
        <v>4176</v>
      </c>
      <c r="D531" s="403" t="s">
        <v>88</v>
      </c>
      <c r="E531" s="46">
        <v>1336.57</v>
      </c>
      <c r="F531" s="116"/>
      <c r="G531" s="116">
        <v>1336.57</v>
      </c>
      <c r="H531" s="47">
        <f t="shared" si="89"/>
        <v>0</v>
      </c>
    </row>
    <row r="532" spans="1:8" s="18" customFormat="1" ht="12" customHeight="1" x14ac:dyDescent="0.2">
      <c r="A532" s="35"/>
      <c r="B532" s="38"/>
      <c r="C532" s="130">
        <v>4177</v>
      </c>
      <c r="D532" s="403" t="s">
        <v>88</v>
      </c>
      <c r="E532" s="46">
        <v>7573.91</v>
      </c>
      <c r="F532" s="116"/>
      <c r="G532" s="116">
        <v>7573.91</v>
      </c>
      <c r="H532" s="47">
        <f t="shared" si="89"/>
        <v>0</v>
      </c>
    </row>
    <row r="533" spans="1:8" s="18" customFormat="1" ht="12" customHeight="1" x14ac:dyDescent="0.2">
      <c r="A533" s="35"/>
      <c r="B533" s="38"/>
      <c r="C533" s="151" t="s">
        <v>445</v>
      </c>
      <c r="D533" s="402" t="s">
        <v>89</v>
      </c>
      <c r="E533" s="46">
        <v>22437.54</v>
      </c>
      <c r="F533" s="116">
        <v>1602.68</v>
      </c>
      <c r="G533" s="116"/>
      <c r="H533" s="47">
        <f t="shared" si="89"/>
        <v>24040.22</v>
      </c>
    </row>
    <row r="534" spans="1:8" s="18" customFormat="1" ht="12" customHeight="1" x14ac:dyDescent="0.2">
      <c r="A534" s="35"/>
      <c r="B534" s="38"/>
      <c r="C534" s="151" t="s">
        <v>446</v>
      </c>
      <c r="D534" s="402" t="s">
        <v>89</v>
      </c>
      <c r="E534" s="46">
        <v>127146.03</v>
      </c>
      <c r="F534" s="116">
        <v>9081.8799999999992</v>
      </c>
      <c r="G534" s="116"/>
      <c r="H534" s="47">
        <f t="shared" si="89"/>
        <v>136227.91</v>
      </c>
    </row>
    <row r="535" spans="1:8" s="18" customFormat="1" ht="12" customHeight="1" thickBot="1" x14ac:dyDescent="0.25">
      <c r="A535" s="34">
        <v>854</v>
      </c>
      <c r="B535" s="34"/>
      <c r="C535" s="35"/>
      <c r="D535" s="36" t="s">
        <v>162</v>
      </c>
      <c r="E535" s="32">
        <v>16267831.77</v>
      </c>
      <c r="F535" s="37">
        <f>SUM(F537,F543,F551,F556)</f>
        <v>130902.67</v>
      </c>
      <c r="G535" s="37">
        <f>SUM(G537,G543,G551,G556)</f>
        <v>5680</v>
      </c>
      <c r="H535" s="32">
        <f t="shared" si="82"/>
        <v>16393054.439999999</v>
      </c>
    </row>
    <row r="536" spans="1:8" s="18" customFormat="1" ht="12" customHeight="1" thickTop="1" x14ac:dyDescent="0.2">
      <c r="A536" s="34"/>
      <c r="B536" s="50">
        <v>85406</v>
      </c>
      <c r="C536" s="50"/>
      <c r="D536" s="44" t="s">
        <v>163</v>
      </c>
      <c r="E536" s="111"/>
      <c r="F536" s="122"/>
      <c r="G536" s="122"/>
      <c r="H536" s="111"/>
    </row>
    <row r="537" spans="1:8" s="18" customFormat="1" ht="12" customHeight="1" x14ac:dyDescent="0.2">
      <c r="A537" s="34"/>
      <c r="B537" s="50"/>
      <c r="C537" s="28"/>
      <c r="D537" s="125" t="s">
        <v>164</v>
      </c>
      <c r="E537" s="39">
        <v>4099292.94</v>
      </c>
      <c r="F537" s="40">
        <f>SUM(F538)</f>
        <v>3680</v>
      </c>
      <c r="G537" s="40">
        <f>SUM(G538)</f>
        <v>2480</v>
      </c>
      <c r="H537" s="39">
        <f t="shared" ref="H537" si="90">SUM(E537+F537-G537)</f>
        <v>4100492.94</v>
      </c>
    </row>
    <row r="538" spans="1:8" s="18" customFormat="1" ht="12" customHeight="1" x14ac:dyDescent="0.2">
      <c r="A538" s="34"/>
      <c r="B538" s="34"/>
      <c r="C538" s="28"/>
      <c r="D538" s="107" t="s">
        <v>105</v>
      </c>
      <c r="E538" s="42">
        <v>4041556.08</v>
      </c>
      <c r="F538" s="42">
        <f>SUM(F539:F542)</f>
        <v>3680</v>
      </c>
      <c r="G538" s="42">
        <f>SUM(G539:G542)</f>
        <v>2480</v>
      </c>
      <c r="H538" s="43">
        <f>SUM(E538+F538-G538)</f>
        <v>4042756.08</v>
      </c>
    </row>
    <row r="539" spans="1:8" s="18" customFormat="1" ht="22.5" customHeight="1" x14ac:dyDescent="0.2">
      <c r="A539" s="34"/>
      <c r="B539" s="34"/>
      <c r="C539" s="162">
        <v>4140</v>
      </c>
      <c r="D539" s="186" t="s">
        <v>107</v>
      </c>
      <c r="E539" s="46">
        <v>23880</v>
      </c>
      <c r="F539" s="45"/>
      <c r="G539" s="45">
        <v>1880</v>
      </c>
      <c r="H539" s="47">
        <f t="shared" ref="H539:H542" si="91">SUM(E539+F539-G539)</f>
        <v>22000</v>
      </c>
    </row>
    <row r="540" spans="1:8" s="18" customFormat="1" ht="12" customHeight="1" x14ac:dyDescent="0.2">
      <c r="A540" s="34"/>
      <c r="B540" s="34"/>
      <c r="C540" s="152" t="s">
        <v>22</v>
      </c>
      <c r="D540" s="148" t="s">
        <v>89</v>
      </c>
      <c r="E540" s="46">
        <v>23909</v>
      </c>
      <c r="F540" s="45">
        <v>1880</v>
      </c>
      <c r="G540" s="45"/>
      <c r="H540" s="47">
        <f t="shared" si="91"/>
        <v>25789</v>
      </c>
    </row>
    <row r="541" spans="1:8" s="18" customFormat="1" ht="22.5" customHeight="1" x14ac:dyDescent="0.2">
      <c r="A541" s="34"/>
      <c r="B541" s="34"/>
      <c r="C541" s="130">
        <v>4700</v>
      </c>
      <c r="D541" s="186" t="s">
        <v>79</v>
      </c>
      <c r="E541" s="46">
        <v>1500</v>
      </c>
      <c r="F541" s="45">
        <v>1800</v>
      </c>
      <c r="G541" s="45"/>
      <c r="H541" s="47">
        <f t="shared" si="91"/>
        <v>3300</v>
      </c>
    </row>
    <row r="542" spans="1:8" s="18" customFormat="1" ht="12" customHeight="1" x14ac:dyDescent="0.2">
      <c r="A542" s="34"/>
      <c r="B542" s="34"/>
      <c r="C542" s="50">
        <v>4710</v>
      </c>
      <c r="D542" s="148" t="s">
        <v>80</v>
      </c>
      <c r="E542" s="46">
        <v>1671</v>
      </c>
      <c r="F542" s="45"/>
      <c r="G542" s="45">
        <v>600</v>
      </c>
      <c r="H542" s="47">
        <f t="shared" si="91"/>
        <v>1071</v>
      </c>
    </row>
    <row r="543" spans="1:8" s="18" customFormat="1" ht="12.6" customHeight="1" x14ac:dyDescent="0.2">
      <c r="A543" s="34"/>
      <c r="B543" s="49">
        <v>85410</v>
      </c>
      <c r="C543" s="134"/>
      <c r="D543" s="136" t="s">
        <v>165</v>
      </c>
      <c r="E543" s="40">
        <v>3735011.9699999997</v>
      </c>
      <c r="F543" s="40">
        <f>SUM(F544,F546,F549)</f>
        <v>103147.67</v>
      </c>
      <c r="G543" s="40">
        <f>SUM(G544,G546)</f>
        <v>2000</v>
      </c>
      <c r="H543" s="39">
        <f>SUM(E543+F543-G543)</f>
        <v>3836159.6399999997</v>
      </c>
    </row>
    <row r="544" spans="1:8" s="18" customFormat="1" ht="12.6" customHeight="1" x14ac:dyDescent="0.2">
      <c r="A544" s="34"/>
      <c r="B544" s="49"/>
      <c r="C544" s="28"/>
      <c r="D544" s="10" t="s">
        <v>102</v>
      </c>
      <c r="E544" s="42">
        <v>882007</v>
      </c>
      <c r="F544" s="42">
        <f>SUM(F545:F545)</f>
        <v>100000</v>
      </c>
      <c r="G544" s="42">
        <f>SUM(G545:G545)</f>
        <v>0</v>
      </c>
      <c r="H544" s="42">
        <f t="shared" ref="H544:H548" si="92">SUM(E544+F544-G544)</f>
        <v>982007</v>
      </c>
    </row>
    <row r="545" spans="1:8" s="18" customFormat="1" ht="39" customHeight="1" x14ac:dyDescent="0.2">
      <c r="A545" s="34"/>
      <c r="B545" s="49"/>
      <c r="C545" s="130">
        <v>2590</v>
      </c>
      <c r="D545" s="161" t="s">
        <v>104</v>
      </c>
      <c r="E545" s="116">
        <v>882007</v>
      </c>
      <c r="F545" s="116">
        <v>100000</v>
      </c>
      <c r="G545" s="116"/>
      <c r="H545" s="116">
        <f t="shared" si="92"/>
        <v>982007</v>
      </c>
    </row>
    <row r="546" spans="1:8" s="18" customFormat="1" ht="12" customHeight="1" x14ac:dyDescent="0.2">
      <c r="A546" s="34"/>
      <c r="B546" s="50"/>
      <c r="C546" s="28"/>
      <c r="D546" s="107" t="s">
        <v>105</v>
      </c>
      <c r="E546" s="43">
        <v>2653004.9699999997</v>
      </c>
      <c r="F546" s="167">
        <f>SUM(F547:F548)</f>
        <v>2000</v>
      </c>
      <c r="G546" s="167">
        <f>SUM(G547:G548)</f>
        <v>2000</v>
      </c>
      <c r="H546" s="42">
        <f t="shared" si="92"/>
        <v>2653004.9699999997</v>
      </c>
    </row>
    <row r="547" spans="1:8" s="18" customFormat="1" ht="12" customHeight="1" x14ac:dyDescent="0.2">
      <c r="A547" s="34"/>
      <c r="B547" s="50"/>
      <c r="C547" s="130">
        <v>3020</v>
      </c>
      <c r="D547" s="403" t="s">
        <v>76</v>
      </c>
      <c r="E547" s="46">
        <v>49215</v>
      </c>
      <c r="F547" s="46">
        <v>2000</v>
      </c>
      <c r="G547" s="46"/>
      <c r="H547" s="47">
        <f t="shared" si="92"/>
        <v>51215</v>
      </c>
    </row>
    <row r="548" spans="1:8" s="18" customFormat="1" ht="22.15" customHeight="1" x14ac:dyDescent="0.2">
      <c r="A548" s="34"/>
      <c r="B548" s="50"/>
      <c r="C548" s="162">
        <v>4140</v>
      </c>
      <c r="D548" s="186" t="s">
        <v>107</v>
      </c>
      <c r="E548" s="46">
        <v>8532</v>
      </c>
      <c r="F548" s="46"/>
      <c r="G548" s="46">
        <v>2000</v>
      </c>
      <c r="H548" s="47">
        <f t="shared" si="92"/>
        <v>6532</v>
      </c>
    </row>
    <row r="549" spans="1:8" s="18" customFormat="1" ht="22.15" customHeight="1" x14ac:dyDescent="0.2">
      <c r="A549" s="34"/>
      <c r="B549" s="50"/>
      <c r="C549" s="28"/>
      <c r="D549" s="120" t="s">
        <v>110</v>
      </c>
      <c r="E549" s="42">
        <v>0</v>
      </c>
      <c r="F549" s="42">
        <f>SUM(F550)</f>
        <v>1147.67</v>
      </c>
      <c r="G549" s="42">
        <f>SUM(G550)</f>
        <v>0</v>
      </c>
      <c r="H549" s="43">
        <f>SUM(E549+F549-G549)</f>
        <v>1147.67</v>
      </c>
    </row>
    <row r="550" spans="1:8" s="18" customFormat="1" ht="22.15" customHeight="1" x14ac:dyDescent="0.2">
      <c r="A550" s="34"/>
      <c r="B550" s="50"/>
      <c r="C550" s="151" t="s">
        <v>86</v>
      </c>
      <c r="D550" s="145" t="s">
        <v>87</v>
      </c>
      <c r="E550" s="45">
        <v>0</v>
      </c>
      <c r="F550" s="46">
        <v>1147.67</v>
      </c>
      <c r="G550" s="46"/>
      <c r="H550" s="47">
        <f t="shared" ref="H550" si="93">SUM(E550+F550-G550)</f>
        <v>1147.67</v>
      </c>
    </row>
    <row r="551" spans="1:8" s="18" customFormat="1" ht="12" customHeight="1" x14ac:dyDescent="0.2">
      <c r="A551" s="34"/>
      <c r="B551" s="50">
        <v>85415</v>
      </c>
      <c r="C551" s="38"/>
      <c r="D551" s="48" t="s">
        <v>386</v>
      </c>
      <c r="E551" s="51">
        <v>951800</v>
      </c>
      <c r="F551" s="39">
        <f>SUM(F552,F554)</f>
        <v>24075</v>
      </c>
      <c r="G551" s="39">
        <f>SUM(G552,G554)</f>
        <v>0</v>
      </c>
      <c r="H551" s="51">
        <f>SUM(E551+F551-G551)</f>
        <v>975875</v>
      </c>
    </row>
    <row r="552" spans="1:8" s="18" customFormat="1" ht="12" customHeight="1" x14ac:dyDescent="0.2">
      <c r="A552" s="34"/>
      <c r="B552" s="142"/>
      <c r="C552" s="178"/>
      <c r="D552" s="107" t="s">
        <v>105</v>
      </c>
      <c r="E552" s="42">
        <v>76565</v>
      </c>
      <c r="F552" s="42">
        <f>SUM(F553)</f>
        <v>22530</v>
      </c>
      <c r="G552" s="42">
        <f>SUM(G553)</f>
        <v>0</v>
      </c>
      <c r="H552" s="43">
        <f>SUM(E552+F552-G552)</f>
        <v>99095</v>
      </c>
    </row>
    <row r="553" spans="1:8" s="18" customFormat="1" ht="12" customHeight="1" x14ac:dyDescent="0.2">
      <c r="A553" s="34"/>
      <c r="B553" s="135"/>
      <c r="C553" s="49">
        <v>3260</v>
      </c>
      <c r="D553" s="148" t="s">
        <v>447</v>
      </c>
      <c r="E553" s="46">
        <v>71165</v>
      </c>
      <c r="F553" s="46">
        <v>22530</v>
      </c>
      <c r="G553" s="46"/>
      <c r="H553" s="116">
        <f>SUM(E553+F553-G553)</f>
        <v>93695</v>
      </c>
    </row>
    <row r="554" spans="1:8" s="18" customFormat="1" ht="12" customHeight="1" x14ac:dyDescent="0.2">
      <c r="A554" s="34"/>
      <c r="B554" s="150"/>
      <c r="C554" s="41"/>
      <c r="D554" s="10" t="s">
        <v>102</v>
      </c>
      <c r="E554" s="43">
        <v>875235</v>
      </c>
      <c r="F554" s="43">
        <f>SUM(F555)</f>
        <v>1545</v>
      </c>
      <c r="G554" s="43">
        <f>SUM(G555)</f>
        <v>0</v>
      </c>
      <c r="H554" s="167">
        <f t="shared" ref="H554:H555" si="94">SUM(E554+F554-G554)</f>
        <v>876780</v>
      </c>
    </row>
    <row r="555" spans="1:8" s="18" customFormat="1" ht="12" customHeight="1" x14ac:dyDescent="0.2">
      <c r="A555" s="34"/>
      <c r="B555" s="135"/>
      <c r="C555" s="49">
        <v>3260</v>
      </c>
      <c r="D555" s="148" t="s">
        <v>447</v>
      </c>
      <c r="E555" s="46">
        <v>50235</v>
      </c>
      <c r="F555" s="46">
        <v>1545</v>
      </c>
      <c r="G555" s="46"/>
      <c r="H555" s="116">
        <f t="shared" si="94"/>
        <v>51780</v>
      </c>
    </row>
    <row r="556" spans="1:8" s="18" customFormat="1" ht="12" customHeight="1" x14ac:dyDescent="0.2">
      <c r="A556" s="34"/>
      <c r="B556" s="49">
        <v>85417</v>
      </c>
      <c r="C556" s="133"/>
      <c r="D556" s="136" t="s">
        <v>331</v>
      </c>
      <c r="E556" s="39">
        <v>177285.09</v>
      </c>
      <c r="F556" s="40">
        <f>SUM(F557)</f>
        <v>0</v>
      </c>
      <c r="G556" s="40">
        <f>SUM(G557)</f>
        <v>1200</v>
      </c>
      <c r="H556" s="39">
        <f>SUM(E556+F556-G556)</f>
        <v>176085.09</v>
      </c>
    </row>
    <row r="557" spans="1:8" s="18" customFormat="1" ht="12" customHeight="1" x14ac:dyDescent="0.2">
      <c r="A557" s="34"/>
      <c r="B557" s="38"/>
      <c r="C557" s="28"/>
      <c r="D557" s="107" t="s">
        <v>105</v>
      </c>
      <c r="E557" s="43">
        <v>177285.09</v>
      </c>
      <c r="F557" s="167">
        <f>SUM(F558:F558)</f>
        <v>0</v>
      </c>
      <c r="G557" s="167">
        <f>SUM(G558:G558)</f>
        <v>1200</v>
      </c>
      <c r="H557" s="43">
        <f>SUM(E557+F557-G557)</f>
        <v>176085.09</v>
      </c>
    </row>
    <row r="558" spans="1:8" s="18" customFormat="1" ht="12" customHeight="1" x14ac:dyDescent="0.2">
      <c r="A558" s="34"/>
      <c r="B558" s="38"/>
      <c r="C558" s="50">
        <v>4010</v>
      </c>
      <c r="D558" s="44" t="s">
        <v>90</v>
      </c>
      <c r="E558" s="47">
        <v>5352</v>
      </c>
      <c r="F558" s="45"/>
      <c r="G558" s="45">
        <v>1200</v>
      </c>
      <c r="H558" s="116">
        <f t="shared" ref="H558" si="95">SUM(E558+F558-G558)</f>
        <v>4152</v>
      </c>
    </row>
    <row r="559" spans="1:8" s="18" customFormat="1" ht="12" customHeight="1" thickBot="1" x14ac:dyDescent="0.25">
      <c r="A559" s="34">
        <v>855</v>
      </c>
      <c r="B559" s="34"/>
      <c r="C559" s="35"/>
      <c r="D559" s="36" t="s">
        <v>61</v>
      </c>
      <c r="E559" s="37">
        <v>22679695.129999999</v>
      </c>
      <c r="F559" s="37">
        <f>SUM(F560,F564,F571)</f>
        <v>4353.7299999999996</v>
      </c>
      <c r="G559" s="37">
        <f>SUM(G560,G564,G571)</f>
        <v>4353.7299999999996</v>
      </c>
      <c r="H559" s="37">
        <f>SUM(E559+F559-G559)</f>
        <v>22679695.129999999</v>
      </c>
    </row>
    <row r="560" spans="1:8" s="18" customFormat="1" ht="34.5" customHeight="1" thickTop="1" x14ac:dyDescent="0.2">
      <c r="A560" s="34"/>
      <c r="B560" s="130">
        <v>85502</v>
      </c>
      <c r="C560" s="28"/>
      <c r="D560" s="164" t="s">
        <v>168</v>
      </c>
      <c r="E560" s="39">
        <v>1140889</v>
      </c>
      <c r="F560" s="40">
        <f>SUM(F561)</f>
        <v>2300</v>
      </c>
      <c r="G560" s="40">
        <f>SUM(G561)</f>
        <v>2300</v>
      </c>
      <c r="H560" s="39">
        <f>SUM(E560+F560-G560)</f>
        <v>1140889</v>
      </c>
    </row>
    <row r="561" spans="1:8" s="18" customFormat="1" ht="12.75" customHeight="1" x14ac:dyDescent="0.2">
      <c r="A561" s="34"/>
      <c r="B561" s="34"/>
      <c r="C561" s="41"/>
      <c r="D561" s="114" t="s">
        <v>39</v>
      </c>
      <c r="E561" s="43">
        <v>772102</v>
      </c>
      <c r="F561" s="108">
        <f>SUM(F562:F563)</f>
        <v>2300</v>
      </c>
      <c r="G561" s="108">
        <f>SUM(G562:G563)</f>
        <v>2300</v>
      </c>
      <c r="H561" s="43">
        <f t="shared" ref="H561:H608" si="96">SUM(E561+F561-G561)</f>
        <v>772102</v>
      </c>
    </row>
    <row r="562" spans="1:8" s="18" customFormat="1" ht="12" customHeight="1" x14ac:dyDescent="0.2">
      <c r="A562" s="34"/>
      <c r="B562" s="38"/>
      <c r="C562" s="151" t="s">
        <v>22</v>
      </c>
      <c r="D562" s="402" t="s">
        <v>89</v>
      </c>
      <c r="E562" s="45">
        <v>76400</v>
      </c>
      <c r="F562" s="46">
        <v>2300</v>
      </c>
      <c r="G562" s="45"/>
      <c r="H562" s="47">
        <f t="shared" si="96"/>
        <v>78700</v>
      </c>
    </row>
    <row r="563" spans="1:8" s="18" customFormat="1" ht="12" customHeight="1" x14ac:dyDescent="0.2">
      <c r="A563" s="34"/>
      <c r="B563" s="38"/>
      <c r="C563" s="50">
        <v>4270</v>
      </c>
      <c r="D563" s="44" t="s">
        <v>69</v>
      </c>
      <c r="E563" s="45">
        <v>5220</v>
      </c>
      <c r="F563" s="46"/>
      <c r="G563" s="45">
        <v>2300</v>
      </c>
      <c r="H563" s="47">
        <f t="shared" si="96"/>
        <v>2920</v>
      </c>
    </row>
    <row r="564" spans="1:8" s="18" customFormat="1" ht="12" customHeight="1" x14ac:dyDescent="0.2">
      <c r="A564" s="35"/>
      <c r="B564" s="38">
        <v>85510</v>
      </c>
      <c r="C564" s="50"/>
      <c r="D564" s="48" t="s">
        <v>170</v>
      </c>
      <c r="E564" s="51">
        <v>10401138</v>
      </c>
      <c r="F564" s="39">
        <f>SUM(F565,F568)</f>
        <v>1941</v>
      </c>
      <c r="G564" s="39">
        <f>SUM(G565,G568)</f>
        <v>1941</v>
      </c>
      <c r="H564" s="39">
        <f t="shared" si="96"/>
        <v>10401138</v>
      </c>
    </row>
    <row r="565" spans="1:8" s="18" customFormat="1" ht="12" customHeight="1" x14ac:dyDescent="0.2">
      <c r="A565" s="35"/>
      <c r="B565" s="34"/>
      <c r="C565" s="28"/>
      <c r="D565" s="176" t="s">
        <v>171</v>
      </c>
      <c r="E565" s="43">
        <v>2190583</v>
      </c>
      <c r="F565" s="167">
        <f>SUM(F566:F567)</f>
        <v>1676</v>
      </c>
      <c r="G565" s="167">
        <f>SUM(G566:G567)</f>
        <v>1676</v>
      </c>
      <c r="H565" s="43">
        <f t="shared" si="96"/>
        <v>2190583</v>
      </c>
    </row>
    <row r="566" spans="1:8" s="18" customFormat="1" ht="24" customHeight="1" x14ac:dyDescent="0.2">
      <c r="A566" s="35"/>
      <c r="B566" s="34"/>
      <c r="C566" s="130">
        <v>4700</v>
      </c>
      <c r="D566" s="186" t="s">
        <v>79</v>
      </c>
      <c r="E566" s="46">
        <v>2786</v>
      </c>
      <c r="F566" s="45">
        <v>1676</v>
      </c>
      <c r="G566" s="45"/>
      <c r="H566" s="45">
        <f t="shared" si="96"/>
        <v>4462</v>
      </c>
    </row>
    <row r="567" spans="1:8" s="18" customFormat="1" ht="12" customHeight="1" x14ac:dyDescent="0.2">
      <c r="A567" s="35"/>
      <c r="B567" s="34"/>
      <c r="C567" s="50">
        <v>4710</v>
      </c>
      <c r="D567" s="135" t="s">
        <v>80</v>
      </c>
      <c r="E567" s="46">
        <v>20327</v>
      </c>
      <c r="F567" s="45"/>
      <c r="G567" s="45">
        <v>1676</v>
      </c>
      <c r="H567" s="45">
        <f t="shared" si="96"/>
        <v>18651</v>
      </c>
    </row>
    <row r="568" spans="1:8" s="18" customFormat="1" ht="12" customHeight="1" x14ac:dyDescent="0.2">
      <c r="A568" s="35"/>
      <c r="B568" s="34"/>
      <c r="C568" s="28"/>
      <c r="D568" s="176" t="s">
        <v>172</v>
      </c>
      <c r="E568" s="43">
        <v>1608420</v>
      </c>
      <c r="F568" s="167">
        <f>SUM(F569:F570)</f>
        <v>265</v>
      </c>
      <c r="G568" s="167">
        <f>SUM(G569:G570)</f>
        <v>265</v>
      </c>
      <c r="H568" s="43">
        <f t="shared" si="96"/>
        <v>1608420</v>
      </c>
    </row>
    <row r="569" spans="1:8" s="18" customFormat="1" ht="12" customHeight="1" x14ac:dyDescent="0.2">
      <c r="A569" s="35"/>
      <c r="B569" s="34"/>
      <c r="C569" s="130">
        <v>4700</v>
      </c>
      <c r="D569" s="186" t="s">
        <v>79</v>
      </c>
      <c r="E569" s="46">
        <v>1215</v>
      </c>
      <c r="F569" s="45">
        <v>265</v>
      </c>
      <c r="G569" s="45"/>
      <c r="H569" s="45">
        <f t="shared" si="96"/>
        <v>1480</v>
      </c>
    </row>
    <row r="570" spans="1:8" s="18" customFormat="1" ht="12" customHeight="1" x14ac:dyDescent="0.2">
      <c r="A570" s="171"/>
      <c r="B570" s="126"/>
      <c r="C570" s="147">
        <v>4710</v>
      </c>
      <c r="D570" s="136" t="s">
        <v>80</v>
      </c>
      <c r="E570" s="51">
        <v>13725</v>
      </c>
      <c r="F570" s="128"/>
      <c r="G570" s="128">
        <v>265</v>
      </c>
      <c r="H570" s="128">
        <f t="shared" si="96"/>
        <v>13460</v>
      </c>
    </row>
    <row r="571" spans="1:8" s="18" customFormat="1" ht="12" customHeight="1" x14ac:dyDescent="0.2">
      <c r="A571" s="35"/>
      <c r="B571" s="50">
        <v>85595</v>
      </c>
      <c r="C571" s="50"/>
      <c r="D571" s="48" t="s">
        <v>12</v>
      </c>
      <c r="E571" s="51">
        <v>553021</v>
      </c>
      <c r="F571" s="128">
        <f>SUM(F572,F577)</f>
        <v>112.73</v>
      </c>
      <c r="G571" s="128">
        <f>SUM(G572,G577)</f>
        <v>112.73</v>
      </c>
      <c r="H571" s="39">
        <f t="shared" si="96"/>
        <v>553021</v>
      </c>
    </row>
    <row r="572" spans="1:8" s="18" customFormat="1" ht="24" customHeight="1" x14ac:dyDescent="0.2">
      <c r="A572" s="35"/>
      <c r="B572" s="34"/>
      <c r="C572" s="50"/>
      <c r="D572" s="427" t="s">
        <v>448</v>
      </c>
      <c r="E572" s="179">
        <v>352314</v>
      </c>
      <c r="F572" s="424">
        <f>SUM(F573:F576)</f>
        <v>112.71000000000001</v>
      </c>
      <c r="G572" s="424">
        <f>SUM(G573:G576)</f>
        <v>112.71000000000001</v>
      </c>
      <c r="H572" s="43">
        <f>SUM(E572+F572-G572)</f>
        <v>352314</v>
      </c>
    </row>
    <row r="573" spans="1:8" s="18" customFormat="1" ht="12" customHeight="1" x14ac:dyDescent="0.2">
      <c r="A573" s="35"/>
      <c r="B573" s="34"/>
      <c r="C573" s="130">
        <v>4417</v>
      </c>
      <c r="D573" s="402" t="s">
        <v>84</v>
      </c>
      <c r="E573" s="46">
        <v>944.44</v>
      </c>
      <c r="F573" s="45"/>
      <c r="G573" s="45">
        <v>106.45</v>
      </c>
      <c r="H573" s="46">
        <f t="shared" ref="H573:H578" si="97">SUM(E573+F573-G573)</f>
        <v>837.99</v>
      </c>
    </row>
    <row r="574" spans="1:8" s="18" customFormat="1" ht="12" customHeight="1" x14ac:dyDescent="0.2">
      <c r="A574" s="35"/>
      <c r="B574" s="34"/>
      <c r="C574" s="130">
        <v>4419</v>
      </c>
      <c r="D574" s="402" t="s">
        <v>84</v>
      </c>
      <c r="E574" s="46">
        <v>55.56</v>
      </c>
      <c r="F574" s="45"/>
      <c r="G574" s="45">
        <v>6.26</v>
      </c>
      <c r="H574" s="46">
        <f t="shared" si="97"/>
        <v>49.300000000000004</v>
      </c>
    </row>
    <row r="575" spans="1:8" s="18" customFormat="1" ht="12" customHeight="1" x14ac:dyDescent="0.2">
      <c r="A575" s="35"/>
      <c r="B575" s="34"/>
      <c r="C575" s="130">
        <v>4447</v>
      </c>
      <c r="D575" s="403" t="s">
        <v>144</v>
      </c>
      <c r="E575" s="46">
        <v>1464.13</v>
      </c>
      <c r="F575" s="45">
        <v>106.45</v>
      </c>
      <c r="G575" s="45"/>
      <c r="H575" s="46">
        <f t="shared" si="97"/>
        <v>1570.5800000000002</v>
      </c>
    </row>
    <row r="576" spans="1:8" s="18" customFormat="1" ht="12" customHeight="1" x14ac:dyDescent="0.2">
      <c r="A576" s="35"/>
      <c r="B576" s="34"/>
      <c r="C576" s="130">
        <v>4449</v>
      </c>
      <c r="D576" s="403" t="s">
        <v>144</v>
      </c>
      <c r="E576" s="46">
        <v>86.13</v>
      </c>
      <c r="F576" s="45">
        <v>6.26</v>
      </c>
      <c r="G576" s="45"/>
      <c r="H576" s="46">
        <f t="shared" si="97"/>
        <v>92.39</v>
      </c>
    </row>
    <row r="577" spans="1:8" s="18" customFormat="1" ht="21.75" customHeight="1" x14ac:dyDescent="0.2">
      <c r="A577" s="35"/>
      <c r="B577" s="34"/>
      <c r="C577" s="130"/>
      <c r="D577" s="427" t="s">
        <v>449</v>
      </c>
      <c r="E577" s="43">
        <v>52400</v>
      </c>
      <c r="F577" s="108">
        <f>SUM(F578:F579)</f>
        <v>0.02</v>
      </c>
      <c r="G577" s="108">
        <f>SUM(G578:G579)</f>
        <v>0.02</v>
      </c>
      <c r="H577" s="42">
        <f t="shared" si="97"/>
        <v>52400</v>
      </c>
    </row>
    <row r="578" spans="1:8" s="18" customFormat="1" ht="12" customHeight="1" x14ac:dyDescent="0.2">
      <c r="A578" s="35"/>
      <c r="B578" s="34"/>
      <c r="C578" s="50">
        <v>4127</v>
      </c>
      <c r="D578" s="44" t="s">
        <v>126</v>
      </c>
      <c r="E578" s="46">
        <v>373.62</v>
      </c>
      <c r="F578" s="45"/>
      <c r="G578" s="45">
        <v>0.02</v>
      </c>
      <c r="H578" s="116">
        <f t="shared" si="97"/>
        <v>373.6</v>
      </c>
    </row>
    <row r="579" spans="1:8" s="18" customFormat="1" ht="12" customHeight="1" x14ac:dyDescent="0.2">
      <c r="A579" s="35"/>
      <c r="B579" s="34"/>
      <c r="C579" s="130">
        <v>4717</v>
      </c>
      <c r="D579" s="402" t="s">
        <v>80</v>
      </c>
      <c r="E579" s="46">
        <v>35.58</v>
      </c>
      <c r="F579" s="45">
        <v>0.02</v>
      </c>
      <c r="G579" s="45"/>
      <c r="H579" s="47">
        <f t="shared" si="96"/>
        <v>35.6</v>
      </c>
    </row>
    <row r="580" spans="1:8" s="18" customFormat="1" ht="12" customHeight="1" thickBot="1" x14ac:dyDescent="0.25">
      <c r="A580" s="34">
        <v>900</v>
      </c>
      <c r="B580" s="34"/>
      <c r="C580" s="35"/>
      <c r="D580" s="36" t="s">
        <v>173</v>
      </c>
      <c r="E580" s="32">
        <v>75364999.75</v>
      </c>
      <c r="F580" s="37">
        <f>SUM(F581,F587,F594)</f>
        <v>104950</v>
      </c>
      <c r="G580" s="37">
        <f>SUM(G581,G587,G594)</f>
        <v>104950</v>
      </c>
      <c r="H580" s="32">
        <f t="shared" si="96"/>
        <v>75364999.75</v>
      </c>
    </row>
    <row r="581" spans="1:8" s="18" customFormat="1" ht="12" customHeight="1" thickTop="1" x14ac:dyDescent="0.2">
      <c r="A581" s="34"/>
      <c r="B581" s="49">
        <v>90003</v>
      </c>
      <c r="C581" s="133"/>
      <c r="D581" s="136" t="s">
        <v>174</v>
      </c>
      <c r="E581" s="39">
        <v>671712</v>
      </c>
      <c r="F581" s="39">
        <f>SUM(F582)</f>
        <v>0</v>
      </c>
      <c r="G581" s="39">
        <f>SUM(G582)</f>
        <v>33550</v>
      </c>
      <c r="H581" s="39">
        <f t="shared" si="96"/>
        <v>638162</v>
      </c>
    </row>
    <row r="582" spans="1:8" s="18" customFormat="1" ht="12" customHeight="1" x14ac:dyDescent="0.2">
      <c r="A582" s="34"/>
      <c r="B582" s="38"/>
      <c r="C582" s="174"/>
      <c r="D582" s="114" t="s">
        <v>175</v>
      </c>
      <c r="E582" s="42">
        <v>656712</v>
      </c>
      <c r="F582" s="42">
        <f>SUM(F583:F586)</f>
        <v>0</v>
      </c>
      <c r="G582" s="42">
        <f>SUM(G583:G586)</f>
        <v>33550</v>
      </c>
      <c r="H582" s="42">
        <f t="shared" si="96"/>
        <v>623162</v>
      </c>
    </row>
    <row r="583" spans="1:8" s="18" customFormat="1" ht="12" customHeight="1" x14ac:dyDescent="0.2">
      <c r="A583" s="34"/>
      <c r="B583" s="38"/>
      <c r="C583" s="151" t="s">
        <v>22</v>
      </c>
      <c r="D583" s="402" t="s">
        <v>89</v>
      </c>
      <c r="E583" s="46">
        <v>272512</v>
      </c>
      <c r="F583" s="46"/>
      <c r="G583" s="46">
        <v>10000</v>
      </c>
      <c r="H583" s="45">
        <f t="shared" si="96"/>
        <v>262512</v>
      </c>
    </row>
    <row r="584" spans="1:8" s="18" customFormat="1" ht="12" customHeight="1" x14ac:dyDescent="0.2">
      <c r="A584" s="34"/>
      <c r="B584" s="38"/>
      <c r="C584" s="50">
        <v>4300</v>
      </c>
      <c r="D584" s="44" t="s">
        <v>70</v>
      </c>
      <c r="E584" s="46">
        <v>350000</v>
      </c>
      <c r="F584" s="46"/>
      <c r="G584" s="46">
        <v>20000</v>
      </c>
      <c r="H584" s="45">
        <f t="shared" si="96"/>
        <v>330000</v>
      </c>
    </row>
    <row r="585" spans="1:8" s="18" customFormat="1" ht="22.5" customHeight="1" x14ac:dyDescent="0.2">
      <c r="A585" s="34"/>
      <c r="B585" s="38"/>
      <c r="C585" s="130">
        <v>4390</v>
      </c>
      <c r="D585" s="131" t="s">
        <v>167</v>
      </c>
      <c r="E585" s="46">
        <v>1200</v>
      </c>
      <c r="F585" s="46"/>
      <c r="G585" s="46">
        <v>250</v>
      </c>
      <c r="H585" s="116">
        <f t="shared" si="96"/>
        <v>950</v>
      </c>
    </row>
    <row r="586" spans="1:8" s="18" customFormat="1" ht="12" customHeight="1" x14ac:dyDescent="0.2">
      <c r="A586" s="34"/>
      <c r="B586" s="38"/>
      <c r="C586" s="50">
        <v>4430</v>
      </c>
      <c r="D586" s="44" t="s">
        <v>73</v>
      </c>
      <c r="E586" s="116">
        <v>12000</v>
      </c>
      <c r="F586" s="116"/>
      <c r="G586" s="116">
        <v>3300</v>
      </c>
      <c r="H586" s="116">
        <f t="shared" si="96"/>
        <v>8700</v>
      </c>
    </row>
    <row r="587" spans="1:8" s="18" customFormat="1" ht="12" customHeight="1" x14ac:dyDescent="0.2">
      <c r="A587" s="177"/>
      <c r="B587" s="38">
        <v>90004</v>
      </c>
      <c r="C587" s="35"/>
      <c r="D587" s="48" t="s">
        <v>176</v>
      </c>
      <c r="E587" s="39">
        <v>594000</v>
      </c>
      <c r="F587" s="39">
        <f>SUM(F588,F591)</f>
        <v>0</v>
      </c>
      <c r="G587" s="39">
        <f>SUM(G588,G591)</f>
        <v>36400</v>
      </c>
      <c r="H587" s="39">
        <f t="shared" si="96"/>
        <v>557600</v>
      </c>
    </row>
    <row r="588" spans="1:8" s="18" customFormat="1" ht="12" customHeight="1" x14ac:dyDescent="0.2">
      <c r="A588" s="177"/>
      <c r="B588" s="38"/>
      <c r="C588" s="174"/>
      <c r="D588" s="114" t="s">
        <v>175</v>
      </c>
      <c r="E588" s="42">
        <v>344000</v>
      </c>
      <c r="F588" s="42">
        <f>SUM(F589:F589)</f>
        <v>0</v>
      </c>
      <c r="G588" s="42">
        <f>SUM(G589:G589)</f>
        <v>6400</v>
      </c>
      <c r="H588" s="42">
        <f t="shared" si="96"/>
        <v>337600</v>
      </c>
    </row>
    <row r="589" spans="1:8" s="18" customFormat="1" ht="12" customHeight="1" x14ac:dyDescent="0.2">
      <c r="A589" s="177"/>
      <c r="B589" s="38"/>
      <c r="C589" s="50">
        <v>4430</v>
      </c>
      <c r="D589" s="44" t="s">
        <v>73</v>
      </c>
      <c r="E589" s="116">
        <v>10000</v>
      </c>
      <c r="F589" s="116"/>
      <c r="G589" s="116">
        <v>6400</v>
      </c>
      <c r="H589" s="116">
        <f t="shared" si="96"/>
        <v>3600</v>
      </c>
    </row>
    <row r="590" spans="1:8" s="18" customFormat="1" ht="12" customHeight="1" x14ac:dyDescent="0.2">
      <c r="A590" s="177"/>
      <c r="B590" s="38"/>
      <c r="C590" s="35"/>
      <c r="D590" s="175" t="s">
        <v>178</v>
      </c>
      <c r="E590" s="47"/>
      <c r="F590" s="116"/>
      <c r="G590" s="116"/>
      <c r="H590" s="47"/>
    </row>
    <row r="591" spans="1:8" s="18" customFormat="1" ht="12" customHeight="1" x14ac:dyDescent="0.2">
      <c r="A591" s="177"/>
      <c r="B591" s="38"/>
      <c r="C591" s="50"/>
      <c r="D591" s="149" t="s">
        <v>179</v>
      </c>
      <c r="E591" s="42">
        <v>250000</v>
      </c>
      <c r="F591" s="108">
        <f>SUM(F592:F593)</f>
        <v>0</v>
      </c>
      <c r="G591" s="108">
        <f>SUM(G592:G593)</f>
        <v>30000</v>
      </c>
      <c r="H591" s="43">
        <f t="shared" ref="H591:H593" si="98">SUM(E591+F591-G591)</f>
        <v>220000</v>
      </c>
    </row>
    <row r="592" spans="1:8" s="18" customFormat="1" ht="12" customHeight="1" x14ac:dyDescent="0.2">
      <c r="A592" s="177"/>
      <c r="B592" s="38"/>
      <c r="C592" s="151" t="s">
        <v>22</v>
      </c>
      <c r="D592" s="402" t="s">
        <v>89</v>
      </c>
      <c r="E592" s="46">
        <v>50000</v>
      </c>
      <c r="F592" s="45"/>
      <c r="G592" s="45">
        <v>10000</v>
      </c>
      <c r="H592" s="45">
        <f t="shared" si="98"/>
        <v>40000</v>
      </c>
    </row>
    <row r="593" spans="1:8" s="18" customFormat="1" ht="12" customHeight="1" x14ac:dyDescent="0.2">
      <c r="A593" s="177"/>
      <c r="B593" s="38"/>
      <c r="C593" s="50">
        <v>4270</v>
      </c>
      <c r="D593" s="44" t="s">
        <v>69</v>
      </c>
      <c r="E593" s="46">
        <v>20000</v>
      </c>
      <c r="F593" s="45"/>
      <c r="G593" s="45">
        <v>20000</v>
      </c>
      <c r="H593" s="45">
        <f t="shared" si="98"/>
        <v>0</v>
      </c>
    </row>
    <row r="594" spans="1:8" s="18" customFormat="1" ht="12" customHeight="1" x14ac:dyDescent="0.2">
      <c r="A594" s="35"/>
      <c r="B594" s="38">
        <v>90095</v>
      </c>
      <c r="C594" s="35"/>
      <c r="D594" s="106" t="s">
        <v>12</v>
      </c>
      <c r="E594" s="39">
        <v>33111764.419999998</v>
      </c>
      <c r="F594" s="39">
        <f>SUM(F595,F606,F610)</f>
        <v>104950</v>
      </c>
      <c r="G594" s="39">
        <f>SUM(G595,G606,G610)</f>
        <v>35000</v>
      </c>
      <c r="H594" s="39">
        <f t="shared" si="96"/>
        <v>33181714.419999998</v>
      </c>
    </row>
    <row r="595" spans="1:8" s="18" customFormat="1" ht="12" customHeight="1" x14ac:dyDescent="0.2">
      <c r="A595" s="35"/>
      <c r="B595" s="38"/>
      <c r="C595" s="178"/>
      <c r="D595" s="10" t="s">
        <v>175</v>
      </c>
      <c r="E595" s="179">
        <v>7240058</v>
      </c>
      <c r="F595" s="108">
        <f>SUM(F596:F605)</f>
        <v>69550</v>
      </c>
      <c r="G595" s="108">
        <f>SUM(G596:G605)</f>
        <v>20000</v>
      </c>
      <c r="H595" s="43">
        <f>SUM(E595+F595-G595)</f>
        <v>7289608</v>
      </c>
    </row>
    <row r="596" spans="1:8" s="18" customFormat="1" ht="12" customHeight="1" x14ac:dyDescent="0.2">
      <c r="A596" s="35"/>
      <c r="B596" s="38"/>
      <c r="C596" s="130">
        <v>3020</v>
      </c>
      <c r="D596" s="403" t="s">
        <v>76</v>
      </c>
      <c r="E596" s="46">
        <v>110000</v>
      </c>
      <c r="F596" s="45"/>
      <c r="G596" s="45">
        <v>12000</v>
      </c>
      <c r="H596" s="116">
        <f t="shared" si="96"/>
        <v>98000</v>
      </c>
    </row>
    <row r="597" spans="1:8" s="18" customFormat="1" ht="12" customHeight="1" x14ac:dyDescent="0.2">
      <c r="A597" s="35"/>
      <c r="B597" s="38"/>
      <c r="C597" s="50">
        <v>4010</v>
      </c>
      <c r="D597" s="44" t="s">
        <v>90</v>
      </c>
      <c r="E597" s="46">
        <v>4240502</v>
      </c>
      <c r="F597" s="45">
        <v>25018.76</v>
      </c>
      <c r="G597" s="45"/>
      <c r="H597" s="46">
        <f t="shared" si="96"/>
        <v>4265520.76</v>
      </c>
    </row>
    <row r="598" spans="1:8" s="18" customFormat="1" ht="12" customHeight="1" x14ac:dyDescent="0.2">
      <c r="A598" s="35"/>
      <c r="B598" s="38"/>
      <c r="C598" s="50">
        <v>4110</v>
      </c>
      <c r="D598" s="44" t="s">
        <v>91</v>
      </c>
      <c r="E598" s="46">
        <v>855112</v>
      </c>
      <c r="F598" s="45">
        <v>4368.28</v>
      </c>
      <c r="G598" s="45"/>
      <c r="H598" s="46">
        <f t="shared" si="96"/>
        <v>859480.28</v>
      </c>
    </row>
    <row r="599" spans="1:8" s="18" customFormat="1" ht="12" customHeight="1" x14ac:dyDescent="0.2">
      <c r="A599" s="35"/>
      <c r="B599" s="38"/>
      <c r="C599" s="50">
        <v>4120</v>
      </c>
      <c r="D599" s="44" t="s">
        <v>126</v>
      </c>
      <c r="E599" s="46">
        <v>121584</v>
      </c>
      <c r="F599" s="45">
        <v>612.96</v>
      </c>
      <c r="G599" s="45"/>
      <c r="H599" s="46">
        <f t="shared" si="96"/>
        <v>122196.96</v>
      </c>
    </row>
    <row r="600" spans="1:8" s="18" customFormat="1" ht="12" customHeight="1" x14ac:dyDescent="0.2">
      <c r="A600" s="35"/>
      <c r="B600" s="38"/>
      <c r="C600" s="151" t="s">
        <v>22</v>
      </c>
      <c r="D600" s="402" t="s">
        <v>89</v>
      </c>
      <c r="E600" s="46">
        <v>403536</v>
      </c>
      <c r="F600" s="45">
        <v>14000</v>
      </c>
      <c r="G600" s="45"/>
      <c r="H600" s="116">
        <f t="shared" si="96"/>
        <v>417536</v>
      </c>
    </row>
    <row r="601" spans="1:8" s="18" customFormat="1" ht="12" customHeight="1" x14ac:dyDescent="0.2">
      <c r="A601" s="35"/>
      <c r="B601" s="38"/>
      <c r="C601" s="50">
        <v>4300</v>
      </c>
      <c r="D601" s="44" t="s">
        <v>70</v>
      </c>
      <c r="E601" s="46">
        <v>199200</v>
      </c>
      <c r="F601" s="45">
        <v>22000</v>
      </c>
      <c r="G601" s="45"/>
      <c r="H601" s="116">
        <f t="shared" si="96"/>
        <v>221200</v>
      </c>
    </row>
    <row r="602" spans="1:8" s="18" customFormat="1" ht="12" customHeight="1" x14ac:dyDescent="0.2">
      <c r="A602" s="35"/>
      <c r="B602" s="38"/>
      <c r="C602" s="130">
        <v>4360</v>
      </c>
      <c r="D602" s="403" t="s">
        <v>71</v>
      </c>
      <c r="E602" s="46">
        <v>10665</v>
      </c>
      <c r="F602" s="45"/>
      <c r="G602" s="45">
        <v>3000</v>
      </c>
      <c r="H602" s="116">
        <f t="shared" si="96"/>
        <v>7665</v>
      </c>
    </row>
    <row r="603" spans="1:8" s="18" customFormat="1" ht="21.75" customHeight="1" x14ac:dyDescent="0.2">
      <c r="A603" s="35"/>
      <c r="B603" s="38"/>
      <c r="C603" s="130">
        <v>4390</v>
      </c>
      <c r="D603" s="131" t="s">
        <v>167</v>
      </c>
      <c r="E603" s="46">
        <v>450</v>
      </c>
      <c r="F603" s="45">
        <v>250</v>
      </c>
      <c r="G603" s="45"/>
      <c r="H603" s="46">
        <f t="shared" si="96"/>
        <v>700</v>
      </c>
    </row>
    <row r="604" spans="1:8" s="18" customFormat="1" ht="12" customHeight="1" x14ac:dyDescent="0.2">
      <c r="A604" s="35"/>
      <c r="B604" s="38"/>
      <c r="C604" s="130">
        <v>4440</v>
      </c>
      <c r="D604" s="403" t="s">
        <v>144</v>
      </c>
      <c r="E604" s="46">
        <v>191990</v>
      </c>
      <c r="F604" s="45"/>
      <c r="G604" s="45">
        <v>5000</v>
      </c>
      <c r="H604" s="46">
        <f t="shared" si="96"/>
        <v>186990</v>
      </c>
    </row>
    <row r="605" spans="1:8" s="18" customFormat="1" ht="24" customHeight="1" x14ac:dyDescent="0.2">
      <c r="A605" s="35"/>
      <c r="B605" s="38"/>
      <c r="C605" s="130">
        <v>4700</v>
      </c>
      <c r="D605" s="186" t="s">
        <v>79</v>
      </c>
      <c r="E605" s="46">
        <v>10215</v>
      </c>
      <c r="F605" s="45">
        <v>3300</v>
      </c>
      <c r="G605" s="45"/>
      <c r="H605" s="46">
        <f t="shared" si="96"/>
        <v>13515</v>
      </c>
    </row>
    <row r="606" spans="1:8" s="18" customFormat="1" ht="32.25" customHeight="1" x14ac:dyDescent="0.2">
      <c r="A606" s="35"/>
      <c r="B606" s="38"/>
      <c r="C606" s="174"/>
      <c r="D606" s="114" t="s">
        <v>177</v>
      </c>
      <c r="E606" s="42">
        <v>307400</v>
      </c>
      <c r="F606" s="42">
        <f>SUM(F607:F608)</f>
        <v>20400</v>
      </c>
      <c r="G606" s="42">
        <f>SUM(G607:G608)</f>
        <v>0</v>
      </c>
      <c r="H606" s="42">
        <f t="shared" si="96"/>
        <v>327800</v>
      </c>
    </row>
    <row r="607" spans="1:8" s="18" customFormat="1" ht="12" customHeight="1" x14ac:dyDescent="0.2">
      <c r="A607" s="35"/>
      <c r="B607" s="38"/>
      <c r="C607" s="50">
        <v>4260</v>
      </c>
      <c r="D607" s="44" t="s">
        <v>68</v>
      </c>
      <c r="E607" s="46">
        <v>151600</v>
      </c>
      <c r="F607" s="46">
        <v>6400</v>
      </c>
      <c r="G607" s="46"/>
      <c r="H607" s="46">
        <f t="shared" si="96"/>
        <v>158000</v>
      </c>
    </row>
    <row r="608" spans="1:8" s="18" customFormat="1" ht="12" customHeight="1" x14ac:dyDescent="0.2">
      <c r="A608" s="35"/>
      <c r="B608" s="38"/>
      <c r="C608" s="50">
        <v>4300</v>
      </c>
      <c r="D608" s="44" t="s">
        <v>70</v>
      </c>
      <c r="E608" s="46">
        <v>45000</v>
      </c>
      <c r="F608" s="46">
        <v>14000</v>
      </c>
      <c r="G608" s="46"/>
      <c r="H608" s="46">
        <f t="shared" si="96"/>
        <v>59000</v>
      </c>
    </row>
    <row r="609" spans="1:8" s="18" customFormat="1" ht="12" customHeight="1" x14ac:dyDescent="0.2">
      <c r="A609" s="35"/>
      <c r="B609" s="38"/>
      <c r="C609" s="35"/>
      <c r="D609" s="175" t="s">
        <v>178</v>
      </c>
      <c r="E609" s="47"/>
      <c r="F609" s="116"/>
      <c r="G609" s="116"/>
      <c r="H609" s="47"/>
    </row>
    <row r="610" spans="1:8" s="18" customFormat="1" ht="12" customHeight="1" x14ac:dyDescent="0.2">
      <c r="A610" s="35"/>
      <c r="B610" s="38"/>
      <c r="C610" s="50"/>
      <c r="D610" s="149" t="s">
        <v>179</v>
      </c>
      <c r="E610" s="42">
        <v>764657</v>
      </c>
      <c r="F610" s="108">
        <f>SUM(F611:F612)</f>
        <v>15000</v>
      </c>
      <c r="G610" s="108">
        <f>SUM(G611:G612)</f>
        <v>15000</v>
      </c>
      <c r="H610" s="43">
        <f t="shared" ref="H610:H618" si="99">SUM(E610+F610-G610)</f>
        <v>764657</v>
      </c>
    </row>
    <row r="611" spans="1:8" s="18" customFormat="1" ht="12" customHeight="1" x14ac:dyDescent="0.2">
      <c r="A611" s="35"/>
      <c r="B611" s="38"/>
      <c r="C611" s="151" t="s">
        <v>22</v>
      </c>
      <c r="D611" s="402" t="s">
        <v>89</v>
      </c>
      <c r="E611" s="46">
        <v>40000</v>
      </c>
      <c r="F611" s="45"/>
      <c r="G611" s="45">
        <v>15000</v>
      </c>
      <c r="H611" s="45">
        <f t="shared" si="99"/>
        <v>25000</v>
      </c>
    </row>
    <row r="612" spans="1:8" s="18" customFormat="1" ht="12" customHeight="1" x14ac:dyDescent="0.2">
      <c r="A612" s="35"/>
      <c r="B612" s="38"/>
      <c r="C612" s="50">
        <v>4260</v>
      </c>
      <c r="D612" s="44" t="s">
        <v>68</v>
      </c>
      <c r="E612" s="46">
        <v>30000</v>
      </c>
      <c r="F612" s="45">
        <v>15000</v>
      </c>
      <c r="G612" s="45"/>
      <c r="H612" s="45">
        <f t="shared" si="99"/>
        <v>45000</v>
      </c>
    </row>
    <row r="613" spans="1:8" s="18" customFormat="1" ht="12" customHeight="1" thickBot="1" x14ac:dyDescent="0.25">
      <c r="A613" s="33">
        <v>926</v>
      </c>
      <c r="B613" s="34"/>
      <c r="C613" s="35"/>
      <c r="D613" s="36" t="s">
        <v>450</v>
      </c>
      <c r="E613" s="32">
        <v>26682191.18</v>
      </c>
      <c r="F613" s="32">
        <f>SUM(F614)</f>
        <v>1400</v>
      </c>
      <c r="G613" s="32">
        <f>SUM(G614)</f>
        <v>1400</v>
      </c>
      <c r="H613" s="32">
        <f t="shared" si="99"/>
        <v>26682191.18</v>
      </c>
    </row>
    <row r="614" spans="1:8" s="18" customFormat="1" ht="12" customHeight="1" thickTop="1" x14ac:dyDescent="0.2">
      <c r="A614" s="34"/>
      <c r="B614" s="50">
        <v>92601</v>
      </c>
      <c r="C614" s="118"/>
      <c r="D614" s="48" t="s">
        <v>451</v>
      </c>
      <c r="E614" s="39">
        <v>6508381.7599999998</v>
      </c>
      <c r="F614" s="39">
        <f>SUM(F615)</f>
        <v>1400</v>
      </c>
      <c r="G614" s="39">
        <f>SUM(G615)</f>
        <v>1400</v>
      </c>
      <c r="H614" s="39">
        <f t="shared" si="99"/>
        <v>6508381.7599999998</v>
      </c>
    </row>
    <row r="615" spans="1:8" s="18" customFormat="1" ht="12" customHeight="1" x14ac:dyDescent="0.2">
      <c r="A615" s="33"/>
      <c r="B615" s="34"/>
      <c r="C615" s="35"/>
      <c r="D615" s="107" t="s">
        <v>105</v>
      </c>
      <c r="E615" s="42">
        <v>374139</v>
      </c>
      <c r="F615" s="42">
        <f>SUM(F616:F618)</f>
        <v>1400</v>
      </c>
      <c r="G615" s="42">
        <f>SUM(G616:G618)</f>
        <v>1400</v>
      </c>
      <c r="H615" s="42">
        <f t="shared" si="99"/>
        <v>374139</v>
      </c>
    </row>
    <row r="616" spans="1:8" s="18" customFormat="1" ht="12" customHeight="1" x14ac:dyDescent="0.2">
      <c r="A616" s="33"/>
      <c r="B616" s="34"/>
      <c r="C616" s="50">
        <v>4110</v>
      </c>
      <c r="D616" s="44" t="s">
        <v>91</v>
      </c>
      <c r="E616" s="46">
        <v>22795</v>
      </c>
      <c r="F616" s="46"/>
      <c r="G616" s="46">
        <v>1400</v>
      </c>
      <c r="H616" s="45">
        <f t="shared" si="99"/>
        <v>21395</v>
      </c>
    </row>
    <row r="617" spans="1:8" s="18" customFormat="1" ht="12" customHeight="1" x14ac:dyDescent="0.2">
      <c r="A617" s="33"/>
      <c r="B617" s="34"/>
      <c r="C617" s="50">
        <v>4120</v>
      </c>
      <c r="D617" s="44" t="s">
        <v>126</v>
      </c>
      <c r="E617" s="46">
        <v>3278</v>
      </c>
      <c r="F617" s="46">
        <v>100</v>
      </c>
      <c r="G617" s="46"/>
      <c r="H617" s="45">
        <f t="shared" si="99"/>
        <v>3378</v>
      </c>
    </row>
    <row r="618" spans="1:8" s="18" customFormat="1" ht="12" customHeight="1" x14ac:dyDescent="0.2">
      <c r="A618" s="33"/>
      <c r="B618" s="38"/>
      <c r="C618" s="130">
        <v>4170</v>
      </c>
      <c r="D618" s="403" t="s">
        <v>88</v>
      </c>
      <c r="E618" s="428">
        <v>133614</v>
      </c>
      <c r="F618" s="45">
        <v>1300</v>
      </c>
      <c r="G618" s="45"/>
      <c r="H618" s="45">
        <f t="shared" si="99"/>
        <v>134914</v>
      </c>
    </row>
    <row r="619" spans="1:8" s="18" customFormat="1" ht="18.600000000000001" customHeight="1" thickBot="1" x14ac:dyDescent="0.25">
      <c r="A619" s="177"/>
      <c r="B619" s="38"/>
      <c r="C619" s="50"/>
      <c r="D619" s="31" t="s">
        <v>180</v>
      </c>
      <c r="E619" s="32">
        <v>97650010.789999992</v>
      </c>
      <c r="F619" s="32">
        <f>SUM(F620,F625,F635,F646,F655,F685)</f>
        <v>3228111.0300000003</v>
      </c>
      <c r="G619" s="32">
        <f>SUM(G620,G625,G635,G646,G655,G685)</f>
        <v>66741.119999999995</v>
      </c>
      <c r="H619" s="32">
        <f t="shared" ref="H619:H633" si="100">SUM(E619+F619-G619)</f>
        <v>100811380.69999999</v>
      </c>
    </row>
    <row r="620" spans="1:8" s="18" customFormat="1" ht="19.149999999999999" customHeight="1" thickTop="1" thickBot="1" x14ac:dyDescent="0.25">
      <c r="A620" s="429" t="s">
        <v>389</v>
      </c>
      <c r="B620" s="118"/>
      <c r="C620" s="118"/>
      <c r="D620" s="430" t="s">
        <v>390</v>
      </c>
      <c r="E620" s="32">
        <v>4334.55</v>
      </c>
      <c r="F620" s="32">
        <f>SUM(F621)</f>
        <v>4727.32</v>
      </c>
      <c r="G620" s="32">
        <f>SUM(G621)</f>
        <v>0</v>
      </c>
      <c r="H620" s="32">
        <f t="shared" si="100"/>
        <v>9061.869999999999</v>
      </c>
    </row>
    <row r="621" spans="1:8" s="18" customFormat="1" ht="12" customHeight="1" thickTop="1" x14ac:dyDescent="0.2">
      <c r="A621" s="431"/>
      <c r="B621" s="173" t="s">
        <v>391</v>
      </c>
      <c r="C621" s="393"/>
      <c r="D621" s="394" t="s">
        <v>392</v>
      </c>
      <c r="E621" s="51">
        <v>4334.55</v>
      </c>
      <c r="F621" s="40">
        <f t="shared" ref="F621:G621" si="101">SUM(F622)</f>
        <v>4727.32</v>
      </c>
      <c r="G621" s="40">
        <f t="shared" si="101"/>
        <v>0</v>
      </c>
      <c r="H621" s="39">
        <f t="shared" si="100"/>
        <v>9061.869999999999</v>
      </c>
    </row>
    <row r="622" spans="1:8" s="18" customFormat="1" ht="12" customHeight="1" x14ac:dyDescent="0.2">
      <c r="A622" s="35"/>
      <c r="B622" s="38"/>
      <c r="C622" s="28"/>
      <c r="D622" s="107" t="s">
        <v>423</v>
      </c>
      <c r="E622" s="179">
        <v>4334.55</v>
      </c>
      <c r="F622" s="167">
        <f>SUM(F623:F624)</f>
        <v>4727.32</v>
      </c>
      <c r="G622" s="167">
        <f>SUM(G623:G624)</f>
        <v>0</v>
      </c>
      <c r="H622" s="42">
        <f t="shared" si="100"/>
        <v>9061.869999999999</v>
      </c>
    </row>
    <row r="623" spans="1:8" s="18" customFormat="1" ht="12" customHeight="1" x14ac:dyDescent="0.2">
      <c r="A623" s="171"/>
      <c r="B623" s="146"/>
      <c r="C623" s="147">
        <v>4300</v>
      </c>
      <c r="D623" s="48" t="s">
        <v>70</v>
      </c>
      <c r="E623" s="51">
        <v>84.99</v>
      </c>
      <c r="F623" s="128">
        <v>92.69</v>
      </c>
      <c r="G623" s="128"/>
      <c r="H623" s="128">
        <f t="shared" si="100"/>
        <v>177.68</v>
      </c>
    </row>
    <row r="624" spans="1:8" s="18" customFormat="1" ht="12" customHeight="1" x14ac:dyDescent="0.2">
      <c r="A624" s="35"/>
      <c r="B624" s="34"/>
      <c r="C624" s="50">
        <v>4430</v>
      </c>
      <c r="D624" s="44" t="s">
        <v>452</v>
      </c>
      <c r="E624" s="45">
        <v>4249.5600000000004</v>
      </c>
      <c r="F624" s="45">
        <v>4634.63</v>
      </c>
      <c r="G624" s="184"/>
      <c r="H624" s="45">
        <f t="shared" si="100"/>
        <v>8884.19</v>
      </c>
    </row>
    <row r="625" spans="1:8" s="18" customFormat="1" ht="12" customHeight="1" thickBot="1" x14ac:dyDescent="0.25">
      <c r="A625" s="34">
        <v>750</v>
      </c>
      <c r="B625" s="34"/>
      <c r="C625" s="35"/>
      <c r="D625" s="36" t="s">
        <v>41</v>
      </c>
      <c r="E625" s="32">
        <v>1678041.25</v>
      </c>
      <c r="F625" s="32">
        <f>SUM(F626)</f>
        <v>115674.91</v>
      </c>
      <c r="G625" s="32">
        <f>SUM(G626)</f>
        <v>0</v>
      </c>
      <c r="H625" s="32">
        <f t="shared" si="100"/>
        <v>1793716.16</v>
      </c>
    </row>
    <row r="626" spans="1:8" s="18" customFormat="1" ht="12" customHeight="1" thickTop="1" x14ac:dyDescent="0.2">
      <c r="A626" s="34"/>
      <c r="B626" s="50">
        <v>75011</v>
      </c>
      <c r="C626" s="118"/>
      <c r="D626" s="397" t="s">
        <v>393</v>
      </c>
      <c r="E626" s="51">
        <v>1678041.25</v>
      </c>
      <c r="F626" s="40">
        <f>SUM(F627,F631)</f>
        <v>115674.91</v>
      </c>
      <c r="G626" s="40">
        <f>SUM(G627,G631)</f>
        <v>0</v>
      </c>
      <c r="H626" s="39">
        <f t="shared" si="100"/>
        <v>1793716.16</v>
      </c>
    </row>
    <row r="627" spans="1:8" s="18" customFormat="1" ht="12" customHeight="1" x14ac:dyDescent="0.2">
      <c r="A627" s="34"/>
      <c r="B627" s="50"/>
      <c r="C627" s="28"/>
      <c r="D627" s="107" t="s">
        <v>364</v>
      </c>
      <c r="E627" s="179">
        <v>1662400</v>
      </c>
      <c r="F627" s="167">
        <f>SUM(F628:F630)</f>
        <v>114485</v>
      </c>
      <c r="G627" s="167">
        <f>SUM(G628:G630)</f>
        <v>0</v>
      </c>
      <c r="H627" s="42">
        <f t="shared" si="100"/>
        <v>1776885</v>
      </c>
    </row>
    <row r="628" spans="1:8" s="18" customFormat="1" ht="12" customHeight="1" x14ac:dyDescent="0.2">
      <c r="A628" s="34"/>
      <c r="B628" s="50"/>
      <c r="C628" s="50">
        <v>4010</v>
      </c>
      <c r="D628" s="44" t="s">
        <v>90</v>
      </c>
      <c r="E628" s="45">
        <v>1271241</v>
      </c>
      <c r="F628" s="45">
        <f>93405+5888</f>
        <v>99293</v>
      </c>
      <c r="G628" s="184"/>
      <c r="H628" s="116">
        <f t="shared" si="100"/>
        <v>1370534</v>
      </c>
    </row>
    <row r="629" spans="1:8" s="18" customFormat="1" ht="12" customHeight="1" x14ac:dyDescent="0.2">
      <c r="A629" s="34"/>
      <c r="B629" s="50"/>
      <c r="C629" s="50">
        <v>4110</v>
      </c>
      <c r="D629" s="44" t="s">
        <v>91</v>
      </c>
      <c r="E629" s="45">
        <v>239828</v>
      </c>
      <c r="F629" s="45">
        <v>13297</v>
      </c>
      <c r="G629" s="184"/>
      <c r="H629" s="116">
        <f t="shared" si="100"/>
        <v>253125</v>
      </c>
    </row>
    <row r="630" spans="1:8" s="18" customFormat="1" ht="12" customHeight="1" x14ac:dyDescent="0.2">
      <c r="A630" s="34"/>
      <c r="B630" s="50"/>
      <c r="C630" s="50">
        <v>4120</v>
      </c>
      <c r="D630" s="44" t="s">
        <v>126</v>
      </c>
      <c r="E630" s="45">
        <v>34181</v>
      </c>
      <c r="F630" s="45">
        <v>1895</v>
      </c>
      <c r="G630" s="184"/>
      <c r="H630" s="116">
        <f t="shared" si="100"/>
        <v>36076</v>
      </c>
    </row>
    <row r="631" spans="1:8" s="18" customFormat="1" ht="21" customHeight="1" x14ac:dyDescent="0.2">
      <c r="A631" s="34"/>
      <c r="B631" s="34"/>
      <c r="C631" s="28"/>
      <c r="D631" s="172" t="s">
        <v>453</v>
      </c>
      <c r="E631" s="43">
        <v>15641.25</v>
      </c>
      <c r="F631" s="167">
        <f>SUM(F632:F633)</f>
        <v>1189.9100000000001</v>
      </c>
      <c r="G631" s="167">
        <f>SUM(G632:G633)</f>
        <v>0</v>
      </c>
      <c r="H631" s="42">
        <f t="shared" si="100"/>
        <v>16831.16</v>
      </c>
    </row>
    <row r="632" spans="1:8" s="18" customFormat="1" ht="22.15" customHeight="1" x14ac:dyDescent="0.2">
      <c r="A632" s="34"/>
      <c r="B632" s="34"/>
      <c r="C632" s="130">
        <v>4740</v>
      </c>
      <c r="D632" s="131" t="s">
        <v>111</v>
      </c>
      <c r="E632" s="45">
        <v>13073.6</v>
      </c>
      <c r="F632" s="45">
        <v>994.57</v>
      </c>
      <c r="G632" s="45"/>
      <c r="H632" s="116">
        <f t="shared" si="100"/>
        <v>14068.17</v>
      </c>
    </row>
    <row r="633" spans="1:8" s="18" customFormat="1" ht="22.15" customHeight="1" x14ac:dyDescent="0.2">
      <c r="A633" s="34"/>
      <c r="B633" s="34"/>
      <c r="C633" s="130">
        <v>4850</v>
      </c>
      <c r="D633" s="131" t="s">
        <v>113</v>
      </c>
      <c r="E633" s="45">
        <v>2567.6499999999996</v>
      </c>
      <c r="F633" s="45">
        <v>195.34</v>
      </c>
      <c r="G633" s="45"/>
      <c r="H633" s="116">
        <f t="shared" si="100"/>
        <v>2762.99</v>
      </c>
    </row>
    <row r="634" spans="1:8" s="18" customFormat="1" ht="12" customHeight="1" x14ac:dyDescent="0.2">
      <c r="A634" s="34">
        <v>754</v>
      </c>
      <c r="B634" s="34"/>
      <c r="C634" s="35"/>
      <c r="D634" s="36" t="s">
        <v>42</v>
      </c>
      <c r="E634" s="45"/>
      <c r="F634" s="47"/>
      <c r="G634" s="47"/>
      <c r="H634" s="45"/>
    </row>
    <row r="635" spans="1:8" s="18" customFormat="1" ht="12" customHeight="1" thickBot="1" x14ac:dyDescent="0.25">
      <c r="A635" s="34"/>
      <c r="B635" s="34"/>
      <c r="C635" s="35"/>
      <c r="D635" s="36" t="s">
        <v>43</v>
      </c>
      <c r="E635" s="37">
        <v>2864868</v>
      </c>
      <c r="F635" s="37">
        <f>SUM(F636)</f>
        <v>621418.12</v>
      </c>
      <c r="G635" s="37">
        <f>SUM(G636)</f>
        <v>50874.12</v>
      </c>
      <c r="H635" s="37">
        <f>SUM(E635+F635-G635)</f>
        <v>3435412</v>
      </c>
    </row>
    <row r="636" spans="1:8" s="18" customFormat="1" ht="12" customHeight="1" thickTop="1" x14ac:dyDescent="0.2">
      <c r="A636" s="38"/>
      <c r="B636" s="38">
        <v>75495</v>
      </c>
      <c r="C636" s="28"/>
      <c r="D636" s="48" t="s">
        <v>12</v>
      </c>
      <c r="E636" s="39">
        <v>2864868</v>
      </c>
      <c r="F636" s="40">
        <f>SUM(F637,F641,F643)</f>
        <v>621418.12</v>
      </c>
      <c r="G636" s="40">
        <f>SUM(G637,G641,G643)</f>
        <v>50874.12</v>
      </c>
      <c r="H636" s="39">
        <f>SUM(E636+F636-G636)</f>
        <v>3435412</v>
      </c>
    </row>
    <row r="637" spans="1:8" s="18" customFormat="1" ht="22.9" customHeight="1" x14ac:dyDescent="0.2">
      <c r="A637" s="38"/>
      <c r="B637" s="38"/>
      <c r="C637" s="41"/>
      <c r="D637" s="114" t="s">
        <v>454</v>
      </c>
      <c r="E637" s="43">
        <v>1871928</v>
      </c>
      <c r="F637" s="108">
        <f>SUM(F638:F640)</f>
        <v>127024</v>
      </c>
      <c r="G637" s="108">
        <f>SUM(G638:G640)</f>
        <v>0</v>
      </c>
      <c r="H637" s="43">
        <f t="shared" ref="H637:H640" si="102">SUM(E637+F637-G637)</f>
        <v>1998952</v>
      </c>
    </row>
    <row r="638" spans="1:8" s="18" customFormat="1" ht="21" customHeight="1" x14ac:dyDescent="0.2">
      <c r="A638" s="38"/>
      <c r="B638" s="38"/>
      <c r="C638" s="130">
        <v>3280</v>
      </c>
      <c r="D638" s="131" t="s">
        <v>455</v>
      </c>
      <c r="E638" s="46">
        <v>1861400</v>
      </c>
      <c r="F638" s="45">
        <v>126320</v>
      </c>
      <c r="G638" s="45"/>
      <c r="H638" s="46">
        <f t="shared" si="102"/>
        <v>1987720</v>
      </c>
    </row>
    <row r="639" spans="1:8" s="18" customFormat="1" ht="22.5" customHeight="1" x14ac:dyDescent="0.2">
      <c r="A639" s="38"/>
      <c r="B639" s="38"/>
      <c r="C639" s="130">
        <v>4740</v>
      </c>
      <c r="D639" s="131" t="s">
        <v>111</v>
      </c>
      <c r="E639" s="45">
        <v>8778</v>
      </c>
      <c r="F639" s="46">
        <v>587</v>
      </c>
      <c r="G639" s="45"/>
      <c r="H639" s="47">
        <f t="shared" si="102"/>
        <v>9365</v>
      </c>
    </row>
    <row r="640" spans="1:8" s="18" customFormat="1" ht="21.6" customHeight="1" x14ac:dyDescent="0.2">
      <c r="A640" s="38"/>
      <c r="B640" s="38"/>
      <c r="C640" s="130">
        <v>4850</v>
      </c>
      <c r="D640" s="131" t="s">
        <v>113</v>
      </c>
      <c r="E640" s="45">
        <v>1750</v>
      </c>
      <c r="F640" s="46">
        <v>117</v>
      </c>
      <c r="G640" s="45"/>
      <c r="H640" s="47">
        <f t="shared" si="102"/>
        <v>1867</v>
      </c>
    </row>
    <row r="641" spans="1:8" s="18" customFormat="1" ht="34.5" customHeight="1" x14ac:dyDescent="0.2">
      <c r="A641" s="105"/>
      <c r="B641" s="34"/>
      <c r="C641" s="41"/>
      <c r="D641" s="172" t="s">
        <v>181</v>
      </c>
      <c r="E641" s="42">
        <v>869310.8899999999</v>
      </c>
      <c r="F641" s="42">
        <f>SUM(F642:F642)</f>
        <v>443520</v>
      </c>
      <c r="G641" s="42">
        <f>SUM(G642:G642)</f>
        <v>50874.12</v>
      </c>
      <c r="H641" s="43">
        <f>SUM(E641+F641-G641)</f>
        <v>1261956.7699999998</v>
      </c>
    </row>
    <row r="642" spans="1:8" s="18" customFormat="1" ht="12" customHeight="1" x14ac:dyDescent="0.2">
      <c r="A642" s="105"/>
      <c r="B642" s="34"/>
      <c r="C642" s="38">
        <v>4370</v>
      </c>
      <c r="D642" s="44" t="s">
        <v>94</v>
      </c>
      <c r="E642" s="46">
        <v>869310.8899999999</v>
      </c>
      <c r="F642" s="45">
        <v>443520</v>
      </c>
      <c r="G642" s="45">
        <f>20867.56+30006.56</f>
        <v>50874.12</v>
      </c>
      <c r="H642" s="46">
        <f t="shared" ref="H642" si="103">SUM(E642+F642-G642)</f>
        <v>1261956.7699999998</v>
      </c>
    </row>
    <row r="643" spans="1:8" s="18" customFormat="1" ht="33.75" customHeight="1" x14ac:dyDescent="0.2">
      <c r="A643" s="105"/>
      <c r="B643" s="34"/>
      <c r="C643" s="28"/>
      <c r="D643" s="182" t="s">
        <v>182</v>
      </c>
      <c r="E643" s="42">
        <v>123315.42</v>
      </c>
      <c r="F643" s="108">
        <f>SUM(F644:F645)</f>
        <v>50874.12</v>
      </c>
      <c r="G643" s="108">
        <f>SUM(G644:G645)</f>
        <v>0</v>
      </c>
      <c r="H643" s="43">
        <f>SUM(E643+F643-G643)</f>
        <v>174189.54</v>
      </c>
    </row>
    <row r="644" spans="1:8" s="18" customFormat="1" ht="12" customHeight="1" x14ac:dyDescent="0.2">
      <c r="A644" s="105"/>
      <c r="B644" s="34"/>
      <c r="C644" s="50">
        <v>4370</v>
      </c>
      <c r="D644" s="44" t="s">
        <v>94</v>
      </c>
      <c r="E644" s="46">
        <v>25415.599999999999</v>
      </c>
      <c r="F644" s="46">
        <f>3282.57+3054.8</f>
        <v>6337.3700000000008</v>
      </c>
      <c r="G644" s="46"/>
      <c r="H644" s="47">
        <f t="shared" ref="H644:H689" si="104">SUM(E644+F644-G644)</f>
        <v>31752.97</v>
      </c>
    </row>
    <row r="645" spans="1:8" s="18" customFormat="1" ht="21" customHeight="1" x14ac:dyDescent="0.2">
      <c r="A645" s="105"/>
      <c r="B645" s="34"/>
      <c r="C645" s="130">
        <v>4860</v>
      </c>
      <c r="D645" s="131" t="s">
        <v>114</v>
      </c>
      <c r="E645" s="46">
        <v>97513.65</v>
      </c>
      <c r="F645" s="46">
        <f>17584.99+26951.76</f>
        <v>44536.75</v>
      </c>
      <c r="G645" s="46"/>
      <c r="H645" s="47">
        <f t="shared" si="104"/>
        <v>142050.4</v>
      </c>
    </row>
    <row r="646" spans="1:8" s="18" customFormat="1" ht="12" customHeight="1" thickBot="1" x14ac:dyDescent="0.25">
      <c r="A646" s="33">
        <v>801</v>
      </c>
      <c r="B646" s="34"/>
      <c r="C646" s="35"/>
      <c r="D646" s="36" t="s">
        <v>100</v>
      </c>
      <c r="E646" s="32">
        <v>533493.37</v>
      </c>
      <c r="F646" s="32">
        <f>SUM(F649)</f>
        <v>27241.23</v>
      </c>
      <c r="G646" s="32">
        <f>SUM(G649)</f>
        <v>0</v>
      </c>
      <c r="H646" s="32">
        <f>SUM(E646+F646-G646)</f>
        <v>560734.6</v>
      </c>
    </row>
    <row r="647" spans="1:8" s="18" customFormat="1" ht="12" customHeight="1" thickTop="1" x14ac:dyDescent="0.2">
      <c r="A647" s="33"/>
      <c r="B647" s="38">
        <v>80153</v>
      </c>
      <c r="C647" s="35"/>
      <c r="D647" s="148" t="s">
        <v>398</v>
      </c>
      <c r="E647" s="111"/>
      <c r="F647" s="111"/>
      <c r="G647" s="111"/>
      <c r="H647" s="111"/>
    </row>
    <row r="648" spans="1:8" s="18" customFormat="1" ht="12" customHeight="1" x14ac:dyDescent="0.2">
      <c r="A648" s="33"/>
      <c r="B648" s="34"/>
      <c r="C648" s="35"/>
      <c r="D648" s="148" t="s">
        <v>399</v>
      </c>
      <c r="E648" s="111"/>
      <c r="F648" s="111"/>
      <c r="G648" s="111"/>
      <c r="H648" s="111"/>
    </row>
    <row r="649" spans="1:8" s="18" customFormat="1" ht="12" customHeight="1" x14ac:dyDescent="0.2">
      <c r="A649" s="34"/>
      <c r="B649" s="38"/>
      <c r="C649" s="28"/>
      <c r="D649" s="48" t="s">
        <v>400</v>
      </c>
      <c r="E649" s="39">
        <v>533493.37</v>
      </c>
      <c r="F649" s="39">
        <f>SUM(F650,F652)</f>
        <v>27241.23</v>
      </c>
      <c r="G649" s="39">
        <f>SUM(G650,G652)</f>
        <v>0</v>
      </c>
      <c r="H649" s="39">
        <f t="shared" ref="H649:H654" si="105">SUM(E649+F649-G649)</f>
        <v>560734.6</v>
      </c>
    </row>
    <row r="650" spans="1:8" s="18" customFormat="1" ht="12" customHeight="1" x14ac:dyDescent="0.2">
      <c r="A650" s="137"/>
      <c r="B650" s="38"/>
      <c r="C650" s="28"/>
      <c r="D650" s="107" t="s">
        <v>105</v>
      </c>
      <c r="E650" s="43">
        <v>478413</v>
      </c>
      <c r="F650" s="108">
        <f>SUM(F651:F651)</f>
        <v>25256.12</v>
      </c>
      <c r="G650" s="108">
        <f>SUM(G651:G651)</f>
        <v>0</v>
      </c>
      <c r="H650" s="43">
        <f t="shared" si="105"/>
        <v>503669.12</v>
      </c>
    </row>
    <row r="651" spans="1:8" s="18" customFormat="1" ht="12" customHeight="1" x14ac:dyDescent="0.2">
      <c r="A651" s="33"/>
      <c r="B651" s="105"/>
      <c r="C651" s="50">
        <v>4240</v>
      </c>
      <c r="D651" s="44" t="s">
        <v>108</v>
      </c>
      <c r="E651" s="47">
        <v>478413</v>
      </c>
      <c r="F651" s="116">
        <v>25256.12</v>
      </c>
      <c r="G651" s="138"/>
      <c r="H651" s="47">
        <f t="shared" si="105"/>
        <v>503669.12</v>
      </c>
    </row>
    <row r="652" spans="1:8" s="18" customFormat="1" ht="12" customHeight="1" x14ac:dyDescent="0.2">
      <c r="A652" s="33"/>
      <c r="B652" s="105"/>
      <c r="C652" s="28"/>
      <c r="D652" s="10" t="s">
        <v>102</v>
      </c>
      <c r="E652" s="43">
        <v>55080.369999999995</v>
      </c>
      <c r="F652" s="108">
        <f>SUM(F653:F654)</f>
        <v>1985.11</v>
      </c>
      <c r="G652" s="108">
        <f>SUM(G653:G654)</f>
        <v>0</v>
      </c>
      <c r="H652" s="43">
        <f t="shared" si="105"/>
        <v>57065.479999999996</v>
      </c>
    </row>
    <row r="653" spans="1:8" s="18" customFormat="1" ht="34.5" customHeight="1" x14ac:dyDescent="0.2">
      <c r="A653" s="33"/>
      <c r="B653" s="105"/>
      <c r="C653" s="130">
        <v>2830</v>
      </c>
      <c r="D653" s="115" t="s">
        <v>456</v>
      </c>
      <c r="E653" s="47">
        <v>49796</v>
      </c>
      <c r="F653" s="116">
        <v>1732.31</v>
      </c>
      <c r="G653" s="116"/>
      <c r="H653" s="47">
        <f t="shared" si="105"/>
        <v>51528.31</v>
      </c>
    </row>
    <row r="654" spans="1:8" s="18" customFormat="1" ht="12" customHeight="1" x14ac:dyDescent="0.2">
      <c r="A654" s="33"/>
      <c r="B654" s="105"/>
      <c r="C654" s="49">
        <v>4210</v>
      </c>
      <c r="D654" s="148" t="s">
        <v>89</v>
      </c>
      <c r="E654" s="47">
        <v>5284.37</v>
      </c>
      <c r="F654" s="116">
        <v>252.8</v>
      </c>
      <c r="G654" s="138"/>
      <c r="H654" s="47">
        <f t="shared" si="105"/>
        <v>5537.17</v>
      </c>
    </row>
    <row r="655" spans="1:8" s="18" customFormat="1" ht="12" customHeight="1" thickBot="1" x14ac:dyDescent="0.25">
      <c r="A655" s="35" t="s">
        <v>38</v>
      </c>
      <c r="B655" s="34"/>
      <c r="C655" s="35"/>
      <c r="D655" s="36" t="s">
        <v>53</v>
      </c>
      <c r="E655" s="32">
        <v>16981715.75</v>
      </c>
      <c r="F655" s="32">
        <f>SUM(F656,F675,F679)</f>
        <v>2457769.4500000002</v>
      </c>
      <c r="G655" s="32">
        <f>SUM(G656,G675,G679)</f>
        <v>15867</v>
      </c>
      <c r="H655" s="32">
        <f t="shared" si="104"/>
        <v>19423618.199999999</v>
      </c>
    </row>
    <row r="656" spans="1:8" s="18" customFormat="1" ht="12" customHeight="1" thickTop="1" x14ac:dyDescent="0.2">
      <c r="A656" s="35"/>
      <c r="B656" s="38">
        <v>85203</v>
      </c>
      <c r="C656" s="28"/>
      <c r="D656" s="125" t="s">
        <v>157</v>
      </c>
      <c r="E656" s="51">
        <v>1079566</v>
      </c>
      <c r="F656" s="40">
        <f>SUM(F657,F671)</f>
        <v>77173</v>
      </c>
      <c r="G656" s="40">
        <f>SUM(G657,G671)</f>
        <v>15867</v>
      </c>
      <c r="H656" s="39">
        <f t="shared" si="104"/>
        <v>1140872</v>
      </c>
    </row>
    <row r="657" spans="1:8" s="18" customFormat="1" ht="12" customHeight="1" x14ac:dyDescent="0.2">
      <c r="A657" s="35"/>
      <c r="B657" s="38"/>
      <c r="C657" s="28"/>
      <c r="D657" s="107" t="s">
        <v>183</v>
      </c>
      <c r="E657" s="179">
        <v>967866</v>
      </c>
      <c r="F657" s="167">
        <f>SUM(F658:F669)</f>
        <v>75967</v>
      </c>
      <c r="G657" s="167">
        <f>SUM(G658:G669)</f>
        <v>14661</v>
      </c>
      <c r="H657" s="42">
        <f t="shared" si="104"/>
        <v>1029172</v>
      </c>
    </row>
    <row r="658" spans="1:8" s="18" customFormat="1" ht="12" customHeight="1" x14ac:dyDescent="0.2">
      <c r="A658" s="35"/>
      <c r="B658" s="38"/>
      <c r="C658" s="50">
        <v>4010</v>
      </c>
      <c r="D658" s="44" t="s">
        <v>90</v>
      </c>
      <c r="E658" s="46">
        <v>633625</v>
      </c>
      <c r="F658" s="45">
        <f>10213+34200</f>
        <v>44413</v>
      </c>
      <c r="G658" s="45"/>
      <c r="H658" s="45">
        <f t="shared" si="104"/>
        <v>678038</v>
      </c>
    </row>
    <row r="659" spans="1:8" s="18" customFormat="1" ht="12" customHeight="1" x14ac:dyDescent="0.2">
      <c r="A659" s="35"/>
      <c r="B659" s="38"/>
      <c r="C659" s="50">
        <v>4110</v>
      </c>
      <c r="D659" s="44" t="s">
        <v>91</v>
      </c>
      <c r="E659" s="46">
        <v>116223</v>
      </c>
      <c r="F659" s="45">
        <v>1759</v>
      </c>
      <c r="G659" s="45"/>
      <c r="H659" s="45">
        <f t="shared" si="104"/>
        <v>117982</v>
      </c>
    </row>
    <row r="660" spans="1:8" s="18" customFormat="1" ht="12" customHeight="1" x14ac:dyDescent="0.2">
      <c r="A660" s="35"/>
      <c r="B660" s="38"/>
      <c r="C660" s="50">
        <v>4120</v>
      </c>
      <c r="D660" s="44" t="s">
        <v>126</v>
      </c>
      <c r="E660" s="46">
        <v>15240</v>
      </c>
      <c r="F660" s="45">
        <v>250</v>
      </c>
      <c r="G660" s="45"/>
      <c r="H660" s="45">
        <f t="shared" si="104"/>
        <v>15490</v>
      </c>
    </row>
    <row r="661" spans="1:8" s="18" customFormat="1" ht="12" customHeight="1" x14ac:dyDescent="0.2">
      <c r="A661" s="35"/>
      <c r="B661" s="38"/>
      <c r="C661" s="130">
        <v>4170</v>
      </c>
      <c r="D661" s="403" t="s">
        <v>88</v>
      </c>
      <c r="E661" s="46">
        <v>8000</v>
      </c>
      <c r="F661" s="45">
        <v>2180</v>
      </c>
      <c r="G661" s="45"/>
      <c r="H661" s="45">
        <f t="shared" si="104"/>
        <v>10180</v>
      </c>
    </row>
    <row r="662" spans="1:8" s="18" customFormat="1" ht="12" customHeight="1" x14ac:dyDescent="0.2">
      <c r="A662" s="35"/>
      <c r="B662" s="38"/>
      <c r="C662" s="162">
        <v>4210</v>
      </c>
      <c r="D662" s="402" t="s">
        <v>89</v>
      </c>
      <c r="E662" s="46">
        <v>35076</v>
      </c>
      <c r="F662" s="45">
        <f>916+4788</f>
        <v>5704</v>
      </c>
      <c r="G662" s="45">
        <v>10161</v>
      </c>
      <c r="H662" s="45">
        <f t="shared" si="104"/>
        <v>30619</v>
      </c>
    </row>
    <row r="663" spans="1:8" s="18" customFormat="1" ht="12" customHeight="1" x14ac:dyDescent="0.2">
      <c r="A663" s="35"/>
      <c r="B663" s="38"/>
      <c r="C663" s="130">
        <v>4220</v>
      </c>
      <c r="D663" s="403" t="s">
        <v>161</v>
      </c>
      <c r="E663" s="46">
        <v>7600</v>
      </c>
      <c r="F663" s="45"/>
      <c r="G663" s="45">
        <v>3000</v>
      </c>
      <c r="H663" s="45">
        <f t="shared" si="104"/>
        <v>4600</v>
      </c>
    </row>
    <row r="664" spans="1:8" s="18" customFormat="1" ht="12" customHeight="1" x14ac:dyDescent="0.2">
      <c r="A664" s="35"/>
      <c r="B664" s="38"/>
      <c r="C664" s="130">
        <v>4260</v>
      </c>
      <c r="D664" s="403" t="s">
        <v>68</v>
      </c>
      <c r="E664" s="46">
        <v>5000</v>
      </c>
      <c r="F664" s="45">
        <v>14000</v>
      </c>
      <c r="G664" s="45"/>
      <c r="H664" s="45">
        <f t="shared" si="104"/>
        <v>19000</v>
      </c>
    </row>
    <row r="665" spans="1:8" s="18" customFormat="1" ht="12" customHeight="1" x14ac:dyDescent="0.2">
      <c r="A665" s="35"/>
      <c r="B665" s="38"/>
      <c r="C665" s="50">
        <v>4270</v>
      </c>
      <c r="D665" s="44" t="s">
        <v>69</v>
      </c>
      <c r="E665" s="46">
        <v>17000</v>
      </c>
      <c r="F665" s="45"/>
      <c r="G665" s="45">
        <v>500</v>
      </c>
      <c r="H665" s="45">
        <f t="shared" si="104"/>
        <v>16500</v>
      </c>
    </row>
    <row r="666" spans="1:8" s="18" customFormat="1" ht="12" customHeight="1" x14ac:dyDescent="0.2">
      <c r="A666" s="35"/>
      <c r="B666" s="38"/>
      <c r="C666" s="49">
        <v>4300</v>
      </c>
      <c r="D666" s="135" t="s">
        <v>190</v>
      </c>
      <c r="E666" s="46">
        <v>57640</v>
      </c>
      <c r="F666" s="45">
        <v>7000</v>
      </c>
      <c r="G666" s="45"/>
      <c r="H666" s="45">
        <f t="shared" si="104"/>
        <v>64640</v>
      </c>
    </row>
    <row r="667" spans="1:8" s="18" customFormat="1" ht="12" customHeight="1" x14ac:dyDescent="0.2">
      <c r="A667" s="35"/>
      <c r="B667" s="38"/>
      <c r="C667" s="130">
        <v>4360</v>
      </c>
      <c r="D667" s="403" t="s">
        <v>71</v>
      </c>
      <c r="E667" s="46">
        <v>2730</v>
      </c>
      <c r="F667" s="45"/>
      <c r="G667" s="45">
        <v>1000</v>
      </c>
      <c r="H667" s="45">
        <f t="shared" si="104"/>
        <v>1730</v>
      </c>
    </row>
    <row r="668" spans="1:8" s="18" customFormat="1" ht="12" customHeight="1" x14ac:dyDescent="0.2">
      <c r="A668" s="35"/>
      <c r="B668" s="38"/>
      <c r="C668" s="130">
        <v>4440</v>
      </c>
      <c r="D668" s="403" t="s">
        <v>144</v>
      </c>
      <c r="E668" s="46">
        <v>23614</v>
      </c>
      <c r="F668" s="45">
        <v>161</v>
      </c>
      <c r="G668" s="45"/>
      <c r="H668" s="45">
        <f t="shared" si="104"/>
        <v>23775</v>
      </c>
    </row>
    <row r="669" spans="1:8" s="18" customFormat="1" ht="21.75" customHeight="1" x14ac:dyDescent="0.2">
      <c r="A669" s="171"/>
      <c r="B669" s="126"/>
      <c r="C669" s="127">
        <v>4700</v>
      </c>
      <c r="D669" s="168" t="s">
        <v>92</v>
      </c>
      <c r="E669" s="128">
        <v>3000</v>
      </c>
      <c r="F669" s="51">
        <v>500</v>
      </c>
      <c r="G669" s="51"/>
      <c r="H669" s="128">
        <f t="shared" si="104"/>
        <v>3500</v>
      </c>
    </row>
    <row r="670" spans="1:8" s="18" customFormat="1" ht="12" customHeight="1" x14ac:dyDescent="0.2">
      <c r="A670" s="35"/>
      <c r="B670" s="34"/>
      <c r="C670" s="135"/>
      <c r="D670" s="175" t="s">
        <v>457</v>
      </c>
      <c r="E670" s="45"/>
      <c r="F670" s="46"/>
      <c r="G670" s="46"/>
      <c r="H670" s="116"/>
    </row>
    <row r="671" spans="1:8" s="18" customFormat="1" ht="12" customHeight="1" x14ac:dyDescent="0.2">
      <c r="A671" s="35"/>
      <c r="B671" s="34"/>
      <c r="C671" s="28"/>
      <c r="D671" s="107" t="s">
        <v>458</v>
      </c>
      <c r="E671" s="43">
        <v>111700</v>
      </c>
      <c r="F671" s="167">
        <f>SUM(F672:F674)</f>
        <v>1206</v>
      </c>
      <c r="G671" s="167">
        <f>SUM(G672:G674)</f>
        <v>1206</v>
      </c>
      <c r="H671" s="42">
        <f t="shared" ref="H671:H674" si="106">SUM(E671+F671-G671)</f>
        <v>111700</v>
      </c>
    </row>
    <row r="672" spans="1:8" s="18" customFormat="1" ht="12" customHeight="1" x14ac:dyDescent="0.2">
      <c r="A672" s="35"/>
      <c r="B672" s="34"/>
      <c r="C672" s="50">
        <v>4110</v>
      </c>
      <c r="D672" s="44" t="s">
        <v>91</v>
      </c>
      <c r="E672" s="46">
        <v>8920</v>
      </c>
      <c r="F672" s="45">
        <v>370</v>
      </c>
      <c r="G672" s="45"/>
      <c r="H672" s="45">
        <f t="shared" si="106"/>
        <v>9290</v>
      </c>
    </row>
    <row r="673" spans="1:8" s="18" customFormat="1" ht="12" customHeight="1" x14ac:dyDescent="0.2">
      <c r="A673" s="35"/>
      <c r="B673" s="34"/>
      <c r="C673" s="130">
        <v>4170</v>
      </c>
      <c r="D673" s="403" t="s">
        <v>88</v>
      </c>
      <c r="E673" s="46">
        <v>7200</v>
      </c>
      <c r="F673" s="45">
        <v>836</v>
      </c>
      <c r="G673" s="45"/>
      <c r="H673" s="45">
        <f t="shared" si="106"/>
        <v>8036</v>
      </c>
    </row>
    <row r="674" spans="1:8" s="18" customFormat="1" ht="12" customHeight="1" x14ac:dyDescent="0.2">
      <c r="A674" s="35"/>
      <c r="B674" s="34"/>
      <c r="C674" s="50">
        <v>4260</v>
      </c>
      <c r="D674" s="44" t="s">
        <v>68</v>
      </c>
      <c r="E674" s="46">
        <v>10800</v>
      </c>
      <c r="F674" s="45"/>
      <c r="G674" s="45">
        <v>1206</v>
      </c>
      <c r="H674" s="45">
        <f t="shared" si="106"/>
        <v>9594</v>
      </c>
    </row>
    <row r="675" spans="1:8" s="18" customFormat="1" ht="12" customHeight="1" x14ac:dyDescent="0.2">
      <c r="A675" s="183"/>
      <c r="B675" s="38">
        <v>85219</v>
      </c>
      <c r="C675" s="28"/>
      <c r="D675" s="123" t="s">
        <v>58</v>
      </c>
      <c r="E675" s="51">
        <v>25400</v>
      </c>
      <c r="F675" s="40">
        <f t="shared" ref="F675:G675" si="107">SUM(F676)</f>
        <v>5178</v>
      </c>
      <c r="G675" s="40">
        <f t="shared" si="107"/>
        <v>0</v>
      </c>
      <c r="H675" s="39">
        <f t="shared" si="104"/>
        <v>30578</v>
      </c>
    </row>
    <row r="676" spans="1:8" s="18" customFormat="1" ht="12" customHeight="1" x14ac:dyDescent="0.2">
      <c r="A676" s="183"/>
      <c r="B676" s="34"/>
      <c r="C676" s="28"/>
      <c r="D676" s="107" t="s">
        <v>39</v>
      </c>
      <c r="E676" s="179">
        <v>25400</v>
      </c>
      <c r="F676" s="167">
        <f>SUM(F677:F678)</f>
        <v>5178</v>
      </c>
      <c r="G676" s="167">
        <f>SUM(G677:G678)</f>
        <v>0</v>
      </c>
      <c r="H676" s="42">
        <f t="shared" si="104"/>
        <v>30578</v>
      </c>
    </row>
    <row r="677" spans="1:8" s="18" customFormat="1" ht="12" customHeight="1" x14ac:dyDescent="0.2">
      <c r="A677" s="183"/>
      <c r="B677" s="34"/>
      <c r="C677" s="50">
        <v>3110</v>
      </c>
      <c r="D677" s="44" t="s">
        <v>169</v>
      </c>
      <c r="E677" s="45">
        <v>25025</v>
      </c>
      <c r="F677" s="45">
        <v>5102</v>
      </c>
      <c r="G677" s="184"/>
      <c r="H677" s="116">
        <f t="shared" si="104"/>
        <v>30127</v>
      </c>
    </row>
    <row r="678" spans="1:8" s="18" customFormat="1" ht="12" customHeight="1" x14ac:dyDescent="0.2">
      <c r="A678" s="183"/>
      <c r="B678" s="34"/>
      <c r="C678" s="49">
        <v>4210</v>
      </c>
      <c r="D678" s="148" t="s">
        <v>89</v>
      </c>
      <c r="E678" s="45">
        <v>375</v>
      </c>
      <c r="F678" s="45">
        <v>76</v>
      </c>
      <c r="G678" s="184"/>
      <c r="H678" s="116">
        <f t="shared" si="104"/>
        <v>451</v>
      </c>
    </row>
    <row r="679" spans="1:8" s="18" customFormat="1" ht="12" customHeight="1" x14ac:dyDescent="0.2">
      <c r="A679" s="183"/>
      <c r="B679" s="38">
        <v>85295</v>
      </c>
      <c r="C679" s="28"/>
      <c r="D679" s="48" t="s">
        <v>12</v>
      </c>
      <c r="E679" s="51">
        <v>12682093.57</v>
      </c>
      <c r="F679" s="40">
        <f>SUM(F680)</f>
        <v>2375418.4500000002</v>
      </c>
      <c r="G679" s="40">
        <f>SUM(G680)</f>
        <v>0</v>
      </c>
      <c r="H679" s="39">
        <f t="shared" si="104"/>
        <v>15057512.02</v>
      </c>
    </row>
    <row r="680" spans="1:8" s="18" customFormat="1" ht="12" customHeight="1" x14ac:dyDescent="0.2">
      <c r="A680" s="183"/>
      <c r="B680" s="34"/>
      <c r="C680" s="28"/>
      <c r="D680" s="107" t="s">
        <v>39</v>
      </c>
      <c r="E680" s="179">
        <v>4818513.4400000004</v>
      </c>
      <c r="F680" s="167">
        <f>SUM(F681:F684)</f>
        <v>2375418.4500000002</v>
      </c>
      <c r="G680" s="167">
        <f>SUM(G681:G684)</f>
        <v>0</v>
      </c>
      <c r="H680" s="42">
        <f t="shared" si="104"/>
        <v>7193931.8900000006</v>
      </c>
    </row>
    <row r="681" spans="1:8" s="18" customFormat="1" ht="12" customHeight="1" x14ac:dyDescent="0.2">
      <c r="A681" s="183"/>
      <c r="B681" s="34"/>
      <c r="C681" s="50">
        <v>3110</v>
      </c>
      <c r="D681" s="44" t="s">
        <v>169</v>
      </c>
      <c r="E681" s="45">
        <v>4729527.4400000004</v>
      </c>
      <c r="F681" s="45">
        <v>2328842.4500000002</v>
      </c>
      <c r="G681" s="45"/>
      <c r="H681" s="116">
        <f t="shared" si="104"/>
        <v>7058369.8900000006</v>
      </c>
    </row>
    <row r="682" spans="1:8" s="18" customFormat="1" ht="12" customHeight="1" x14ac:dyDescent="0.2">
      <c r="A682" s="183"/>
      <c r="B682" s="34"/>
      <c r="C682" s="50">
        <v>4010</v>
      </c>
      <c r="D682" s="44" t="s">
        <v>90</v>
      </c>
      <c r="E682" s="45">
        <v>15832</v>
      </c>
      <c r="F682" s="46">
        <v>38843</v>
      </c>
      <c r="G682" s="46"/>
      <c r="H682" s="116">
        <f t="shared" si="104"/>
        <v>54675</v>
      </c>
    </row>
    <row r="683" spans="1:8" s="18" customFormat="1" ht="12" customHeight="1" x14ac:dyDescent="0.2">
      <c r="A683" s="183"/>
      <c r="B683" s="34"/>
      <c r="C683" s="50">
        <v>4110</v>
      </c>
      <c r="D683" s="44" t="s">
        <v>91</v>
      </c>
      <c r="E683" s="45">
        <v>11430</v>
      </c>
      <c r="F683" s="46">
        <v>6782</v>
      </c>
      <c r="G683" s="46"/>
      <c r="H683" s="116">
        <f t="shared" si="104"/>
        <v>18212</v>
      </c>
    </row>
    <row r="684" spans="1:8" s="18" customFormat="1" ht="12" customHeight="1" x14ac:dyDescent="0.2">
      <c r="A684" s="183"/>
      <c r="B684" s="34"/>
      <c r="C684" s="50">
        <v>4120</v>
      </c>
      <c r="D684" s="44" t="s">
        <v>126</v>
      </c>
      <c r="E684" s="45">
        <v>833</v>
      </c>
      <c r="F684" s="46">
        <v>951</v>
      </c>
      <c r="G684" s="46"/>
      <c r="H684" s="116">
        <f t="shared" si="104"/>
        <v>1784</v>
      </c>
    </row>
    <row r="685" spans="1:8" s="18" customFormat="1" ht="12" customHeight="1" thickBot="1" x14ac:dyDescent="0.25">
      <c r="A685" s="34">
        <v>855</v>
      </c>
      <c r="B685" s="34"/>
      <c r="C685" s="35"/>
      <c r="D685" s="36" t="s">
        <v>61</v>
      </c>
      <c r="E685" s="37">
        <v>75226536</v>
      </c>
      <c r="F685" s="32">
        <f>SUM(F686)</f>
        <v>1280</v>
      </c>
      <c r="G685" s="32">
        <f>SUM(G686)</f>
        <v>0</v>
      </c>
      <c r="H685" s="32">
        <f t="shared" si="104"/>
        <v>75227816</v>
      </c>
    </row>
    <row r="686" spans="1:8" s="18" customFormat="1" ht="12" customHeight="1" thickTop="1" x14ac:dyDescent="0.2">
      <c r="A686" s="34"/>
      <c r="B686" s="50">
        <v>85503</v>
      </c>
      <c r="C686" s="38"/>
      <c r="D686" s="48" t="s">
        <v>401</v>
      </c>
      <c r="E686" s="51">
        <v>2900</v>
      </c>
      <c r="F686" s="40">
        <f t="shared" ref="F686:G686" si="108">SUM(F687)</f>
        <v>1280</v>
      </c>
      <c r="G686" s="40">
        <f t="shared" si="108"/>
        <v>0</v>
      </c>
      <c r="H686" s="39">
        <f t="shared" si="104"/>
        <v>4180</v>
      </c>
    </row>
    <row r="687" spans="1:8" s="18" customFormat="1" ht="12" customHeight="1" x14ac:dyDescent="0.2">
      <c r="A687" s="34"/>
      <c r="B687" s="38"/>
      <c r="C687" s="28"/>
      <c r="D687" s="185" t="s">
        <v>184</v>
      </c>
      <c r="E687" s="179">
        <v>2900</v>
      </c>
      <c r="F687" s="167">
        <f>SUM(F688:F689)</f>
        <v>1280</v>
      </c>
      <c r="G687" s="167">
        <f>SUM(G688:G689)</f>
        <v>0</v>
      </c>
      <c r="H687" s="42">
        <f t="shared" si="104"/>
        <v>4180</v>
      </c>
    </row>
    <row r="688" spans="1:8" s="18" customFormat="1" ht="12" customHeight="1" x14ac:dyDescent="0.2">
      <c r="A688" s="34"/>
      <c r="B688" s="34"/>
      <c r="C688" s="49">
        <v>4210</v>
      </c>
      <c r="D688" s="148" t="s">
        <v>89</v>
      </c>
      <c r="E688" s="45">
        <v>1000</v>
      </c>
      <c r="F688" s="46">
        <v>780</v>
      </c>
      <c r="G688" s="46"/>
      <c r="H688" s="116">
        <f t="shared" si="104"/>
        <v>1780</v>
      </c>
    </row>
    <row r="689" spans="1:8" s="18" customFormat="1" ht="12" customHeight="1" x14ac:dyDescent="0.2">
      <c r="A689" s="34"/>
      <c r="B689" s="34"/>
      <c r="C689" s="49">
        <v>4300</v>
      </c>
      <c r="D689" s="135" t="s">
        <v>190</v>
      </c>
      <c r="E689" s="45">
        <v>0</v>
      </c>
      <c r="F689" s="46">
        <v>500</v>
      </c>
      <c r="G689" s="46"/>
      <c r="H689" s="116">
        <f t="shared" si="104"/>
        <v>500</v>
      </c>
    </row>
    <row r="690" spans="1:8" s="18" customFormat="1" ht="18" customHeight="1" thickBot="1" x14ac:dyDescent="0.25">
      <c r="A690" s="183"/>
      <c r="B690" s="38"/>
      <c r="C690" s="50"/>
      <c r="D690" s="31" t="s">
        <v>188</v>
      </c>
      <c r="E690" s="32">
        <v>20359321.52</v>
      </c>
      <c r="F690" s="32">
        <f>SUM(F691,F700,F713,F720,F733,F741)</f>
        <v>396393.78</v>
      </c>
      <c r="G690" s="32">
        <f>SUM(G691,G700,G713,G720,G733,G741)</f>
        <v>224573</v>
      </c>
      <c r="H690" s="32">
        <f>SUM(E690+F690-G690)</f>
        <v>20531142.300000001</v>
      </c>
    </row>
    <row r="691" spans="1:8" s="18" customFormat="1" ht="18.75" customHeight="1" thickTop="1" thickBot="1" x14ac:dyDescent="0.25">
      <c r="A691" s="34">
        <v>700</v>
      </c>
      <c r="B691" s="34"/>
      <c r="C691" s="35"/>
      <c r="D691" s="36" t="s">
        <v>63</v>
      </c>
      <c r="E691" s="32">
        <v>422355.8</v>
      </c>
      <c r="F691" s="37">
        <f t="shared" ref="F691:G691" si="109">SUM(F692)</f>
        <v>11300</v>
      </c>
      <c r="G691" s="37">
        <f t="shared" si="109"/>
        <v>0</v>
      </c>
      <c r="H691" s="32">
        <f t="shared" ref="H691:H692" si="110">SUM(E691+F691-G691)</f>
        <v>433655.8</v>
      </c>
    </row>
    <row r="692" spans="1:8" s="18" customFormat="1" ht="12" customHeight="1" thickTop="1" x14ac:dyDescent="0.2">
      <c r="A692" s="34"/>
      <c r="B692" s="38">
        <v>70005</v>
      </c>
      <c r="C692" s="28"/>
      <c r="D692" s="48" t="s">
        <v>64</v>
      </c>
      <c r="E692" s="39">
        <v>422355.8</v>
      </c>
      <c r="F692" s="40">
        <f>SUM(F693,F696)</f>
        <v>11300</v>
      </c>
      <c r="G692" s="40">
        <f>SUM(G693,G696)</f>
        <v>0</v>
      </c>
      <c r="H692" s="39">
        <f t="shared" si="110"/>
        <v>433655.8</v>
      </c>
    </row>
    <row r="693" spans="1:8" s="18" customFormat="1" ht="12" customHeight="1" x14ac:dyDescent="0.2">
      <c r="A693" s="34"/>
      <c r="B693" s="38"/>
      <c r="C693" s="28"/>
      <c r="D693" s="176" t="s">
        <v>189</v>
      </c>
      <c r="E693" s="42">
        <v>268355.8</v>
      </c>
      <c r="F693" s="108">
        <f>SUM(F694:F695)</f>
        <v>3500</v>
      </c>
      <c r="G693" s="108">
        <f>SUM(G694:G695)</f>
        <v>0</v>
      </c>
      <c r="H693" s="43">
        <f>SUM(E693+F693-G693)</f>
        <v>271855.8</v>
      </c>
    </row>
    <row r="694" spans="1:8" s="18" customFormat="1" ht="12" customHeight="1" x14ac:dyDescent="0.2">
      <c r="A694" s="34"/>
      <c r="B694" s="38"/>
      <c r="C694" s="49">
        <v>4300</v>
      </c>
      <c r="D694" s="135" t="s">
        <v>190</v>
      </c>
      <c r="E694" s="46">
        <v>22532</v>
      </c>
      <c r="F694" s="45">
        <v>2794</v>
      </c>
      <c r="G694" s="45"/>
      <c r="H694" s="116">
        <f t="shared" ref="H694:H749" si="111">SUM(E694+F694-G694)</f>
        <v>25326</v>
      </c>
    </row>
    <row r="695" spans="1:8" s="18" customFormat="1" ht="12" customHeight="1" x14ac:dyDescent="0.2">
      <c r="A695" s="187"/>
      <c r="B695" s="188"/>
      <c r="C695" s="130">
        <v>4480</v>
      </c>
      <c r="D695" s="403" t="s">
        <v>459</v>
      </c>
      <c r="E695" s="46">
        <v>211115</v>
      </c>
      <c r="F695" s="45">
        <v>706</v>
      </c>
      <c r="G695" s="45"/>
      <c r="H695" s="116">
        <f t="shared" si="111"/>
        <v>211821</v>
      </c>
    </row>
    <row r="696" spans="1:8" s="18" customFormat="1" ht="12" customHeight="1" x14ac:dyDescent="0.2">
      <c r="A696" s="187"/>
      <c r="B696" s="188"/>
      <c r="C696" s="28"/>
      <c r="D696" s="107" t="s">
        <v>364</v>
      </c>
      <c r="E696" s="43">
        <v>154000</v>
      </c>
      <c r="F696" s="167">
        <f>SUM(F697:F699)</f>
        <v>7800</v>
      </c>
      <c r="G696" s="167">
        <f>SUM(G697:G699)</f>
        <v>0</v>
      </c>
      <c r="H696" s="42">
        <f t="shared" si="111"/>
        <v>161800</v>
      </c>
    </row>
    <row r="697" spans="1:8" s="18" customFormat="1" ht="12" customHeight="1" x14ac:dyDescent="0.2">
      <c r="A697" s="187"/>
      <c r="B697" s="188"/>
      <c r="C697" s="50">
        <v>4010</v>
      </c>
      <c r="D697" s="44" t="s">
        <v>90</v>
      </c>
      <c r="E697" s="45">
        <v>118299</v>
      </c>
      <c r="F697" s="45">
        <v>6809</v>
      </c>
      <c r="G697" s="184"/>
      <c r="H697" s="116">
        <f t="shared" si="111"/>
        <v>125108</v>
      </c>
    </row>
    <row r="698" spans="1:8" s="18" customFormat="1" ht="12" customHeight="1" x14ac:dyDescent="0.2">
      <c r="A698" s="187"/>
      <c r="B698" s="188"/>
      <c r="C698" s="50">
        <v>4110</v>
      </c>
      <c r="D698" s="44" t="s">
        <v>91</v>
      </c>
      <c r="E698" s="45">
        <v>22221</v>
      </c>
      <c r="F698" s="45">
        <v>868</v>
      </c>
      <c r="G698" s="184"/>
      <c r="H698" s="116">
        <f t="shared" si="111"/>
        <v>23089</v>
      </c>
    </row>
    <row r="699" spans="1:8" s="18" customFormat="1" ht="12" customHeight="1" x14ac:dyDescent="0.2">
      <c r="A699" s="187"/>
      <c r="B699" s="188"/>
      <c r="C699" s="50">
        <v>4120</v>
      </c>
      <c r="D699" s="44" t="s">
        <v>126</v>
      </c>
      <c r="E699" s="45">
        <v>3167</v>
      </c>
      <c r="F699" s="45">
        <v>123</v>
      </c>
      <c r="G699" s="184"/>
      <c r="H699" s="116">
        <f t="shared" si="111"/>
        <v>3290</v>
      </c>
    </row>
    <row r="700" spans="1:8" s="18" customFormat="1" ht="12" customHeight="1" thickBot="1" x14ac:dyDescent="0.25">
      <c r="A700" s="35" t="s">
        <v>402</v>
      </c>
      <c r="B700" s="34"/>
      <c r="C700" s="35"/>
      <c r="D700" s="36" t="s">
        <v>403</v>
      </c>
      <c r="E700" s="32">
        <v>1018300</v>
      </c>
      <c r="F700" s="32">
        <f>SUM(F701,F708)</f>
        <v>16377</v>
      </c>
      <c r="G700" s="32">
        <f>SUM(G701,G708)</f>
        <v>2000</v>
      </c>
      <c r="H700" s="32">
        <f t="shared" si="111"/>
        <v>1032677</v>
      </c>
    </row>
    <row r="701" spans="1:8" s="18" customFormat="1" ht="12" customHeight="1" thickTop="1" x14ac:dyDescent="0.2">
      <c r="A701" s="35"/>
      <c r="B701" s="38">
        <v>71012</v>
      </c>
      <c r="C701" s="50"/>
      <c r="D701" s="48" t="s">
        <v>404</v>
      </c>
      <c r="E701" s="51">
        <v>335200</v>
      </c>
      <c r="F701" s="40">
        <f>SUM(F702,F704)</f>
        <v>6377</v>
      </c>
      <c r="G701" s="40">
        <f>SUM(G702,G704)</f>
        <v>2000</v>
      </c>
      <c r="H701" s="39">
        <f t="shared" si="111"/>
        <v>339577</v>
      </c>
    </row>
    <row r="702" spans="1:8" s="18" customFormat="1" ht="12" customHeight="1" x14ac:dyDescent="0.2">
      <c r="A702" s="35"/>
      <c r="B702" s="38"/>
      <c r="C702" s="28"/>
      <c r="D702" s="176" t="s">
        <v>189</v>
      </c>
      <c r="E702" s="42">
        <v>10000</v>
      </c>
      <c r="F702" s="108">
        <f>SUM(F703)</f>
        <v>0</v>
      </c>
      <c r="G702" s="108">
        <f>SUM(G703)</f>
        <v>2000</v>
      </c>
      <c r="H702" s="43">
        <f>SUM(E702+F702-G702)</f>
        <v>8000</v>
      </c>
    </row>
    <row r="703" spans="1:8" s="18" customFormat="1" ht="12" customHeight="1" x14ac:dyDescent="0.2">
      <c r="A703" s="35"/>
      <c r="B703" s="38"/>
      <c r="C703" s="49">
        <v>4300</v>
      </c>
      <c r="D703" s="135" t="s">
        <v>190</v>
      </c>
      <c r="E703" s="46">
        <v>10000</v>
      </c>
      <c r="F703" s="45"/>
      <c r="G703" s="45">
        <v>2000</v>
      </c>
      <c r="H703" s="116">
        <f t="shared" ref="H703:H718" si="112">SUM(E703+F703-G703)</f>
        <v>8000</v>
      </c>
    </row>
    <row r="704" spans="1:8" s="18" customFormat="1" ht="12" customHeight="1" x14ac:dyDescent="0.2">
      <c r="A704" s="22"/>
      <c r="B704" s="34"/>
      <c r="C704" s="28"/>
      <c r="D704" s="107" t="s">
        <v>364</v>
      </c>
      <c r="E704" s="43">
        <v>267700</v>
      </c>
      <c r="F704" s="167">
        <f>SUM(F705:F707)</f>
        <v>6377</v>
      </c>
      <c r="G704" s="167">
        <f>SUM(G705:G707)</f>
        <v>0</v>
      </c>
      <c r="H704" s="42">
        <f t="shared" si="112"/>
        <v>274077</v>
      </c>
    </row>
    <row r="705" spans="1:8" s="18" customFormat="1" ht="12" customHeight="1" x14ac:dyDescent="0.2">
      <c r="A705" s="33"/>
      <c r="B705" s="38"/>
      <c r="C705" s="50">
        <v>4010</v>
      </c>
      <c r="D705" s="44" t="s">
        <v>90</v>
      </c>
      <c r="E705" s="45">
        <v>203689</v>
      </c>
      <c r="F705" s="45">
        <v>5711</v>
      </c>
      <c r="G705" s="184"/>
      <c r="H705" s="116">
        <f t="shared" si="112"/>
        <v>209400</v>
      </c>
    </row>
    <row r="706" spans="1:8" s="18" customFormat="1" ht="12" customHeight="1" x14ac:dyDescent="0.2">
      <c r="A706" s="187"/>
      <c r="B706" s="188"/>
      <c r="C706" s="50">
        <v>4110</v>
      </c>
      <c r="D706" s="44" t="s">
        <v>91</v>
      </c>
      <c r="E706" s="45">
        <v>38807</v>
      </c>
      <c r="F706" s="45">
        <v>583</v>
      </c>
      <c r="G706" s="184"/>
      <c r="H706" s="116">
        <f t="shared" si="112"/>
        <v>39390</v>
      </c>
    </row>
    <row r="707" spans="1:8" s="18" customFormat="1" ht="12" customHeight="1" x14ac:dyDescent="0.2">
      <c r="A707" s="187"/>
      <c r="B707" s="188"/>
      <c r="C707" s="50">
        <v>4120</v>
      </c>
      <c r="D707" s="44" t="s">
        <v>126</v>
      </c>
      <c r="E707" s="45">
        <v>5531</v>
      </c>
      <c r="F707" s="45">
        <v>83</v>
      </c>
      <c r="G707" s="184"/>
      <c r="H707" s="116">
        <f t="shared" si="112"/>
        <v>5614</v>
      </c>
    </row>
    <row r="708" spans="1:8" s="18" customFormat="1" ht="12" customHeight="1" x14ac:dyDescent="0.2">
      <c r="A708" s="33"/>
      <c r="B708" s="38">
        <v>71015</v>
      </c>
      <c r="C708" s="50"/>
      <c r="D708" s="48" t="s">
        <v>405</v>
      </c>
      <c r="E708" s="51">
        <v>683100</v>
      </c>
      <c r="F708" s="40">
        <f>SUM(F710)</f>
        <v>10000</v>
      </c>
      <c r="G708" s="40">
        <f>SUM(G710)</f>
        <v>0</v>
      </c>
      <c r="H708" s="39">
        <f t="shared" si="112"/>
        <v>693100</v>
      </c>
    </row>
    <row r="709" spans="1:8" s="18" customFormat="1" ht="12" customHeight="1" x14ac:dyDescent="0.2">
      <c r="A709" s="33"/>
      <c r="B709" s="38"/>
      <c r="C709" s="50"/>
      <c r="D709" s="175" t="s">
        <v>460</v>
      </c>
      <c r="E709" s="46"/>
      <c r="F709" s="116"/>
      <c r="G709" s="116"/>
      <c r="H709" s="47"/>
    </row>
    <row r="710" spans="1:8" s="18" customFormat="1" ht="12" customHeight="1" x14ac:dyDescent="0.2">
      <c r="A710" s="33"/>
      <c r="B710" s="38"/>
      <c r="C710" s="28"/>
      <c r="D710" s="10" t="s">
        <v>461</v>
      </c>
      <c r="E710" s="43">
        <v>683100</v>
      </c>
      <c r="F710" s="167">
        <f>SUM(F711:F712)</f>
        <v>10000</v>
      </c>
      <c r="G710" s="167">
        <f>SUM(G711:G712)</f>
        <v>0</v>
      </c>
      <c r="H710" s="42">
        <f t="shared" si="112"/>
        <v>693100</v>
      </c>
    </row>
    <row r="711" spans="1:8" s="18" customFormat="1" ht="12" customHeight="1" x14ac:dyDescent="0.2">
      <c r="A711" s="180"/>
      <c r="B711" s="38"/>
      <c r="C711" s="152" t="s">
        <v>22</v>
      </c>
      <c r="D711" s="148" t="s">
        <v>89</v>
      </c>
      <c r="E711" s="46">
        <v>13079</v>
      </c>
      <c r="F711" s="46">
        <v>5000</v>
      </c>
      <c r="G711" s="46"/>
      <c r="H711" s="116">
        <f t="shared" si="112"/>
        <v>18079</v>
      </c>
    </row>
    <row r="712" spans="1:8" s="18" customFormat="1" ht="12" customHeight="1" x14ac:dyDescent="0.2">
      <c r="A712" s="180"/>
      <c r="B712" s="38"/>
      <c r="C712" s="50">
        <v>4300</v>
      </c>
      <c r="D712" s="44" t="s">
        <v>70</v>
      </c>
      <c r="E712" s="46">
        <v>26400</v>
      </c>
      <c r="F712" s="46">
        <v>5000</v>
      </c>
      <c r="G712" s="46"/>
      <c r="H712" s="116">
        <f t="shared" si="112"/>
        <v>31400</v>
      </c>
    </row>
    <row r="713" spans="1:8" s="18" customFormat="1" ht="12" customHeight="1" thickBot="1" x14ac:dyDescent="0.25">
      <c r="A713" s="34">
        <v>750</v>
      </c>
      <c r="B713" s="34"/>
      <c r="C713" s="35"/>
      <c r="D713" s="36" t="s">
        <v>41</v>
      </c>
      <c r="E713" s="32">
        <v>139155</v>
      </c>
      <c r="F713" s="32">
        <f>SUM(F714)</f>
        <v>3936</v>
      </c>
      <c r="G713" s="32">
        <f>SUM(G714)</f>
        <v>0</v>
      </c>
      <c r="H713" s="32">
        <f t="shared" si="112"/>
        <v>143091</v>
      </c>
    </row>
    <row r="714" spans="1:8" s="18" customFormat="1" ht="12" customHeight="1" thickTop="1" x14ac:dyDescent="0.2">
      <c r="A714" s="34"/>
      <c r="B714" s="50">
        <v>75011</v>
      </c>
      <c r="C714" s="118"/>
      <c r="D714" s="397" t="s">
        <v>393</v>
      </c>
      <c r="E714" s="51">
        <v>111000</v>
      </c>
      <c r="F714" s="40">
        <f>SUM(F715)</f>
        <v>3936</v>
      </c>
      <c r="G714" s="40">
        <f>SUM(G715)</f>
        <v>0</v>
      </c>
      <c r="H714" s="39">
        <f t="shared" si="112"/>
        <v>114936</v>
      </c>
    </row>
    <row r="715" spans="1:8" s="18" customFormat="1" ht="12" customHeight="1" x14ac:dyDescent="0.2">
      <c r="A715" s="34"/>
      <c r="B715" s="50"/>
      <c r="C715" s="28"/>
      <c r="D715" s="107" t="s">
        <v>364</v>
      </c>
      <c r="E715" s="179">
        <v>111000</v>
      </c>
      <c r="F715" s="167">
        <f>SUM(F716:F718)</f>
        <v>3936</v>
      </c>
      <c r="G715" s="167">
        <f>SUM(G716:G718)</f>
        <v>0</v>
      </c>
      <c r="H715" s="42">
        <f t="shared" si="112"/>
        <v>114936</v>
      </c>
    </row>
    <row r="716" spans="1:8" s="18" customFormat="1" ht="12" customHeight="1" x14ac:dyDescent="0.2">
      <c r="A716" s="34"/>
      <c r="B716" s="50"/>
      <c r="C716" s="50">
        <v>4010</v>
      </c>
      <c r="D716" s="44" t="s">
        <v>90</v>
      </c>
      <c r="E716" s="45">
        <v>85687</v>
      </c>
      <c r="F716" s="45">
        <v>3469</v>
      </c>
      <c r="G716" s="184"/>
      <c r="H716" s="116">
        <f t="shared" si="112"/>
        <v>89156</v>
      </c>
    </row>
    <row r="717" spans="1:8" s="18" customFormat="1" ht="12" customHeight="1" x14ac:dyDescent="0.2">
      <c r="A717" s="34"/>
      <c r="B717" s="50"/>
      <c r="C717" s="50">
        <v>4110</v>
      </c>
      <c r="D717" s="44" t="s">
        <v>91</v>
      </c>
      <c r="E717" s="45">
        <v>15989</v>
      </c>
      <c r="F717" s="45">
        <v>408</v>
      </c>
      <c r="G717" s="184"/>
      <c r="H717" s="116">
        <f t="shared" si="112"/>
        <v>16397</v>
      </c>
    </row>
    <row r="718" spans="1:8" s="18" customFormat="1" ht="12" customHeight="1" x14ac:dyDescent="0.2">
      <c r="A718" s="34"/>
      <c r="B718" s="50"/>
      <c r="C718" s="50">
        <v>4120</v>
      </c>
      <c r="D718" s="44" t="s">
        <v>126</v>
      </c>
      <c r="E718" s="45">
        <v>2278</v>
      </c>
      <c r="F718" s="45">
        <v>59</v>
      </c>
      <c r="G718" s="184"/>
      <c r="H718" s="116">
        <f t="shared" si="112"/>
        <v>2337</v>
      </c>
    </row>
    <row r="719" spans="1:8" s="18" customFormat="1" ht="12" customHeight="1" x14ac:dyDescent="0.2">
      <c r="A719" s="33">
        <v>754</v>
      </c>
      <c r="B719" s="34"/>
      <c r="C719" s="35"/>
      <c r="D719" s="34" t="s">
        <v>93</v>
      </c>
      <c r="E719" s="45"/>
      <c r="F719" s="46"/>
      <c r="G719" s="46"/>
      <c r="H719" s="46"/>
    </row>
    <row r="720" spans="1:8" s="18" customFormat="1" ht="12" customHeight="1" thickBot="1" x14ac:dyDescent="0.25">
      <c r="A720" s="432"/>
      <c r="B720" s="34"/>
      <c r="C720" s="35"/>
      <c r="D720" s="34" t="s">
        <v>43</v>
      </c>
      <c r="E720" s="37">
        <v>16951307</v>
      </c>
      <c r="F720" s="32">
        <f>SUM(F721)</f>
        <v>342973</v>
      </c>
      <c r="G720" s="32">
        <f>SUM(G721)</f>
        <v>222573</v>
      </c>
      <c r="H720" s="32">
        <f>SUM(E720+F720-G720)</f>
        <v>17071707</v>
      </c>
    </row>
    <row r="721" spans="1:8" s="18" customFormat="1" ht="12" customHeight="1" thickTop="1" x14ac:dyDescent="0.2">
      <c r="A721" s="432"/>
      <c r="B721" s="38">
        <v>75411</v>
      </c>
      <c r="C721" s="50"/>
      <c r="D721" s="146" t="s">
        <v>462</v>
      </c>
      <c r="E721" s="40">
        <v>16951307</v>
      </c>
      <c r="F721" s="40">
        <f>SUM(F722)</f>
        <v>342973</v>
      </c>
      <c r="G721" s="40">
        <f>SUM(G722)</f>
        <v>222573</v>
      </c>
      <c r="H721" s="39">
        <f>SUM(E721+F721-G721)</f>
        <v>17071707</v>
      </c>
    </row>
    <row r="722" spans="1:8" s="18" customFormat="1" ht="12" customHeight="1" x14ac:dyDescent="0.2">
      <c r="A722" s="33"/>
      <c r="B722" s="38"/>
      <c r="C722" s="50"/>
      <c r="D722" s="149" t="s">
        <v>463</v>
      </c>
      <c r="E722" s="167">
        <v>16951307</v>
      </c>
      <c r="F722" s="167">
        <f>SUM(F723:F732)</f>
        <v>342973</v>
      </c>
      <c r="G722" s="167">
        <f>SUM(G723:G732)</f>
        <v>222573</v>
      </c>
      <c r="H722" s="42">
        <f>SUM(E722+F722-G722)</f>
        <v>17071707</v>
      </c>
    </row>
    <row r="723" spans="1:8" s="18" customFormat="1" ht="12" customHeight="1" x14ac:dyDescent="0.2">
      <c r="A723" s="180"/>
      <c r="B723" s="135"/>
      <c r="C723" s="50">
        <v>4010</v>
      </c>
      <c r="D723" s="44" t="s">
        <v>90</v>
      </c>
      <c r="E723" s="116">
        <v>99189</v>
      </c>
      <c r="F723" s="116">
        <v>2400</v>
      </c>
      <c r="G723" s="116"/>
      <c r="H723" s="116">
        <f t="shared" ref="H723:H732" si="113">SUM(E723+F723-G723)</f>
        <v>101589</v>
      </c>
    </row>
    <row r="724" spans="1:8" s="18" customFormat="1" ht="12" customHeight="1" x14ac:dyDescent="0.2">
      <c r="A724" s="180"/>
      <c r="B724" s="135"/>
      <c r="C724" s="130">
        <v>4020</v>
      </c>
      <c r="D724" s="392" t="s">
        <v>464</v>
      </c>
      <c r="E724" s="116">
        <v>99900</v>
      </c>
      <c r="F724" s="116">
        <v>1350</v>
      </c>
      <c r="G724" s="116"/>
      <c r="H724" s="116">
        <f t="shared" si="113"/>
        <v>101250</v>
      </c>
    </row>
    <row r="725" spans="1:8" s="18" customFormat="1" ht="12" customHeight="1" x14ac:dyDescent="0.2">
      <c r="A725" s="180"/>
      <c r="B725" s="135"/>
      <c r="C725" s="130">
        <v>4050</v>
      </c>
      <c r="D725" s="433" t="s">
        <v>465</v>
      </c>
      <c r="E725" s="116">
        <v>10950438</v>
      </c>
      <c r="F725" s="116"/>
      <c r="G725" s="116">
        <v>147546</v>
      </c>
      <c r="H725" s="116">
        <f t="shared" si="113"/>
        <v>10802892</v>
      </c>
    </row>
    <row r="726" spans="1:8" s="18" customFormat="1" ht="22.5" customHeight="1" x14ac:dyDescent="0.2">
      <c r="A726" s="180"/>
      <c r="B726" s="135"/>
      <c r="C726" s="130">
        <v>4060</v>
      </c>
      <c r="D726" s="434" t="s">
        <v>466</v>
      </c>
      <c r="E726" s="116">
        <v>361992</v>
      </c>
      <c r="F726" s="116">
        <f>30650+182573</f>
        <v>213223</v>
      </c>
      <c r="G726" s="116"/>
      <c r="H726" s="116">
        <f t="shared" si="113"/>
        <v>575215</v>
      </c>
    </row>
    <row r="727" spans="1:8" s="18" customFormat="1" ht="21" customHeight="1" x14ac:dyDescent="0.2">
      <c r="A727" s="435"/>
      <c r="B727" s="136"/>
      <c r="C727" s="436">
        <v>4070</v>
      </c>
      <c r="D727" s="437" t="s">
        <v>467</v>
      </c>
      <c r="E727" s="40">
        <v>819850</v>
      </c>
      <c r="F727" s="40"/>
      <c r="G727" s="40">
        <v>35027</v>
      </c>
      <c r="H727" s="40">
        <f t="shared" si="113"/>
        <v>784823</v>
      </c>
    </row>
    <row r="728" spans="1:8" s="18" customFormat="1" ht="12" customHeight="1" x14ac:dyDescent="0.2">
      <c r="A728" s="180"/>
      <c r="B728" s="135"/>
      <c r="C728" s="50">
        <v>4110</v>
      </c>
      <c r="D728" s="44" t="s">
        <v>91</v>
      </c>
      <c r="E728" s="116">
        <v>32920</v>
      </c>
      <c r="F728" s="116">
        <v>2000</v>
      </c>
      <c r="G728" s="116"/>
      <c r="H728" s="116">
        <f t="shared" si="113"/>
        <v>34920</v>
      </c>
    </row>
    <row r="729" spans="1:8" s="18" customFormat="1" ht="12" customHeight="1" x14ac:dyDescent="0.2">
      <c r="A729" s="180"/>
      <c r="B729" s="135"/>
      <c r="C729" s="152" t="s">
        <v>22</v>
      </c>
      <c r="D729" s="148" t="s">
        <v>89</v>
      </c>
      <c r="E729" s="116">
        <v>343323</v>
      </c>
      <c r="F729" s="116">
        <v>15000</v>
      </c>
      <c r="G729" s="116"/>
      <c r="H729" s="116">
        <f t="shared" si="113"/>
        <v>358323</v>
      </c>
    </row>
    <row r="730" spans="1:8" s="18" customFormat="1" ht="12" customHeight="1" x14ac:dyDescent="0.2">
      <c r="A730" s="180"/>
      <c r="B730" s="135"/>
      <c r="C730" s="50">
        <v>4260</v>
      </c>
      <c r="D730" s="44" t="s">
        <v>68</v>
      </c>
      <c r="E730" s="116">
        <v>215500</v>
      </c>
      <c r="F730" s="116">
        <v>86000</v>
      </c>
      <c r="G730" s="116">
        <v>40000</v>
      </c>
      <c r="H730" s="116">
        <f t="shared" si="113"/>
        <v>261500</v>
      </c>
    </row>
    <row r="731" spans="1:8" s="18" customFormat="1" ht="12" customHeight="1" x14ac:dyDescent="0.2">
      <c r="A731" s="180"/>
      <c r="B731" s="135"/>
      <c r="C731" s="50">
        <v>4280</v>
      </c>
      <c r="D731" s="44" t="s">
        <v>77</v>
      </c>
      <c r="E731" s="116">
        <v>45000</v>
      </c>
      <c r="F731" s="116">
        <v>8000</v>
      </c>
      <c r="G731" s="116"/>
      <c r="H731" s="116">
        <f t="shared" si="113"/>
        <v>53000</v>
      </c>
    </row>
    <row r="732" spans="1:8" s="18" customFormat="1" ht="12" customHeight="1" x14ac:dyDescent="0.2">
      <c r="A732" s="180"/>
      <c r="B732" s="135"/>
      <c r="C732" s="50">
        <v>4300</v>
      </c>
      <c r="D732" s="44" t="s">
        <v>70</v>
      </c>
      <c r="E732" s="116">
        <v>136227</v>
      </c>
      <c r="F732" s="116">
        <v>15000</v>
      </c>
      <c r="G732" s="116"/>
      <c r="H732" s="116">
        <f t="shared" si="113"/>
        <v>151227</v>
      </c>
    </row>
    <row r="733" spans="1:8" s="18" customFormat="1" ht="12" customHeight="1" thickBot="1" x14ac:dyDescent="0.25">
      <c r="A733" s="33">
        <v>801</v>
      </c>
      <c r="B733" s="34"/>
      <c r="C733" s="35"/>
      <c r="D733" s="36" t="s">
        <v>100</v>
      </c>
      <c r="E733" s="32">
        <v>30408.720000000001</v>
      </c>
      <c r="F733" s="32">
        <f>SUM(F736)</f>
        <v>1807.78</v>
      </c>
      <c r="G733" s="32">
        <f>SUM(G736)</f>
        <v>0</v>
      </c>
      <c r="H733" s="32">
        <f>SUM(E733+F733-G733)</f>
        <v>32216.5</v>
      </c>
    </row>
    <row r="734" spans="1:8" s="18" customFormat="1" ht="12" customHeight="1" thickTop="1" x14ac:dyDescent="0.2">
      <c r="A734" s="33"/>
      <c r="B734" s="38">
        <v>80153</v>
      </c>
      <c r="C734" s="35"/>
      <c r="D734" s="148" t="s">
        <v>398</v>
      </c>
      <c r="E734" s="111"/>
      <c r="F734" s="111"/>
      <c r="G734" s="111"/>
      <c r="H734" s="111"/>
    </row>
    <row r="735" spans="1:8" s="18" customFormat="1" ht="12" customHeight="1" x14ac:dyDescent="0.2">
      <c r="A735" s="33"/>
      <c r="B735" s="34"/>
      <c r="C735" s="35"/>
      <c r="D735" s="148" t="s">
        <v>399</v>
      </c>
      <c r="E735" s="111"/>
      <c r="F735" s="111"/>
      <c r="G735" s="111"/>
      <c r="H735" s="111"/>
    </row>
    <row r="736" spans="1:8" s="18" customFormat="1" ht="12" customHeight="1" x14ac:dyDescent="0.2">
      <c r="A736" s="34"/>
      <c r="B736" s="38"/>
      <c r="C736" s="28"/>
      <c r="D736" s="48" t="s">
        <v>400</v>
      </c>
      <c r="E736" s="39">
        <v>30408.720000000001</v>
      </c>
      <c r="F736" s="39">
        <f>SUM(F737,F739)</f>
        <v>1807.78</v>
      </c>
      <c r="G736" s="39">
        <f>SUM(G737,G739)</f>
        <v>0</v>
      </c>
      <c r="H736" s="39">
        <f>SUM(E736+F736-G736)</f>
        <v>32216.5</v>
      </c>
    </row>
    <row r="737" spans="1:8" s="18" customFormat="1" ht="12" customHeight="1" x14ac:dyDescent="0.2">
      <c r="A737" s="137"/>
      <c r="B737" s="38"/>
      <c r="C737" s="28"/>
      <c r="D737" s="107" t="s">
        <v>105</v>
      </c>
      <c r="E737" s="43">
        <v>30107</v>
      </c>
      <c r="F737" s="108">
        <f>SUM(F738:F738)</f>
        <v>1789.54</v>
      </c>
      <c r="G737" s="108">
        <f>SUM(G738:G738)</f>
        <v>0</v>
      </c>
      <c r="H737" s="43">
        <f>SUM(E737+F737-G737)</f>
        <v>31896.54</v>
      </c>
    </row>
    <row r="738" spans="1:8" s="18" customFormat="1" ht="12" customHeight="1" x14ac:dyDescent="0.2">
      <c r="A738" s="33"/>
      <c r="B738" s="105"/>
      <c r="C738" s="50">
        <v>4240</v>
      </c>
      <c r="D738" s="44" t="s">
        <v>108</v>
      </c>
      <c r="E738" s="47">
        <v>30107</v>
      </c>
      <c r="F738" s="116">
        <v>1789.54</v>
      </c>
      <c r="G738" s="138"/>
      <c r="H738" s="47">
        <f>SUM(E738+F738-G738)</f>
        <v>31896.54</v>
      </c>
    </row>
    <row r="739" spans="1:8" s="18" customFormat="1" ht="12" customHeight="1" x14ac:dyDescent="0.2">
      <c r="A739" s="33"/>
      <c r="B739" s="105"/>
      <c r="C739" s="28"/>
      <c r="D739" s="10" t="s">
        <v>102</v>
      </c>
      <c r="E739" s="43">
        <v>301.72000000000003</v>
      </c>
      <c r="F739" s="108">
        <f>SUM(F740:F740)</f>
        <v>18.239999999999998</v>
      </c>
      <c r="G739" s="108">
        <f>SUM(G740:G740)</f>
        <v>0</v>
      </c>
      <c r="H739" s="43">
        <f>SUM(E739+F739-G739)</f>
        <v>319.96000000000004</v>
      </c>
    </row>
    <row r="740" spans="1:8" s="18" customFormat="1" ht="12" customHeight="1" x14ac:dyDescent="0.2">
      <c r="A740" s="33"/>
      <c r="B740" s="105"/>
      <c r="C740" s="49">
        <v>4210</v>
      </c>
      <c r="D740" s="148" t="s">
        <v>89</v>
      </c>
      <c r="E740" s="47">
        <v>301.72000000000003</v>
      </c>
      <c r="F740" s="116">
        <v>18.239999999999998</v>
      </c>
      <c r="G740" s="138"/>
      <c r="H740" s="47">
        <f>SUM(E740+F740-G740)</f>
        <v>319.96000000000004</v>
      </c>
    </row>
    <row r="741" spans="1:8" s="18" customFormat="1" ht="12" customHeight="1" thickBot="1" x14ac:dyDescent="0.25">
      <c r="A741" s="33">
        <v>853</v>
      </c>
      <c r="B741" s="34"/>
      <c r="C741" s="35"/>
      <c r="D741" s="36" t="s">
        <v>160</v>
      </c>
      <c r="E741" s="32">
        <v>486850</v>
      </c>
      <c r="F741" s="32">
        <f>SUM(F742)</f>
        <v>20000</v>
      </c>
      <c r="G741" s="32">
        <f>SUM(G742)</f>
        <v>0</v>
      </c>
      <c r="H741" s="32">
        <f t="shared" si="111"/>
        <v>506850</v>
      </c>
    </row>
    <row r="742" spans="1:8" s="18" customFormat="1" ht="12" customHeight="1" thickTop="1" x14ac:dyDescent="0.2">
      <c r="A742" s="33"/>
      <c r="B742" s="38">
        <v>85321</v>
      </c>
      <c r="C742" s="28"/>
      <c r="D742" s="48" t="s">
        <v>407</v>
      </c>
      <c r="E742" s="51">
        <v>477610</v>
      </c>
      <c r="F742" s="40">
        <f>SUM(F743,F747)</f>
        <v>20000</v>
      </c>
      <c r="G742" s="40">
        <f>SUM(G743,G747)</f>
        <v>0</v>
      </c>
      <c r="H742" s="39">
        <f t="shared" si="111"/>
        <v>497610</v>
      </c>
    </row>
    <row r="743" spans="1:8" s="18" customFormat="1" ht="12" customHeight="1" x14ac:dyDescent="0.2">
      <c r="A743" s="35"/>
      <c r="B743" s="38"/>
      <c r="C743" s="28"/>
      <c r="D743" s="10" t="s">
        <v>364</v>
      </c>
      <c r="E743" s="179">
        <v>264950</v>
      </c>
      <c r="F743" s="167">
        <f>SUM(F744:F746)</f>
        <v>6400</v>
      </c>
      <c r="G743" s="167">
        <f>SUM(G744:G746)</f>
        <v>0</v>
      </c>
      <c r="H743" s="42">
        <f t="shared" si="111"/>
        <v>271350</v>
      </c>
    </row>
    <row r="744" spans="1:8" s="18" customFormat="1" ht="12" customHeight="1" x14ac:dyDescent="0.2">
      <c r="A744" s="35"/>
      <c r="B744" s="34"/>
      <c r="C744" s="50">
        <v>4010</v>
      </c>
      <c r="D744" s="44" t="s">
        <v>90</v>
      </c>
      <c r="E744" s="45">
        <v>207909</v>
      </c>
      <c r="F744" s="45">
        <v>5350</v>
      </c>
      <c r="G744" s="45"/>
      <c r="H744" s="116">
        <f t="shared" si="111"/>
        <v>213259</v>
      </c>
    </row>
    <row r="745" spans="1:8" s="18" customFormat="1" ht="12" customHeight="1" x14ac:dyDescent="0.2">
      <c r="A745" s="35"/>
      <c r="B745" s="34"/>
      <c r="C745" s="50">
        <v>4110</v>
      </c>
      <c r="D745" s="44" t="s">
        <v>91</v>
      </c>
      <c r="E745" s="45">
        <v>37684</v>
      </c>
      <c r="F745" s="45">
        <v>920</v>
      </c>
      <c r="G745" s="45"/>
      <c r="H745" s="116">
        <f t="shared" si="111"/>
        <v>38604</v>
      </c>
    </row>
    <row r="746" spans="1:8" s="18" customFormat="1" ht="12" customHeight="1" x14ac:dyDescent="0.2">
      <c r="A746" s="35"/>
      <c r="B746" s="34"/>
      <c r="C746" s="50">
        <v>4120</v>
      </c>
      <c r="D746" s="44" t="s">
        <v>187</v>
      </c>
      <c r="E746" s="45">
        <v>3031</v>
      </c>
      <c r="F746" s="45">
        <v>130</v>
      </c>
      <c r="G746" s="45"/>
      <c r="H746" s="116">
        <f t="shared" si="111"/>
        <v>3161</v>
      </c>
    </row>
    <row r="747" spans="1:8" s="18" customFormat="1" ht="12" customHeight="1" x14ac:dyDescent="0.2">
      <c r="A747" s="183"/>
      <c r="B747" s="34"/>
      <c r="C747" s="28"/>
      <c r="D747" s="107" t="s">
        <v>468</v>
      </c>
      <c r="E747" s="43">
        <v>211610</v>
      </c>
      <c r="F747" s="167">
        <f>SUM(F748:F749)</f>
        <v>13600</v>
      </c>
      <c r="G747" s="167">
        <f>SUM(G748:G749)</f>
        <v>0</v>
      </c>
      <c r="H747" s="42">
        <f t="shared" si="111"/>
        <v>225210</v>
      </c>
    </row>
    <row r="748" spans="1:8" s="18" customFormat="1" ht="12" customHeight="1" x14ac:dyDescent="0.2">
      <c r="A748" s="183"/>
      <c r="B748" s="34"/>
      <c r="C748" s="50">
        <v>4110</v>
      </c>
      <c r="D748" s="44" t="s">
        <v>91</v>
      </c>
      <c r="E748" s="45">
        <v>12386</v>
      </c>
      <c r="F748" s="45">
        <v>1600</v>
      </c>
      <c r="G748" s="45"/>
      <c r="H748" s="116">
        <f t="shared" si="111"/>
        <v>13986</v>
      </c>
    </row>
    <row r="749" spans="1:8" s="18" customFormat="1" ht="12" customHeight="1" x14ac:dyDescent="0.2">
      <c r="A749" s="183"/>
      <c r="B749" s="34"/>
      <c r="C749" s="50">
        <v>4170</v>
      </c>
      <c r="D749" s="44" t="s">
        <v>88</v>
      </c>
      <c r="E749" s="45">
        <v>88974</v>
      </c>
      <c r="F749" s="45">
        <v>12000</v>
      </c>
      <c r="G749" s="45"/>
      <c r="H749" s="116">
        <f t="shared" si="111"/>
        <v>100974</v>
      </c>
    </row>
    <row r="750" spans="1:8" s="18" customFormat="1" ht="3.75" customHeight="1" x14ac:dyDescent="0.2">
      <c r="A750" s="189"/>
      <c r="B750" s="189"/>
      <c r="C750" s="52"/>
      <c r="D750" s="53"/>
      <c r="E750" s="39"/>
      <c r="F750" s="39"/>
      <c r="G750" s="39"/>
      <c r="H750" s="39"/>
    </row>
    <row r="751" spans="1:8" s="18" customFormat="1" ht="12.6" customHeight="1" x14ac:dyDescent="0.2"/>
    <row r="752" spans="1:8" s="18" customFormat="1" ht="12.6" customHeight="1" x14ac:dyDescent="0.2"/>
    <row r="753" s="18" customFormat="1" ht="12.6" customHeight="1" x14ac:dyDescent="0.2"/>
    <row r="754" s="18" customFormat="1" ht="12.6" customHeight="1" x14ac:dyDescent="0.2"/>
    <row r="755" s="18" customFormat="1" ht="12.6" customHeight="1" x14ac:dyDescent="0.2"/>
    <row r="756" s="18" customFormat="1" ht="12.6" customHeight="1" x14ac:dyDescent="0.2"/>
    <row r="757" s="18" customFormat="1" ht="12.6" customHeight="1" x14ac:dyDescent="0.2"/>
    <row r="758" s="18" customFormat="1" ht="12.6" customHeight="1" x14ac:dyDescent="0.2"/>
    <row r="759" s="18" customFormat="1" ht="12.6" customHeight="1" x14ac:dyDescent="0.2"/>
    <row r="760" s="18" customFormat="1" ht="12.6" customHeight="1" x14ac:dyDescent="0.2"/>
    <row r="761" s="18" customFormat="1" ht="12.6" customHeight="1" x14ac:dyDescent="0.2"/>
    <row r="762" s="18" customFormat="1" ht="12.6" customHeight="1" x14ac:dyDescent="0.2"/>
    <row r="763" s="18" customFormat="1" ht="12.6" customHeight="1" x14ac:dyDescent="0.2"/>
    <row r="764" s="18" customFormat="1" ht="12.6" customHeight="1" x14ac:dyDescent="0.2"/>
    <row r="765" s="18" customFormat="1" ht="12.6" customHeight="1" x14ac:dyDescent="0.2"/>
    <row r="766" s="18" customFormat="1" ht="12.6" customHeight="1" x14ac:dyDescent="0.2"/>
    <row r="767" s="18" customFormat="1" ht="12.6" customHeight="1" x14ac:dyDescent="0.2"/>
    <row r="768" s="18" customFormat="1" ht="12.6" customHeight="1" x14ac:dyDescent="0.2"/>
    <row r="769" s="18" customFormat="1" ht="12.6" customHeight="1" x14ac:dyDescent="0.2"/>
    <row r="770" s="18" customFormat="1" ht="12.6" customHeight="1" x14ac:dyDescent="0.2"/>
    <row r="771" s="18" customFormat="1" ht="12.6" customHeight="1" x14ac:dyDescent="0.2"/>
    <row r="772" s="18" customFormat="1" ht="12.6" customHeight="1" x14ac:dyDescent="0.2"/>
    <row r="773" s="18" customFormat="1" ht="12.6" customHeight="1" x14ac:dyDescent="0.2"/>
    <row r="774" s="18" customFormat="1" ht="12.6" customHeight="1" x14ac:dyDescent="0.2"/>
    <row r="775" s="18" customFormat="1" ht="12.6" customHeight="1" x14ac:dyDescent="0.2"/>
    <row r="776" s="18" customFormat="1" ht="12.6" customHeight="1" x14ac:dyDescent="0.2"/>
    <row r="777" s="18" customFormat="1" ht="12.6" customHeight="1" x14ac:dyDescent="0.2"/>
    <row r="778" s="18" customFormat="1" ht="12.6" customHeight="1" x14ac:dyDescent="0.2"/>
    <row r="779" s="18" customFormat="1" ht="12.6" customHeight="1" x14ac:dyDescent="0.2"/>
    <row r="780" s="18" customFormat="1" ht="12.6" customHeight="1" x14ac:dyDescent="0.2"/>
    <row r="781" s="18" customFormat="1" ht="12.6" customHeight="1" x14ac:dyDescent="0.2"/>
    <row r="782" s="18" customFormat="1" ht="12.6" customHeight="1" x14ac:dyDescent="0.2"/>
    <row r="783" s="18" customFormat="1" ht="12.6" customHeight="1" x14ac:dyDescent="0.2"/>
    <row r="784" s="18" customFormat="1" ht="12.6" customHeight="1" x14ac:dyDescent="0.2"/>
    <row r="785" s="18" customFormat="1" ht="12.6" customHeight="1" x14ac:dyDescent="0.2"/>
    <row r="786" s="18" customFormat="1" ht="12.6" customHeight="1" x14ac:dyDescent="0.2"/>
    <row r="787" s="18" customFormat="1" ht="12.6" customHeight="1" x14ac:dyDescent="0.2"/>
    <row r="788" s="18" customFormat="1" ht="12.6" customHeight="1" x14ac:dyDescent="0.2"/>
    <row r="789" s="18" customFormat="1" ht="12.2" customHeight="1" x14ac:dyDescent="0.2"/>
    <row r="790" s="18" customFormat="1" ht="12.2" customHeight="1" x14ac:dyDescent="0.2"/>
    <row r="791" s="18" customFormat="1" ht="12.2" customHeight="1" x14ac:dyDescent="0.2"/>
    <row r="792" s="18" customFormat="1" ht="12.95" customHeight="1" x14ac:dyDescent="0.2"/>
    <row r="793" s="18" customFormat="1" ht="12.95" customHeight="1" x14ac:dyDescent="0.2"/>
    <row r="794" s="18" customFormat="1" ht="12.95" customHeight="1" x14ac:dyDescent="0.2"/>
    <row r="795" s="18" customFormat="1" ht="12.95" customHeight="1" x14ac:dyDescent="0.2"/>
    <row r="796" s="18" customFormat="1" ht="12.95" customHeight="1" x14ac:dyDescent="0.2"/>
    <row r="797" s="18" customFormat="1" ht="12.95" customHeight="1" x14ac:dyDescent="0.2"/>
    <row r="798" s="18" customFormat="1" ht="12.95" customHeight="1" x14ac:dyDescent="0.2"/>
    <row r="799" s="18" customFormat="1" ht="12.95" customHeight="1" x14ac:dyDescent="0.2"/>
    <row r="800" s="18" customFormat="1" ht="12.95" customHeight="1" x14ac:dyDescent="0.2"/>
    <row r="801" s="18" customFormat="1" ht="12.95" customHeight="1" x14ac:dyDescent="0.2"/>
    <row r="802" s="18" customFormat="1" ht="12.95" customHeight="1" x14ac:dyDescent="0.2"/>
    <row r="803" s="18" customFormat="1" ht="12.95" customHeight="1" x14ac:dyDescent="0.2"/>
    <row r="804" s="18" customFormat="1" ht="12.95" customHeight="1" x14ac:dyDescent="0.2"/>
    <row r="805" s="18" customFormat="1" ht="12.95" customHeight="1" x14ac:dyDescent="0.2"/>
    <row r="806" s="18" customFormat="1" ht="12.95" customHeight="1" x14ac:dyDescent="0.2"/>
    <row r="807" s="18" customFormat="1" ht="12.95" customHeight="1" x14ac:dyDescent="0.2"/>
    <row r="808" s="18" customFormat="1" ht="12.95" customHeight="1" x14ac:dyDescent="0.2"/>
    <row r="809" s="18" customFormat="1" ht="12.95" customHeight="1" x14ac:dyDescent="0.2"/>
    <row r="810" s="18" customFormat="1" ht="12.95" customHeight="1" x14ac:dyDescent="0.2"/>
    <row r="811" s="18" customFormat="1" ht="12.95" customHeight="1" x14ac:dyDescent="0.2"/>
    <row r="812" s="18" customFormat="1" ht="12.95" customHeight="1" x14ac:dyDescent="0.2"/>
    <row r="813" s="18" customFormat="1" ht="12.95" customHeight="1" x14ac:dyDescent="0.2"/>
    <row r="814" s="18" customFormat="1" ht="12.95" customHeight="1" x14ac:dyDescent="0.2"/>
    <row r="815" s="18" customFormat="1" ht="12.95" customHeight="1" x14ac:dyDescent="0.2"/>
    <row r="816" s="18" customFormat="1" ht="12.95" customHeight="1" x14ac:dyDescent="0.2"/>
    <row r="817" s="18" customFormat="1" ht="12.95" customHeight="1" x14ac:dyDescent="0.2"/>
    <row r="818" s="18" customFormat="1" ht="12.95" customHeight="1" x14ac:dyDescent="0.2"/>
    <row r="819" s="18" customFormat="1" ht="12.95" customHeight="1" x14ac:dyDescent="0.2"/>
    <row r="820" s="18" customFormat="1" ht="12.95" customHeight="1" x14ac:dyDescent="0.2"/>
    <row r="821" s="18" customFormat="1" ht="12.95" customHeight="1" x14ac:dyDescent="0.2"/>
    <row r="822" s="18" customFormat="1" ht="12.95" customHeight="1" x14ac:dyDescent="0.2"/>
    <row r="823" s="18" customFormat="1" ht="12.95" customHeight="1" x14ac:dyDescent="0.2"/>
    <row r="824" s="18" customFormat="1" ht="12.95" customHeight="1" x14ac:dyDescent="0.2"/>
    <row r="825" s="18" customFormat="1" ht="12.95" customHeight="1" x14ac:dyDescent="0.2"/>
    <row r="826" s="18" customFormat="1" ht="12.95" customHeight="1" x14ac:dyDescent="0.2"/>
    <row r="827" s="18" customFormat="1" ht="12.95" customHeight="1" x14ac:dyDescent="0.2"/>
    <row r="828" s="18" customFormat="1" ht="12.95" customHeight="1" x14ac:dyDescent="0.2"/>
    <row r="829" s="18" customFormat="1" ht="12.95" customHeight="1" x14ac:dyDescent="0.2"/>
    <row r="830" s="18" customFormat="1" ht="12.95" customHeight="1" x14ac:dyDescent="0.2"/>
    <row r="831" s="18" customFormat="1" ht="12.95" customHeight="1" x14ac:dyDescent="0.2"/>
    <row r="832" s="18" customFormat="1" ht="12.95" customHeight="1" x14ac:dyDescent="0.2"/>
    <row r="833" s="18" customFormat="1" ht="12.95" customHeight="1" x14ac:dyDescent="0.2"/>
    <row r="834" s="18" customFormat="1" ht="12.95" customHeight="1" x14ac:dyDescent="0.2"/>
    <row r="835" s="18" customFormat="1" ht="12.95" customHeight="1" x14ac:dyDescent="0.2"/>
    <row r="836" s="18" customFormat="1" ht="12.95" customHeight="1" x14ac:dyDescent="0.2"/>
    <row r="837" s="18" customFormat="1" ht="12.95" customHeight="1" x14ac:dyDescent="0.2"/>
    <row r="838" s="18" customFormat="1" ht="12.95" customHeight="1" x14ac:dyDescent="0.2"/>
    <row r="839" s="18" customFormat="1" ht="12.95" customHeight="1" x14ac:dyDescent="0.2"/>
    <row r="840" s="18" customFormat="1" ht="12.95" customHeight="1" x14ac:dyDescent="0.2"/>
    <row r="841" s="18" customFormat="1" ht="12.95" customHeight="1" x14ac:dyDescent="0.2"/>
    <row r="842" s="18" customFormat="1" ht="12.95" customHeight="1" x14ac:dyDescent="0.2"/>
    <row r="843" s="18" customFormat="1" ht="12.95" customHeight="1" x14ac:dyDescent="0.2"/>
    <row r="844" s="18" customFormat="1" ht="12.95" customHeight="1" x14ac:dyDescent="0.2"/>
    <row r="845" s="18" customFormat="1" ht="12.95" customHeight="1" x14ac:dyDescent="0.2"/>
    <row r="846" s="18" customFormat="1" ht="12.95" customHeight="1" x14ac:dyDescent="0.2"/>
    <row r="847" s="18" customFormat="1" ht="12.95" customHeight="1" x14ac:dyDescent="0.2"/>
    <row r="848" s="18" customFormat="1" ht="12.95" customHeight="1" x14ac:dyDescent="0.2"/>
    <row r="849" s="18" customFormat="1" ht="12.95" customHeight="1" x14ac:dyDescent="0.2"/>
    <row r="850" s="18" customFormat="1" ht="12.95" customHeight="1" x14ac:dyDescent="0.2"/>
    <row r="851" s="18" customFormat="1" ht="12.95" customHeight="1" x14ac:dyDescent="0.2"/>
    <row r="852" s="18" customFormat="1" ht="12.95" customHeight="1" x14ac:dyDescent="0.2"/>
    <row r="853" s="18" customFormat="1" ht="12.95" customHeight="1" x14ac:dyDescent="0.2"/>
    <row r="854" s="18" customFormat="1" ht="12.95" customHeight="1" x14ac:dyDescent="0.2"/>
    <row r="855" s="18" customFormat="1" ht="12.95" customHeight="1" x14ac:dyDescent="0.2"/>
    <row r="856" s="18" customFormat="1" ht="12.95" customHeight="1" x14ac:dyDescent="0.2"/>
    <row r="857" s="18" customFormat="1" ht="12.95" customHeight="1" x14ac:dyDescent="0.2"/>
    <row r="858" s="18" customFormat="1" ht="12.95" customHeight="1" x14ac:dyDescent="0.2"/>
    <row r="859" ht="12.95" customHeight="1" x14ac:dyDescent="0.25"/>
    <row r="860" ht="12.95" customHeight="1" x14ac:dyDescent="0.25"/>
    <row r="861" ht="12.95" customHeight="1" x14ac:dyDescent="0.25"/>
    <row r="862" ht="12.95" customHeight="1" x14ac:dyDescent="0.25"/>
    <row r="863" ht="12.95" customHeight="1" x14ac:dyDescent="0.25"/>
    <row r="864" ht="12.95" customHeight="1" x14ac:dyDescent="0.25"/>
    <row r="865" ht="12.95" customHeight="1" x14ac:dyDescent="0.25"/>
    <row r="866" ht="12.95" customHeight="1" x14ac:dyDescent="0.25"/>
    <row r="867" ht="12.95" customHeight="1" x14ac:dyDescent="0.25"/>
    <row r="868" ht="12.95" customHeight="1" x14ac:dyDescent="0.25"/>
    <row r="869" ht="12.95" customHeight="1" x14ac:dyDescent="0.25"/>
    <row r="870" ht="12.9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10" manualBreakCount="10">
    <brk id="39" max="16383" man="1"/>
    <brk id="71" max="16383" man="1"/>
    <brk id="114" max="16383" man="1"/>
    <brk id="170" max="16383" man="1"/>
    <brk id="261" max="16383" man="1"/>
    <brk id="309" max="16383" man="1"/>
    <brk id="352" max="16383" man="1"/>
    <brk id="466" max="16383" man="1"/>
    <brk id="570" max="16383" man="1"/>
    <brk id="6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BF6B-5787-4B9D-B373-6D751CD82ABE}">
  <dimension ref="A1:L42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 x14ac:dyDescent="0.2"/>
  <cols>
    <col min="1" max="1" width="6.42578125" style="439" customWidth="1"/>
    <col min="2" max="2" width="58.28515625" style="439" customWidth="1"/>
    <col min="3" max="3" width="10.28515625" style="439"/>
    <col min="4" max="4" width="11.42578125" style="439" customWidth="1"/>
    <col min="5" max="7" width="10.7109375" style="439" customWidth="1"/>
    <col min="8" max="9" width="11.28515625" style="439" customWidth="1"/>
    <col min="10" max="10" width="17" style="439" customWidth="1"/>
    <col min="11" max="11" width="16.28515625" style="439" customWidth="1"/>
    <col min="12" max="256" width="10.28515625" style="439"/>
    <col min="257" max="257" width="6.42578125" style="439" customWidth="1"/>
    <col min="258" max="258" width="58.28515625" style="439" customWidth="1"/>
    <col min="259" max="259" width="10.28515625" style="439"/>
    <col min="260" max="260" width="11" style="439" customWidth="1"/>
    <col min="261" max="262" width="9.7109375" style="439" customWidth="1"/>
    <col min="263" max="263" width="10.7109375" style="439" customWidth="1"/>
    <col min="264" max="265" width="11.28515625" style="439" customWidth="1"/>
    <col min="266" max="266" width="17" style="439" customWidth="1"/>
    <col min="267" max="267" width="16.28515625" style="439" customWidth="1"/>
    <col min="268" max="512" width="10.28515625" style="439"/>
    <col min="513" max="513" width="6.42578125" style="439" customWidth="1"/>
    <col min="514" max="514" width="58.28515625" style="439" customWidth="1"/>
    <col min="515" max="515" width="10.28515625" style="439"/>
    <col min="516" max="516" width="11" style="439" customWidth="1"/>
    <col min="517" max="518" width="9.7109375" style="439" customWidth="1"/>
    <col min="519" max="519" width="10.7109375" style="439" customWidth="1"/>
    <col min="520" max="521" width="11.28515625" style="439" customWidth="1"/>
    <col min="522" max="522" width="17" style="439" customWidth="1"/>
    <col min="523" max="523" width="16.28515625" style="439" customWidth="1"/>
    <col min="524" max="768" width="10.28515625" style="439"/>
    <col min="769" max="769" width="6.42578125" style="439" customWidth="1"/>
    <col min="770" max="770" width="58.28515625" style="439" customWidth="1"/>
    <col min="771" max="771" width="10.28515625" style="439"/>
    <col min="772" max="772" width="11" style="439" customWidth="1"/>
    <col min="773" max="774" width="9.7109375" style="439" customWidth="1"/>
    <col min="775" max="775" width="10.7109375" style="439" customWidth="1"/>
    <col min="776" max="777" width="11.28515625" style="439" customWidth="1"/>
    <col min="778" max="778" width="17" style="439" customWidth="1"/>
    <col min="779" max="779" width="16.28515625" style="439" customWidth="1"/>
    <col min="780" max="1024" width="10.28515625" style="439"/>
    <col min="1025" max="1025" width="6.42578125" style="439" customWidth="1"/>
    <col min="1026" max="1026" width="58.28515625" style="439" customWidth="1"/>
    <col min="1027" max="1027" width="10.28515625" style="439"/>
    <col min="1028" max="1028" width="11" style="439" customWidth="1"/>
    <col min="1029" max="1030" width="9.7109375" style="439" customWidth="1"/>
    <col min="1031" max="1031" width="10.7109375" style="439" customWidth="1"/>
    <col min="1032" max="1033" width="11.28515625" style="439" customWidth="1"/>
    <col min="1034" max="1034" width="17" style="439" customWidth="1"/>
    <col min="1035" max="1035" width="16.28515625" style="439" customWidth="1"/>
    <col min="1036" max="1280" width="10.28515625" style="439"/>
    <col min="1281" max="1281" width="6.42578125" style="439" customWidth="1"/>
    <col min="1282" max="1282" width="58.28515625" style="439" customWidth="1"/>
    <col min="1283" max="1283" width="10.28515625" style="439"/>
    <col min="1284" max="1284" width="11" style="439" customWidth="1"/>
    <col min="1285" max="1286" width="9.7109375" style="439" customWidth="1"/>
    <col min="1287" max="1287" width="10.7109375" style="439" customWidth="1"/>
    <col min="1288" max="1289" width="11.28515625" style="439" customWidth="1"/>
    <col min="1290" max="1290" width="17" style="439" customWidth="1"/>
    <col min="1291" max="1291" width="16.28515625" style="439" customWidth="1"/>
    <col min="1292" max="1536" width="10.28515625" style="439"/>
    <col min="1537" max="1537" width="6.42578125" style="439" customWidth="1"/>
    <col min="1538" max="1538" width="58.28515625" style="439" customWidth="1"/>
    <col min="1539" max="1539" width="10.28515625" style="439"/>
    <col min="1540" max="1540" width="11" style="439" customWidth="1"/>
    <col min="1541" max="1542" width="9.7109375" style="439" customWidth="1"/>
    <col min="1543" max="1543" width="10.7109375" style="439" customWidth="1"/>
    <col min="1544" max="1545" width="11.28515625" style="439" customWidth="1"/>
    <col min="1546" max="1546" width="17" style="439" customWidth="1"/>
    <col min="1547" max="1547" width="16.28515625" style="439" customWidth="1"/>
    <col min="1548" max="1792" width="10.28515625" style="439"/>
    <col min="1793" max="1793" width="6.42578125" style="439" customWidth="1"/>
    <col min="1794" max="1794" width="58.28515625" style="439" customWidth="1"/>
    <col min="1795" max="1795" width="10.28515625" style="439"/>
    <col min="1796" max="1796" width="11" style="439" customWidth="1"/>
    <col min="1797" max="1798" width="9.7109375" style="439" customWidth="1"/>
    <col min="1799" max="1799" width="10.7109375" style="439" customWidth="1"/>
    <col min="1800" max="1801" width="11.28515625" style="439" customWidth="1"/>
    <col min="1802" max="1802" width="17" style="439" customWidth="1"/>
    <col min="1803" max="1803" width="16.28515625" style="439" customWidth="1"/>
    <col min="1804" max="2048" width="10.28515625" style="439"/>
    <col min="2049" max="2049" width="6.42578125" style="439" customWidth="1"/>
    <col min="2050" max="2050" width="58.28515625" style="439" customWidth="1"/>
    <col min="2051" max="2051" width="10.28515625" style="439"/>
    <col min="2052" max="2052" width="11" style="439" customWidth="1"/>
    <col min="2053" max="2054" width="9.7109375" style="439" customWidth="1"/>
    <col min="2055" max="2055" width="10.7109375" style="439" customWidth="1"/>
    <col min="2056" max="2057" width="11.28515625" style="439" customWidth="1"/>
    <col min="2058" max="2058" width="17" style="439" customWidth="1"/>
    <col min="2059" max="2059" width="16.28515625" style="439" customWidth="1"/>
    <col min="2060" max="2304" width="10.28515625" style="439"/>
    <col min="2305" max="2305" width="6.42578125" style="439" customWidth="1"/>
    <col min="2306" max="2306" width="58.28515625" style="439" customWidth="1"/>
    <col min="2307" max="2307" width="10.28515625" style="439"/>
    <col min="2308" max="2308" width="11" style="439" customWidth="1"/>
    <col min="2309" max="2310" width="9.7109375" style="439" customWidth="1"/>
    <col min="2311" max="2311" width="10.7109375" style="439" customWidth="1"/>
    <col min="2312" max="2313" width="11.28515625" style="439" customWidth="1"/>
    <col min="2314" max="2314" width="17" style="439" customWidth="1"/>
    <col min="2315" max="2315" width="16.28515625" style="439" customWidth="1"/>
    <col min="2316" max="2560" width="10.28515625" style="439"/>
    <col min="2561" max="2561" width="6.42578125" style="439" customWidth="1"/>
    <col min="2562" max="2562" width="58.28515625" style="439" customWidth="1"/>
    <col min="2563" max="2563" width="10.28515625" style="439"/>
    <col min="2564" max="2564" width="11" style="439" customWidth="1"/>
    <col min="2565" max="2566" width="9.7109375" style="439" customWidth="1"/>
    <col min="2567" max="2567" width="10.7109375" style="439" customWidth="1"/>
    <col min="2568" max="2569" width="11.28515625" style="439" customWidth="1"/>
    <col min="2570" max="2570" width="17" style="439" customWidth="1"/>
    <col min="2571" max="2571" width="16.28515625" style="439" customWidth="1"/>
    <col min="2572" max="2816" width="10.28515625" style="439"/>
    <col min="2817" max="2817" width="6.42578125" style="439" customWidth="1"/>
    <col min="2818" max="2818" width="58.28515625" style="439" customWidth="1"/>
    <col min="2819" max="2819" width="10.28515625" style="439"/>
    <col min="2820" max="2820" width="11" style="439" customWidth="1"/>
    <col min="2821" max="2822" width="9.7109375" style="439" customWidth="1"/>
    <col min="2823" max="2823" width="10.7109375" style="439" customWidth="1"/>
    <col min="2824" max="2825" width="11.28515625" style="439" customWidth="1"/>
    <col min="2826" max="2826" width="17" style="439" customWidth="1"/>
    <col min="2827" max="2827" width="16.28515625" style="439" customWidth="1"/>
    <col min="2828" max="3072" width="10.28515625" style="439"/>
    <col min="3073" max="3073" width="6.42578125" style="439" customWidth="1"/>
    <col min="3074" max="3074" width="58.28515625" style="439" customWidth="1"/>
    <col min="3075" max="3075" width="10.28515625" style="439"/>
    <col min="3076" max="3076" width="11" style="439" customWidth="1"/>
    <col min="3077" max="3078" width="9.7109375" style="439" customWidth="1"/>
    <col min="3079" max="3079" width="10.7109375" style="439" customWidth="1"/>
    <col min="3080" max="3081" width="11.28515625" style="439" customWidth="1"/>
    <col min="3082" max="3082" width="17" style="439" customWidth="1"/>
    <col min="3083" max="3083" width="16.28515625" style="439" customWidth="1"/>
    <col min="3084" max="3328" width="10.28515625" style="439"/>
    <col min="3329" max="3329" width="6.42578125" style="439" customWidth="1"/>
    <col min="3330" max="3330" width="58.28515625" style="439" customWidth="1"/>
    <col min="3331" max="3331" width="10.28515625" style="439"/>
    <col min="3332" max="3332" width="11" style="439" customWidth="1"/>
    <col min="3333" max="3334" width="9.7109375" style="439" customWidth="1"/>
    <col min="3335" max="3335" width="10.7109375" style="439" customWidth="1"/>
    <col min="3336" max="3337" width="11.28515625" style="439" customWidth="1"/>
    <col min="3338" max="3338" width="17" style="439" customWidth="1"/>
    <col min="3339" max="3339" width="16.28515625" style="439" customWidth="1"/>
    <col min="3340" max="3584" width="10.28515625" style="439"/>
    <col min="3585" max="3585" width="6.42578125" style="439" customWidth="1"/>
    <col min="3586" max="3586" width="58.28515625" style="439" customWidth="1"/>
    <col min="3587" max="3587" width="10.28515625" style="439"/>
    <col min="3588" max="3588" width="11" style="439" customWidth="1"/>
    <col min="3589" max="3590" width="9.7109375" style="439" customWidth="1"/>
    <col min="3591" max="3591" width="10.7109375" style="439" customWidth="1"/>
    <col min="3592" max="3593" width="11.28515625" style="439" customWidth="1"/>
    <col min="3594" max="3594" width="17" style="439" customWidth="1"/>
    <col min="3595" max="3595" width="16.28515625" style="439" customWidth="1"/>
    <col min="3596" max="3840" width="10.28515625" style="439"/>
    <col min="3841" max="3841" width="6.42578125" style="439" customWidth="1"/>
    <col min="3842" max="3842" width="58.28515625" style="439" customWidth="1"/>
    <col min="3843" max="3843" width="10.28515625" style="439"/>
    <col min="3844" max="3844" width="11" style="439" customWidth="1"/>
    <col min="3845" max="3846" width="9.7109375" style="439" customWidth="1"/>
    <col min="3847" max="3847" width="10.7109375" style="439" customWidth="1"/>
    <col min="3848" max="3849" width="11.28515625" style="439" customWidth="1"/>
    <col min="3850" max="3850" width="17" style="439" customWidth="1"/>
    <col min="3851" max="3851" width="16.28515625" style="439" customWidth="1"/>
    <col min="3852" max="4096" width="10.28515625" style="439"/>
    <col min="4097" max="4097" width="6.42578125" style="439" customWidth="1"/>
    <col min="4098" max="4098" width="58.28515625" style="439" customWidth="1"/>
    <col min="4099" max="4099" width="10.28515625" style="439"/>
    <col min="4100" max="4100" width="11" style="439" customWidth="1"/>
    <col min="4101" max="4102" width="9.7109375" style="439" customWidth="1"/>
    <col min="4103" max="4103" width="10.7109375" style="439" customWidth="1"/>
    <col min="4104" max="4105" width="11.28515625" style="439" customWidth="1"/>
    <col min="4106" max="4106" width="17" style="439" customWidth="1"/>
    <col min="4107" max="4107" width="16.28515625" style="439" customWidth="1"/>
    <col min="4108" max="4352" width="10.28515625" style="439"/>
    <col min="4353" max="4353" width="6.42578125" style="439" customWidth="1"/>
    <col min="4354" max="4354" width="58.28515625" style="439" customWidth="1"/>
    <col min="4355" max="4355" width="10.28515625" style="439"/>
    <col min="4356" max="4356" width="11" style="439" customWidth="1"/>
    <col min="4357" max="4358" width="9.7109375" style="439" customWidth="1"/>
    <col min="4359" max="4359" width="10.7109375" style="439" customWidth="1"/>
    <col min="4360" max="4361" width="11.28515625" style="439" customWidth="1"/>
    <col min="4362" max="4362" width="17" style="439" customWidth="1"/>
    <col min="4363" max="4363" width="16.28515625" style="439" customWidth="1"/>
    <col min="4364" max="4608" width="10.28515625" style="439"/>
    <col min="4609" max="4609" width="6.42578125" style="439" customWidth="1"/>
    <col min="4610" max="4610" width="58.28515625" style="439" customWidth="1"/>
    <col min="4611" max="4611" width="10.28515625" style="439"/>
    <col min="4612" max="4612" width="11" style="439" customWidth="1"/>
    <col min="4613" max="4614" width="9.7109375" style="439" customWidth="1"/>
    <col min="4615" max="4615" width="10.7109375" style="439" customWidth="1"/>
    <col min="4616" max="4617" width="11.28515625" style="439" customWidth="1"/>
    <col min="4618" max="4618" width="17" style="439" customWidth="1"/>
    <col min="4619" max="4619" width="16.28515625" style="439" customWidth="1"/>
    <col min="4620" max="4864" width="10.28515625" style="439"/>
    <col min="4865" max="4865" width="6.42578125" style="439" customWidth="1"/>
    <col min="4866" max="4866" width="58.28515625" style="439" customWidth="1"/>
    <col min="4867" max="4867" width="10.28515625" style="439"/>
    <col min="4868" max="4868" width="11" style="439" customWidth="1"/>
    <col min="4869" max="4870" width="9.7109375" style="439" customWidth="1"/>
    <col min="4871" max="4871" width="10.7109375" style="439" customWidth="1"/>
    <col min="4872" max="4873" width="11.28515625" style="439" customWidth="1"/>
    <col min="4874" max="4874" width="17" style="439" customWidth="1"/>
    <col min="4875" max="4875" width="16.28515625" style="439" customWidth="1"/>
    <col min="4876" max="5120" width="10.28515625" style="439"/>
    <col min="5121" max="5121" width="6.42578125" style="439" customWidth="1"/>
    <col min="5122" max="5122" width="58.28515625" style="439" customWidth="1"/>
    <col min="5123" max="5123" width="10.28515625" style="439"/>
    <col min="5124" max="5124" width="11" style="439" customWidth="1"/>
    <col min="5125" max="5126" width="9.7109375" style="439" customWidth="1"/>
    <col min="5127" max="5127" width="10.7109375" style="439" customWidth="1"/>
    <col min="5128" max="5129" width="11.28515625" style="439" customWidth="1"/>
    <col min="5130" max="5130" width="17" style="439" customWidth="1"/>
    <col min="5131" max="5131" width="16.28515625" style="439" customWidth="1"/>
    <col min="5132" max="5376" width="10.28515625" style="439"/>
    <col min="5377" max="5377" width="6.42578125" style="439" customWidth="1"/>
    <col min="5378" max="5378" width="58.28515625" style="439" customWidth="1"/>
    <col min="5379" max="5379" width="10.28515625" style="439"/>
    <col min="5380" max="5380" width="11" style="439" customWidth="1"/>
    <col min="5381" max="5382" width="9.7109375" style="439" customWidth="1"/>
    <col min="5383" max="5383" width="10.7109375" style="439" customWidth="1"/>
    <col min="5384" max="5385" width="11.28515625" style="439" customWidth="1"/>
    <col min="5386" max="5386" width="17" style="439" customWidth="1"/>
    <col min="5387" max="5387" width="16.28515625" style="439" customWidth="1"/>
    <col min="5388" max="5632" width="10.28515625" style="439"/>
    <col min="5633" max="5633" width="6.42578125" style="439" customWidth="1"/>
    <col min="5634" max="5634" width="58.28515625" style="439" customWidth="1"/>
    <col min="5635" max="5635" width="10.28515625" style="439"/>
    <col min="5636" max="5636" width="11" style="439" customWidth="1"/>
    <col min="5637" max="5638" width="9.7109375" style="439" customWidth="1"/>
    <col min="5639" max="5639" width="10.7109375" style="439" customWidth="1"/>
    <col min="5640" max="5641" width="11.28515625" style="439" customWidth="1"/>
    <col min="5642" max="5642" width="17" style="439" customWidth="1"/>
    <col min="5643" max="5643" width="16.28515625" style="439" customWidth="1"/>
    <col min="5644" max="5888" width="10.28515625" style="439"/>
    <col min="5889" max="5889" width="6.42578125" style="439" customWidth="1"/>
    <col min="5890" max="5890" width="58.28515625" style="439" customWidth="1"/>
    <col min="5891" max="5891" width="10.28515625" style="439"/>
    <col min="5892" max="5892" width="11" style="439" customWidth="1"/>
    <col min="5893" max="5894" width="9.7109375" style="439" customWidth="1"/>
    <col min="5895" max="5895" width="10.7109375" style="439" customWidth="1"/>
    <col min="5896" max="5897" width="11.28515625" style="439" customWidth="1"/>
    <col min="5898" max="5898" width="17" style="439" customWidth="1"/>
    <col min="5899" max="5899" width="16.28515625" style="439" customWidth="1"/>
    <col min="5900" max="6144" width="10.28515625" style="439"/>
    <col min="6145" max="6145" width="6.42578125" style="439" customWidth="1"/>
    <col min="6146" max="6146" width="58.28515625" style="439" customWidth="1"/>
    <col min="6147" max="6147" width="10.28515625" style="439"/>
    <col min="6148" max="6148" width="11" style="439" customWidth="1"/>
    <col min="6149" max="6150" width="9.7109375" style="439" customWidth="1"/>
    <col min="6151" max="6151" width="10.7109375" style="439" customWidth="1"/>
    <col min="6152" max="6153" width="11.28515625" style="439" customWidth="1"/>
    <col min="6154" max="6154" width="17" style="439" customWidth="1"/>
    <col min="6155" max="6155" width="16.28515625" style="439" customWidth="1"/>
    <col min="6156" max="6400" width="10.28515625" style="439"/>
    <col min="6401" max="6401" width="6.42578125" style="439" customWidth="1"/>
    <col min="6402" max="6402" width="58.28515625" style="439" customWidth="1"/>
    <col min="6403" max="6403" width="10.28515625" style="439"/>
    <col min="6404" max="6404" width="11" style="439" customWidth="1"/>
    <col min="6405" max="6406" width="9.7109375" style="439" customWidth="1"/>
    <col min="6407" max="6407" width="10.7109375" style="439" customWidth="1"/>
    <col min="6408" max="6409" width="11.28515625" style="439" customWidth="1"/>
    <col min="6410" max="6410" width="17" style="439" customWidth="1"/>
    <col min="6411" max="6411" width="16.28515625" style="439" customWidth="1"/>
    <col min="6412" max="6656" width="10.28515625" style="439"/>
    <col min="6657" max="6657" width="6.42578125" style="439" customWidth="1"/>
    <col min="6658" max="6658" width="58.28515625" style="439" customWidth="1"/>
    <col min="6659" max="6659" width="10.28515625" style="439"/>
    <col min="6660" max="6660" width="11" style="439" customWidth="1"/>
    <col min="6661" max="6662" width="9.7109375" style="439" customWidth="1"/>
    <col min="6663" max="6663" width="10.7109375" style="439" customWidth="1"/>
    <col min="6664" max="6665" width="11.28515625" style="439" customWidth="1"/>
    <col min="6666" max="6666" width="17" style="439" customWidth="1"/>
    <col min="6667" max="6667" width="16.28515625" style="439" customWidth="1"/>
    <col min="6668" max="6912" width="10.28515625" style="439"/>
    <col min="6913" max="6913" width="6.42578125" style="439" customWidth="1"/>
    <col min="6914" max="6914" width="58.28515625" style="439" customWidth="1"/>
    <col min="6915" max="6915" width="10.28515625" style="439"/>
    <col min="6916" max="6916" width="11" style="439" customWidth="1"/>
    <col min="6917" max="6918" width="9.7109375" style="439" customWidth="1"/>
    <col min="6919" max="6919" width="10.7109375" style="439" customWidth="1"/>
    <col min="6920" max="6921" width="11.28515625" style="439" customWidth="1"/>
    <col min="6922" max="6922" width="17" style="439" customWidth="1"/>
    <col min="6923" max="6923" width="16.28515625" style="439" customWidth="1"/>
    <col min="6924" max="7168" width="10.28515625" style="439"/>
    <col min="7169" max="7169" width="6.42578125" style="439" customWidth="1"/>
    <col min="7170" max="7170" width="58.28515625" style="439" customWidth="1"/>
    <col min="7171" max="7171" width="10.28515625" style="439"/>
    <col min="7172" max="7172" width="11" style="439" customWidth="1"/>
    <col min="7173" max="7174" width="9.7109375" style="439" customWidth="1"/>
    <col min="7175" max="7175" width="10.7109375" style="439" customWidth="1"/>
    <col min="7176" max="7177" width="11.28515625" style="439" customWidth="1"/>
    <col min="7178" max="7178" width="17" style="439" customWidth="1"/>
    <col min="7179" max="7179" width="16.28515625" style="439" customWidth="1"/>
    <col min="7180" max="7424" width="10.28515625" style="439"/>
    <col min="7425" max="7425" width="6.42578125" style="439" customWidth="1"/>
    <col min="7426" max="7426" width="58.28515625" style="439" customWidth="1"/>
    <col min="7427" max="7427" width="10.28515625" style="439"/>
    <col min="7428" max="7428" width="11" style="439" customWidth="1"/>
    <col min="7429" max="7430" width="9.7109375" style="439" customWidth="1"/>
    <col min="7431" max="7431" width="10.7109375" style="439" customWidth="1"/>
    <col min="7432" max="7433" width="11.28515625" style="439" customWidth="1"/>
    <col min="7434" max="7434" width="17" style="439" customWidth="1"/>
    <col min="7435" max="7435" width="16.28515625" style="439" customWidth="1"/>
    <col min="7436" max="7680" width="10.28515625" style="439"/>
    <col min="7681" max="7681" width="6.42578125" style="439" customWidth="1"/>
    <col min="7682" max="7682" width="58.28515625" style="439" customWidth="1"/>
    <col min="7683" max="7683" width="10.28515625" style="439"/>
    <col min="7684" max="7684" width="11" style="439" customWidth="1"/>
    <col min="7685" max="7686" width="9.7109375" style="439" customWidth="1"/>
    <col min="7687" max="7687" width="10.7109375" style="439" customWidth="1"/>
    <col min="7688" max="7689" width="11.28515625" style="439" customWidth="1"/>
    <col min="7690" max="7690" width="17" style="439" customWidth="1"/>
    <col min="7691" max="7691" width="16.28515625" style="439" customWidth="1"/>
    <col min="7692" max="7936" width="10.28515625" style="439"/>
    <col min="7937" max="7937" width="6.42578125" style="439" customWidth="1"/>
    <col min="7938" max="7938" width="58.28515625" style="439" customWidth="1"/>
    <col min="7939" max="7939" width="10.28515625" style="439"/>
    <col min="7940" max="7940" width="11" style="439" customWidth="1"/>
    <col min="7941" max="7942" width="9.7109375" style="439" customWidth="1"/>
    <col min="7943" max="7943" width="10.7109375" style="439" customWidth="1"/>
    <col min="7944" max="7945" width="11.28515625" style="439" customWidth="1"/>
    <col min="7946" max="7946" width="17" style="439" customWidth="1"/>
    <col min="7947" max="7947" width="16.28515625" style="439" customWidth="1"/>
    <col min="7948" max="8192" width="10.28515625" style="439"/>
    <col min="8193" max="8193" width="6.42578125" style="439" customWidth="1"/>
    <col min="8194" max="8194" width="58.28515625" style="439" customWidth="1"/>
    <col min="8195" max="8195" width="10.28515625" style="439"/>
    <col min="8196" max="8196" width="11" style="439" customWidth="1"/>
    <col min="8197" max="8198" width="9.7109375" style="439" customWidth="1"/>
    <col min="8199" max="8199" width="10.7109375" style="439" customWidth="1"/>
    <col min="8200" max="8201" width="11.28515625" style="439" customWidth="1"/>
    <col min="8202" max="8202" width="17" style="439" customWidth="1"/>
    <col min="8203" max="8203" width="16.28515625" style="439" customWidth="1"/>
    <col min="8204" max="8448" width="10.28515625" style="439"/>
    <col min="8449" max="8449" width="6.42578125" style="439" customWidth="1"/>
    <col min="8450" max="8450" width="58.28515625" style="439" customWidth="1"/>
    <col min="8451" max="8451" width="10.28515625" style="439"/>
    <col min="8452" max="8452" width="11" style="439" customWidth="1"/>
    <col min="8453" max="8454" width="9.7109375" style="439" customWidth="1"/>
    <col min="8455" max="8455" width="10.7109375" style="439" customWidth="1"/>
    <col min="8456" max="8457" width="11.28515625" style="439" customWidth="1"/>
    <col min="8458" max="8458" width="17" style="439" customWidth="1"/>
    <col min="8459" max="8459" width="16.28515625" style="439" customWidth="1"/>
    <col min="8460" max="8704" width="10.28515625" style="439"/>
    <col min="8705" max="8705" width="6.42578125" style="439" customWidth="1"/>
    <col min="8706" max="8706" width="58.28515625" style="439" customWidth="1"/>
    <col min="8707" max="8707" width="10.28515625" style="439"/>
    <col min="8708" max="8708" width="11" style="439" customWidth="1"/>
    <col min="8709" max="8710" width="9.7109375" style="439" customWidth="1"/>
    <col min="8711" max="8711" width="10.7109375" style="439" customWidth="1"/>
    <col min="8712" max="8713" width="11.28515625" style="439" customWidth="1"/>
    <col min="8714" max="8714" width="17" style="439" customWidth="1"/>
    <col min="8715" max="8715" width="16.28515625" style="439" customWidth="1"/>
    <col min="8716" max="8960" width="10.28515625" style="439"/>
    <col min="8961" max="8961" width="6.42578125" style="439" customWidth="1"/>
    <col min="8962" max="8962" width="58.28515625" style="439" customWidth="1"/>
    <col min="8963" max="8963" width="10.28515625" style="439"/>
    <col min="8964" max="8964" width="11" style="439" customWidth="1"/>
    <col min="8965" max="8966" width="9.7109375" style="439" customWidth="1"/>
    <col min="8967" max="8967" width="10.7109375" style="439" customWidth="1"/>
    <col min="8968" max="8969" width="11.28515625" style="439" customWidth="1"/>
    <col min="8970" max="8970" width="17" style="439" customWidth="1"/>
    <col min="8971" max="8971" width="16.28515625" style="439" customWidth="1"/>
    <col min="8972" max="9216" width="10.28515625" style="439"/>
    <col min="9217" max="9217" width="6.42578125" style="439" customWidth="1"/>
    <col min="9218" max="9218" width="58.28515625" style="439" customWidth="1"/>
    <col min="9219" max="9219" width="10.28515625" style="439"/>
    <col min="9220" max="9220" width="11" style="439" customWidth="1"/>
    <col min="9221" max="9222" width="9.7109375" style="439" customWidth="1"/>
    <col min="9223" max="9223" width="10.7109375" style="439" customWidth="1"/>
    <col min="9224" max="9225" width="11.28515625" style="439" customWidth="1"/>
    <col min="9226" max="9226" width="17" style="439" customWidth="1"/>
    <col min="9227" max="9227" width="16.28515625" style="439" customWidth="1"/>
    <col min="9228" max="9472" width="10.28515625" style="439"/>
    <col min="9473" max="9473" width="6.42578125" style="439" customWidth="1"/>
    <col min="9474" max="9474" width="58.28515625" style="439" customWidth="1"/>
    <col min="9475" max="9475" width="10.28515625" style="439"/>
    <col min="9476" max="9476" width="11" style="439" customWidth="1"/>
    <col min="9477" max="9478" width="9.7109375" style="439" customWidth="1"/>
    <col min="9479" max="9479" width="10.7109375" style="439" customWidth="1"/>
    <col min="9480" max="9481" width="11.28515625" style="439" customWidth="1"/>
    <col min="9482" max="9482" width="17" style="439" customWidth="1"/>
    <col min="9483" max="9483" width="16.28515625" style="439" customWidth="1"/>
    <col min="9484" max="9728" width="10.28515625" style="439"/>
    <col min="9729" max="9729" width="6.42578125" style="439" customWidth="1"/>
    <col min="9730" max="9730" width="58.28515625" style="439" customWidth="1"/>
    <col min="9731" max="9731" width="10.28515625" style="439"/>
    <col min="9732" max="9732" width="11" style="439" customWidth="1"/>
    <col min="9733" max="9734" width="9.7109375" style="439" customWidth="1"/>
    <col min="9735" max="9735" width="10.7109375" style="439" customWidth="1"/>
    <col min="9736" max="9737" width="11.28515625" style="439" customWidth="1"/>
    <col min="9738" max="9738" width="17" style="439" customWidth="1"/>
    <col min="9739" max="9739" width="16.28515625" style="439" customWidth="1"/>
    <col min="9740" max="9984" width="10.28515625" style="439"/>
    <col min="9985" max="9985" width="6.42578125" style="439" customWidth="1"/>
    <col min="9986" max="9986" width="58.28515625" style="439" customWidth="1"/>
    <col min="9987" max="9987" width="10.28515625" style="439"/>
    <col min="9988" max="9988" width="11" style="439" customWidth="1"/>
    <col min="9989" max="9990" width="9.7109375" style="439" customWidth="1"/>
    <col min="9991" max="9991" width="10.7109375" style="439" customWidth="1"/>
    <col min="9992" max="9993" width="11.28515625" style="439" customWidth="1"/>
    <col min="9994" max="9994" width="17" style="439" customWidth="1"/>
    <col min="9995" max="9995" width="16.28515625" style="439" customWidth="1"/>
    <col min="9996" max="10240" width="10.28515625" style="439"/>
    <col min="10241" max="10241" width="6.42578125" style="439" customWidth="1"/>
    <col min="10242" max="10242" width="58.28515625" style="439" customWidth="1"/>
    <col min="10243" max="10243" width="10.28515625" style="439"/>
    <col min="10244" max="10244" width="11" style="439" customWidth="1"/>
    <col min="10245" max="10246" width="9.7109375" style="439" customWidth="1"/>
    <col min="10247" max="10247" width="10.7109375" style="439" customWidth="1"/>
    <col min="10248" max="10249" width="11.28515625" style="439" customWidth="1"/>
    <col min="10250" max="10250" width="17" style="439" customWidth="1"/>
    <col min="10251" max="10251" width="16.28515625" style="439" customWidth="1"/>
    <col min="10252" max="10496" width="10.28515625" style="439"/>
    <col min="10497" max="10497" width="6.42578125" style="439" customWidth="1"/>
    <col min="10498" max="10498" width="58.28515625" style="439" customWidth="1"/>
    <col min="10499" max="10499" width="10.28515625" style="439"/>
    <col min="10500" max="10500" width="11" style="439" customWidth="1"/>
    <col min="10501" max="10502" width="9.7109375" style="439" customWidth="1"/>
    <col min="10503" max="10503" width="10.7109375" style="439" customWidth="1"/>
    <col min="10504" max="10505" width="11.28515625" style="439" customWidth="1"/>
    <col min="10506" max="10506" width="17" style="439" customWidth="1"/>
    <col min="10507" max="10507" width="16.28515625" style="439" customWidth="1"/>
    <col min="10508" max="10752" width="10.28515625" style="439"/>
    <col min="10753" max="10753" width="6.42578125" style="439" customWidth="1"/>
    <col min="10754" max="10754" width="58.28515625" style="439" customWidth="1"/>
    <col min="10755" max="10755" width="10.28515625" style="439"/>
    <col min="10756" max="10756" width="11" style="439" customWidth="1"/>
    <col min="10757" max="10758" width="9.7109375" style="439" customWidth="1"/>
    <col min="10759" max="10759" width="10.7109375" style="439" customWidth="1"/>
    <col min="10760" max="10761" width="11.28515625" style="439" customWidth="1"/>
    <col min="10762" max="10762" width="17" style="439" customWidth="1"/>
    <col min="10763" max="10763" width="16.28515625" style="439" customWidth="1"/>
    <col min="10764" max="11008" width="10.28515625" style="439"/>
    <col min="11009" max="11009" width="6.42578125" style="439" customWidth="1"/>
    <col min="11010" max="11010" width="58.28515625" style="439" customWidth="1"/>
    <col min="11011" max="11011" width="10.28515625" style="439"/>
    <col min="11012" max="11012" width="11" style="439" customWidth="1"/>
    <col min="11013" max="11014" width="9.7109375" style="439" customWidth="1"/>
    <col min="11015" max="11015" width="10.7109375" style="439" customWidth="1"/>
    <col min="11016" max="11017" width="11.28515625" style="439" customWidth="1"/>
    <col min="11018" max="11018" width="17" style="439" customWidth="1"/>
    <col min="11019" max="11019" width="16.28515625" style="439" customWidth="1"/>
    <col min="11020" max="11264" width="10.28515625" style="439"/>
    <col min="11265" max="11265" width="6.42578125" style="439" customWidth="1"/>
    <col min="11266" max="11266" width="58.28515625" style="439" customWidth="1"/>
    <col min="11267" max="11267" width="10.28515625" style="439"/>
    <col min="11268" max="11268" width="11" style="439" customWidth="1"/>
    <col min="11269" max="11270" width="9.7109375" style="439" customWidth="1"/>
    <col min="11271" max="11271" width="10.7109375" style="439" customWidth="1"/>
    <col min="11272" max="11273" width="11.28515625" style="439" customWidth="1"/>
    <col min="11274" max="11274" width="17" style="439" customWidth="1"/>
    <col min="11275" max="11275" width="16.28515625" style="439" customWidth="1"/>
    <col min="11276" max="11520" width="10.28515625" style="439"/>
    <col min="11521" max="11521" width="6.42578125" style="439" customWidth="1"/>
    <col min="11522" max="11522" width="58.28515625" style="439" customWidth="1"/>
    <col min="11523" max="11523" width="10.28515625" style="439"/>
    <col min="11524" max="11524" width="11" style="439" customWidth="1"/>
    <col min="11525" max="11526" width="9.7109375" style="439" customWidth="1"/>
    <col min="11527" max="11527" width="10.7109375" style="439" customWidth="1"/>
    <col min="11528" max="11529" width="11.28515625" style="439" customWidth="1"/>
    <col min="11530" max="11530" width="17" style="439" customWidth="1"/>
    <col min="11531" max="11531" width="16.28515625" style="439" customWidth="1"/>
    <col min="11532" max="11776" width="10.28515625" style="439"/>
    <col min="11777" max="11777" width="6.42578125" style="439" customWidth="1"/>
    <col min="11778" max="11778" width="58.28515625" style="439" customWidth="1"/>
    <col min="11779" max="11779" width="10.28515625" style="439"/>
    <col min="11780" max="11780" width="11" style="439" customWidth="1"/>
    <col min="11781" max="11782" width="9.7109375" style="439" customWidth="1"/>
    <col min="11783" max="11783" width="10.7109375" style="439" customWidth="1"/>
    <col min="11784" max="11785" width="11.28515625" style="439" customWidth="1"/>
    <col min="11786" max="11786" width="17" style="439" customWidth="1"/>
    <col min="11787" max="11787" width="16.28515625" style="439" customWidth="1"/>
    <col min="11788" max="12032" width="10.28515625" style="439"/>
    <col min="12033" max="12033" width="6.42578125" style="439" customWidth="1"/>
    <col min="12034" max="12034" width="58.28515625" style="439" customWidth="1"/>
    <col min="12035" max="12035" width="10.28515625" style="439"/>
    <col min="12036" max="12036" width="11" style="439" customWidth="1"/>
    <col min="12037" max="12038" width="9.7109375" style="439" customWidth="1"/>
    <col min="12039" max="12039" width="10.7109375" style="439" customWidth="1"/>
    <col min="12040" max="12041" width="11.28515625" style="439" customWidth="1"/>
    <col min="12042" max="12042" width="17" style="439" customWidth="1"/>
    <col min="12043" max="12043" width="16.28515625" style="439" customWidth="1"/>
    <col min="12044" max="12288" width="10.28515625" style="439"/>
    <col min="12289" max="12289" width="6.42578125" style="439" customWidth="1"/>
    <col min="12290" max="12290" width="58.28515625" style="439" customWidth="1"/>
    <col min="12291" max="12291" width="10.28515625" style="439"/>
    <col min="12292" max="12292" width="11" style="439" customWidth="1"/>
    <col min="12293" max="12294" width="9.7109375" style="439" customWidth="1"/>
    <col min="12295" max="12295" width="10.7109375" style="439" customWidth="1"/>
    <col min="12296" max="12297" width="11.28515625" style="439" customWidth="1"/>
    <col min="12298" max="12298" width="17" style="439" customWidth="1"/>
    <col min="12299" max="12299" width="16.28515625" style="439" customWidth="1"/>
    <col min="12300" max="12544" width="10.28515625" style="439"/>
    <col min="12545" max="12545" width="6.42578125" style="439" customWidth="1"/>
    <col min="12546" max="12546" width="58.28515625" style="439" customWidth="1"/>
    <col min="12547" max="12547" width="10.28515625" style="439"/>
    <col min="12548" max="12548" width="11" style="439" customWidth="1"/>
    <col min="12549" max="12550" width="9.7109375" style="439" customWidth="1"/>
    <col min="12551" max="12551" width="10.7109375" style="439" customWidth="1"/>
    <col min="12552" max="12553" width="11.28515625" style="439" customWidth="1"/>
    <col min="12554" max="12554" width="17" style="439" customWidth="1"/>
    <col min="12555" max="12555" width="16.28515625" style="439" customWidth="1"/>
    <col min="12556" max="12800" width="10.28515625" style="439"/>
    <col min="12801" max="12801" width="6.42578125" style="439" customWidth="1"/>
    <col min="12802" max="12802" width="58.28515625" style="439" customWidth="1"/>
    <col min="12803" max="12803" width="10.28515625" style="439"/>
    <col min="12804" max="12804" width="11" style="439" customWidth="1"/>
    <col min="12805" max="12806" width="9.7109375" style="439" customWidth="1"/>
    <col min="12807" max="12807" width="10.7109375" style="439" customWidth="1"/>
    <col min="12808" max="12809" width="11.28515625" style="439" customWidth="1"/>
    <col min="12810" max="12810" width="17" style="439" customWidth="1"/>
    <col min="12811" max="12811" width="16.28515625" style="439" customWidth="1"/>
    <col min="12812" max="13056" width="10.28515625" style="439"/>
    <col min="13057" max="13057" width="6.42578125" style="439" customWidth="1"/>
    <col min="13058" max="13058" width="58.28515625" style="439" customWidth="1"/>
    <col min="13059" max="13059" width="10.28515625" style="439"/>
    <col min="13060" max="13060" width="11" style="439" customWidth="1"/>
    <col min="13061" max="13062" width="9.7109375" style="439" customWidth="1"/>
    <col min="13063" max="13063" width="10.7109375" style="439" customWidth="1"/>
    <col min="13064" max="13065" width="11.28515625" style="439" customWidth="1"/>
    <col min="13066" max="13066" width="17" style="439" customWidth="1"/>
    <col min="13067" max="13067" width="16.28515625" style="439" customWidth="1"/>
    <col min="13068" max="13312" width="10.28515625" style="439"/>
    <col min="13313" max="13313" width="6.42578125" style="439" customWidth="1"/>
    <col min="13314" max="13314" width="58.28515625" style="439" customWidth="1"/>
    <col min="13315" max="13315" width="10.28515625" style="439"/>
    <col min="13316" max="13316" width="11" style="439" customWidth="1"/>
    <col min="13317" max="13318" width="9.7109375" style="439" customWidth="1"/>
    <col min="13319" max="13319" width="10.7109375" style="439" customWidth="1"/>
    <col min="13320" max="13321" width="11.28515625" style="439" customWidth="1"/>
    <col min="13322" max="13322" width="17" style="439" customWidth="1"/>
    <col min="13323" max="13323" width="16.28515625" style="439" customWidth="1"/>
    <col min="13324" max="13568" width="10.28515625" style="439"/>
    <col min="13569" max="13569" width="6.42578125" style="439" customWidth="1"/>
    <col min="13570" max="13570" width="58.28515625" style="439" customWidth="1"/>
    <col min="13571" max="13571" width="10.28515625" style="439"/>
    <col min="13572" max="13572" width="11" style="439" customWidth="1"/>
    <col min="13573" max="13574" width="9.7109375" style="439" customWidth="1"/>
    <col min="13575" max="13575" width="10.7109375" style="439" customWidth="1"/>
    <col min="13576" max="13577" width="11.28515625" style="439" customWidth="1"/>
    <col min="13578" max="13578" width="17" style="439" customWidth="1"/>
    <col min="13579" max="13579" width="16.28515625" style="439" customWidth="1"/>
    <col min="13580" max="13824" width="10.28515625" style="439"/>
    <col min="13825" max="13825" width="6.42578125" style="439" customWidth="1"/>
    <col min="13826" max="13826" width="58.28515625" style="439" customWidth="1"/>
    <col min="13827" max="13827" width="10.28515625" style="439"/>
    <col min="13828" max="13828" width="11" style="439" customWidth="1"/>
    <col min="13829" max="13830" width="9.7109375" style="439" customWidth="1"/>
    <col min="13831" max="13831" width="10.7109375" style="439" customWidth="1"/>
    <col min="13832" max="13833" width="11.28515625" style="439" customWidth="1"/>
    <col min="13834" max="13834" width="17" style="439" customWidth="1"/>
    <col min="13835" max="13835" width="16.28515625" style="439" customWidth="1"/>
    <col min="13836" max="14080" width="10.28515625" style="439"/>
    <col min="14081" max="14081" width="6.42578125" style="439" customWidth="1"/>
    <col min="14082" max="14082" width="58.28515625" style="439" customWidth="1"/>
    <col min="14083" max="14083" width="10.28515625" style="439"/>
    <col min="14084" max="14084" width="11" style="439" customWidth="1"/>
    <col min="14085" max="14086" width="9.7109375" style="439" customWidth="1"/>
    <col min="14087" max="14087" width="10.7109375" style="439" customWidth="1"/>
    <col min="14088" max="14089" width="11.28515625" style="439" customWidth="1"/>
    <col min="14090" max="14090" width="17" style="439" customWidth="1"/>
    <col min="14091" max="14091" width="16.28515625" style="439" customWidth="1"/>
    <col min="14092" max="14336" width="10.28515625" style="439"/>
    <col min="14337" max="14337" width="6.42578125" style="439" customWidth="1"/>
    <col min="14338" max="14338" width="58.28515625" style="439" customWidth="1"/>
    <col min="14339" max="14339" width="10.28515625" style="439"/>
    <col min="14340" max="14340" width="11" style="439" customWidth="1"/>
    <col min="14341" max="14342" width="9.7109375" style="439" customWidth="1"/>
    <col min="14343" max="14343" width="10.7109375" style="439" customWidth="1"/>
    <col min="14344" max="14345" width="11.28515625" style="439" customWidth="1"/>
    <col min="14346" max="14346" width="17" style="439" customWidth="1"/>
    <col min="14347" max="14347" width="16.28515625" style="439" customWidth="1"/>
    <col min="14348" max="14592" width="10.28515625" style="439"/>
    <col min="14593" max="14593" width="6.42578125" style="439" customWidth="1"/>
    <col min="14594" max="14594" width="58.28515625" style="439" customWidth="1"/>
    <col min="14595" max="14595" width="10.28515625" style="439"/>
    <col min="14596" max="14596" width="11" style="439" customWidth="1"/>
    <col min="14597" max="14598" width="9.7109375" style="439" customWidth="1"/>
    <col min="14599" max="14599" width="10.7109375" style="439" customWidth="1"/>
    <col min="14600" max="14601" width="11.28515625" style="439" customWidth="1"/>
    <col min="14602" max="14602" width="17" style="439" customWidth="1"/>
    <col min="14603" max="14603" width="16.28515625" style="439" customWidth="1"/>
    <col min="14604" max="14848" width="10.28515625" style="439"/>
    <col min="14849" max="14849" width="6.42578125" style="439" customWidth="1"/>
    <col min="14850" max="14850" width="58.28515625" style="439" customWidth="1"/>
    <col min="14851" max="14851" width="10.28515625" style="439"/>
    <col min="14852" max="14852" width="11" style="439" customWidth="1"/>
    <col min="14853" max="14854" width="9.7109375" style="439" customWidth="1"/>
    <col min="14855" max="14855" width="10.7109375" style="439" customWidth="1"/>
    <col min="14856" max="14857" width="11.28515625" style="439" customWidth="1"/>
    <col min="14858" max="14858" width="17" style="439" customWidth="1"/>
    <col min="14859" max="14859" width="16.28515625" style="439" customWidth="1"/>
    <col min="14860" max="15104" width="10.28515625" style="439"/>
    <col min="15105" max="15105" width="6.42578125" style="439" customWidth="1"/>
    <col min="15106" max="15106" width="58.28515625" style="439" customWidth="1"/>
    <col min="15107" max="15107" width="10.28515625" style="439"/>
    <col min="15108" max="15108" width="11" style="439" customWidth="1"/>
    <col min="15109" max="15110" width="9.7109375" style="439" customWidth="1"/>
    <col min="15111" max="15111" width="10.7109375" style="439" customWidth="1"/>
    <col min="15112" max="15113" width="11.28515625" style="439" customWidth="1"/>
    <col min="15114" max="15114" width="17" style="439" customWidth="1"/>
    <col min="15115" max="15115" width="16.28515625" style="439" customWidth="1"/>
    <col min="15116" max="15360" width="10.28515625" style="439"/>
    <col min="15361" max="15361" width="6.42578125" style="439" customWidth="1"/>
    <col min="15362" max="15362" width="58.28515625" style="439" customWidth="1"/>
    <col min="15363" max="15363" width="10.28515625" style="439"/>
    <col min="15364" max="15364" width="11" style="439" customWidth="1"/>
    <col min="15365" max="15366" width="9.7109375" style="439" customWidth="1"/>
    <col min="15367" max="15367" width="10.7109375" style="439" customWidth="1"/>
    <col min="15368" max="15369" width="11.28515625" style="439" customWidth="1"/>
    <col min="15370" max="15370" width="17" style="439" customWidth="1"/>
    <col min="15371" max="15371" width="16.28515625" style="439" customWidth="1"/>
    <col min="15372" max="15616" width="10.28515625" style="439"/>
    <col min="15617" max="15617" width="6.42578125" style="439" customWidth="1"/>
    <col min="15618" max="15618" width="58.28515625" style="439" customWidth="1"/>
    <col min="15619" max="15619" width="10.28515625" style="439"/>
    <col min="15620" max="15620" width="11" style="439" customWidth="1"/>
    <col min="15621" max="15622" width="9.7109375" style="439" customWidth="1"/>
    <col min="15623" max="15623" width="10.7109375" style="439" customWidth="1"/>
    <col min="15624" max="15625" width="11.28515625" style="439" customWidth="1"/>
    <col min="15626" max="15626" width="17" style="439" customWidth="1"/>
    <col min="15627" max="15627" width="16.28515625" style="439" customWidth="1"/>
    <col min="15628" max="15872" width="10.28515625" style="439"/>
    <col min="15873" max="15873" width="6.42578125" style="439" customWidth="1"/>
    <col min="15874" max="15874" width="58.28515625" style="439" customWidth="1"/>
    <col min="15875" max="15875" width="10.28515625" style="439"/>
    <col min="15876" max="15876" width="11" style="439" customWidth="1"/>
    <col min="15877" max="15878" width="9.7109375" style="439" customWidth="1"/>
    <col min="15879" max="15879" width="10.7109375" style="439" customWidth="1"/>
    <col min="15880" max="15881" width="11.28515625" style="439" customWidth="1"/>
    <col min="15882" max="15882" width="17" style="439" customWidth="1"/>
    <col min="15883" max="15883" width="16.28515625" style="439" customWidth="1"/>
    <col min="15884" max="16128" width="10.28515625" style="439"/>
    <col min="16129" max="16129" width="6.42578125" style="439" customWidth="1"/>
    <col min="16130" max="16130" width="58.28515625" style="439" customWidth="1"/>
    <col min="16131" max="16131" width="10.28515625" style="439"/>
    <col min="16132" max="16132" width="11" style="439" customWidth="1"/>
    <col min="16133" max="16134" width="9.7109375" style="439" customWidth="1"/>
    <col min="16135" max="16135" width="10.7109375" style="439" customWidth="1"/>
    <col min="16136" max="16137" width="11.28515625" style="439" customWidth="1"/>
    <col min="16138" max="16138" width="17" style="439" customWidth="1"/>
    <col min="16139" max="16139" width="16.28515625" style="439" customWidth="1"/>
    <col min="16140" max="16384" width="10.28515625" style="439"/>
  </cols>
  <sheetData>
    <row r="1" spans="1:12" ht="12" customHeight="1" x14ac:dyDescent="0.2">
      <c r="A1" s="438"/>
      <c r="C1" s="440"/>
      <c r="D1" s="440"/>
      <c r="E1" s="440"/>
      <c r="F1" s="440"/>
      <c r="H1" s="440" t="s">
        <v>17</v>
      </c>
    </row>
    <row r="2" spans="1:12" ht="12" customHeight="1" x14ac:dyDescent="0.2">
      <c r="C2" s="440"/>
      <c r="D2" s="440"/>
      <c r="E2" s="440"/>
      <c r="F2" s="440"/>
      <c r="H2" s="3" t="s">
        <v>469</v>
      </c>
    </row>
    <row r="3" spans="1:12" ht="12" customHeight="1" x14ac:dyDescent="0.2">
      <c r="C3" s="440"/>
      <c r="D3" s="440"/>
      <c r="E3" s="440"/>
      <c r="F3" s="440"/>
      <c r="H3" s="3" t="s">
        <v>40</v>
      </c>
    </row>
    <row r="4" spans="1:12" ht="12" customHeight="1" x14ac:dyDescent="0.2">
      <c r="B4" s="440"/>
      <c r="C4" s="441"/>
      <c r="D4" s="440"/>
      <c r="E4" s="441"/>
      <c r="F4" s="440"/>
      <c r="H4" s="3" t="s">
        <v>470</v>
      </c>
    </row>
    <row r="5" spans="1:12" ht="12" customHeight="1" x14ac:dyDescent="0.2">
      <c r="B5" s="440"/>
      <c r="C5" s="441"/>
      <c r="D5" s="440"/>
      <c r="E5" s="441"/>
      <c r="F5" s="440"/>
      <c r="G5" s="440"/>
      <c r="H5" s="440"/>
    </row>
    <row r="6" spans="1:12" ht="12.75" customHeight="1" x14ac:dyDescent="0.2">
      <c r="A6" s="442" t="s">
        <v>471</v>
      </c>
      <c r="B6" s="442"/>
      <c r="C6" s="442"/>
      <c r="D6" s="442"/>
      <c r="E6" s="442"/>
      <c r="F6" s="442"/>
      <c r="G6" s="442"/>
      <c r="H6" s="442"/>
      <c r="I6" s="442"/>
    </row>
    <row r="7" spans="1:12" ht="11.25" customHeight="1" x14ac:dyDescent="0.2">
      <c r="I7" s="439" t="s">
        <v>1</v>
      </c>
    </row>
    <row r="8" spans="1:12" ht="11.25" customHeight="1" x14ac:dyDescent="0.2">
      <c r="A8" s="443"/>
      <c r="B8" s="443"/>
      <c r="C8" s="444" t="s">
        <v>472</v>
      </c>
      <c r="D8" s="445" t="s">
        <v>473</v>
      </c>
      <c r="E8" s="446" t="s">
        <v>24</v>
      </c>
      <c r="F8" s="447"/>
      <c r="G8" s="446" t="s">
        <v>474</v>
      </c>
      <c r="H8" s="448"/>
      <c r="I8" s="447"/>
    </row>
    <row r="9" spans="1:12" ht="11.25" customHeight="1" x14ac:dyDescent="0.2">
      <c r="A9" s="449"/>
      <c r="B9" s="449"/>
      <c r="C9" s="450"/>
      <c r="D9" s="451" t="s">
        <v>475</v>
      </c>
      <c r="E9" s="444"/>
      <c r="F9" s="444"/>
      <c r="G9" s="446" t="s">
        <v>476</v>
      </c>
      <c r="H9" s="448"/>
      <c r="I9" s="447"/>
    </row>
    <row r="10" spans="1:12" ht="11.25" customHeight="1" x14ac:dyDescent="0.2">
      <c r="A10" s="449"/>
      <c r="B10" s="449"/>
      <c r="C10" s="450" t="s">
        <v>477</v>
      </c>
      <c r="D10" s="451" t="s">
        <v>478</v>
      </c>
      <c r="E10" s="450"/>
      <c r="F10" s="450"/>
      <c r="G10" s="444"/>
      <c r="H10" s="444"/>
      <c r="I10" s="444"/>
    </row>
    <row r="11" spans="1:12" ht="14.25" customHeight="1" x14ac:dyDescent="0.2">
      <c r="A11" s="449" t="s">
        <v>25</v>
      </c>
      <c r="B11" s="449" t="s">
        <v>479</v>
      </c>
      <c r="C11" s="450" t="s">
        <v>480</v>
      </c>
      <c r="D11" s="451" t="s">
        <v>481</v>
      </c>
      <c r="E11" s="450"/>
      <c r="F11" s="450"/>
      <c r="G11" s="450"/>
      <c r="H11" s="450"/>
      <c r="I11" s="450"/>
    </row>
    <row r="12" spans="1:12" ht="32.25" customHeight="1" x14ac:dyDescent="0.2">
      <c r="A12" s="449"/>
      <c r="B12" s="449"/>
      <c r="C12" s="450" t="s">
        <v>482</v>
      </c>
      <c r="D12" s="451" t="s">
        <v>483</v>
      </c>
      <c r="E12" s="450" t="s">
        <v>484</v>
      </c>
      <c r="F12" s="450" t="s">
        <v>485</v>
      </c>
      <c r="G12" s="450" t="s">
        <v>486</v>
      </c>
      <c r="H12" s="450" t="s">
        <v>487</v>
      </c>
      <c r="I12" s="450" t="s">
        <v>485</v>
      </c>
    </row>
    <row r="13" spans="1:12" ht="18.75" customHeight="1" x14ac:dyDescent="0.2">
      <c r="A13" s="452"/>
      <c r="B13" s="452"/>
      <c r="D13" s="453" t="s">
        <v>488</v>
      </c>
      <c r="E13" s="454"/>
      <c r="F13" s="454"/>
      <c r="G13" s="454"/>
      <c r="H13" s="454"/>
      <c r="I13" s="454"/>
    </row>
    <row r="14" spans="1:12" ht="11.25" customHeight="1" x14ac:dyDescent="0.2">
      <c r="A14" s="455">
        <v>1</v>
      </c>
      <c r="B14" s="455">
        <v>2</v>
      </c>
      <c r="C14" s="455">
        <v>3</v>
      </c>
      <c r="D14" s="455">
        <v>4</v>
      </c>
      <c r="E14" s="455">
        <v>5</v>
      </c>
      <c r="F14" s="455">
        <v>6</v>
      </c>
      <c r="G14" s="456">
        <v>7</v>
      </c>
      <c r="H14" s="455">
        <v>8</v>
      </c>
      <c r="I14" s="455">
        <v>9</v>
      </c>
    </row>
    <row r="15" spans="1:12" s="463" customFormat="1" ht="21.75" customHeight="1" x14ac:dyDescent="0.2">
      <c r="A15" s="457"/>
      <c r="B15" s="458" t="s">
        <v>489</v>
      </c>
      <c r="C15" s="459"/>
      <c r="D15" s="460">
        <v>146036209.92999998</v>
      </c>
      <c r="E15" s="460">
        <v>50762468.280000009</v>
      </c>
      <c r="F15" s="460">
        <v>95273741.649999991</v>
      </c>
      <c r="G15" s="461">
        <v>67915136.950000003</v>
      </c>
      <c r="H15" s="460">
        <v>16658950.900000002</v>
      </c>
      <c r="I15" s="460">
        <v>51256186.050000012</v>
      </c>
      <c r="J15" s="462"/>
      <c r="K15" s="462"/>
    </row>
    <row r="16" spans="1:12" s="463" customFormat="1" ht="12" customHeight="1" x14ac:dyDescent="0.2">
      <c r="A16" s="464"/>
      <c r="B16" s="465" t="s">
        <v>490</v>
      </c>
      <c r="C16" s="466"/>
      <c r="D16" s="467">
        <v>27057991.889999993</v>
      </c>
      <c r="E16" s="467">
        <v>3317014.89</v>
      </c>
      <c r="F16" s="467">
        <v>23740976.999999996</v>
      </c>
      <c r="G16" s="467">
        <v>16126734.830000002</v>
      </c>
      <c r="H16" s="467">
        <v>1419388.13</v>
      </c>
      <c r="I16" s="467">
        <v>14707346.700000001</v>
      </c>
      <c r="J16" s="462"/>
      <c r="K16" s="468"/>
      <c r="L16" s="468"/>
    </row>
    <row r="17" spans="1:11" s="463" customFormat="1" ht="12" customHeight="1" x14ac:dyDescent="0.2">
      <c r="A17" s="464"/>
      <c r="B17" s="469" t="s">
        <v>491</v>
      </c>
      <c r="C17" s="470"/>
      <c r="D17" s="471">
        <v>118978218.03999999</v>
      </c>
      <c r="E17" s="471">
        <v>47445453.390000008</v>
      </c>
      <c r="F17" s="471">
        <v>71532764.649999991</v>
      </c>
      <c r="G17" s="471">
        <v>51788402.119999997</v>
      </c>
      <c r="H17" s="471">
        <v>15239562.770000001</v>
      </c>
      <c r="I17" s="471">
        <v>36548839.350000009</v>
      </c>
      <c r="J17" s="462"/>
      <c r="K17" s="468"/>
    </row>
    <row r="18" spans="1:11" ht="33" customHeight="1" thickBot="1" x14ac:dyDescent="0.25">
      <c r="A18" s="472" t="s">
        <v>492</v>
      </c>
      <c r="B18" s="473" t="s">
        <v>493</v>
      </c>
      <c r="C18" s="474"/>
      <c r="D18" s="475">
        <v>124381919.55000001</v>
      </c>
      <c r="E18" s="475">
        <v>46694757.170000002</v>
      </c>
      <c r="F18" s="475">
        <v>77687162.379999995</v>
      </c>
      <c r="G18" s="475">
        <v>56620104.349999994</v>
      </c>
      <c r="H18" s="475">
        <v>14359986.540000001</v>
      </c>
      <c r="I18" s="475">
        <v>42260117.809999995</v>
      </c>
      <c r="J18" s="476"/>
    </row>
    <row r="19" spans="1:11" ht="23.25" customHeight="1" x14ac:dyDescent="0.2">
      <c r="A19" s="477" t="s">
        <v>494</v>
      </c>
      <c r="B19" s="478" t="s">
        <v>495</v>
      </c>
      <c r="C19" s="479"/>
      <c r="D19" s="480"/>
      <c r="E19" s="480"/>
      <c r="F19" s="481"/>
      <c r="G19" s="480"/>
      <c r="H19" s="480"/>
      <c r="I19" s="481"/>
    </row>
    <row r="20" spans="1:11" ht="12" customHeight="1" x14ac:dyDescent="0.2">
      <c r="A20" s="477"/>
      <c r="B20" s="482" t="s">
        <v>496</v>
      </c>
      <c r="C20" s="483"/>
      <c r="D20" s="484"/>
      <c r="E20" s="484"/>
      <c r="F20" s="485"/>
      <c r="G20" s="484"/>
      <c r="H20" s="484"/>
      <c r="I20" s="485"/>
    </row>
    <row r="21" spans="1:11" ht="12" customHeight="1" x14ac:dyDescent="0.2">
      <c r="A21" s="477"/>
      <c r="B21" s="486" t="s">
        <v>491</v>
      </c>
      <c r="C21" s="487" t="s">
        <v>497</v>
      </c>
      <c r="D21" s="488"/>
      <c r="E21" s="488"/>
      <c r="F21" s="485"/>
      <c r="G21" s="484"/>
      <c r="H21" s="488"/>
      <c r="I21" s="485"/>
    </row>
    <row r="22" spans="1:11" ht="12" customHeight="1" x14ac:dyDescent="0.2">
      <c r="A22" s="489"/>
      <c r="B22" s="490" t="s">
        <v>490</v>
      </c>
      <c r="C22" s="491" t="s">
        <v>498</v>
      </c>
      <c r="D22" s="492">
        <v>50000</v>
      </c>
      <c r="E22" s="492"/>
      <c r="F22" s="493">
        <v>50000</v>
      </c>
      <c r="G22" s="494">
        <v>50000</v>
      </c>
      <c r="H22" s="492"/>
      <c r="I22" s="493">
        <v>50000</v>
      </c>
    </row>
    <row r="23" spans="1:11" ht="11.1" customHeight="1" x14ac:dyDescent="0.2">
      <c r="A23" s="495"/>
      <c r="C23" s="496"/>
      <c r="D23" s="476"/>
      <c r="E23" s="476"/>
      <c r="F23" s="476"/>
      <c r="G23" s="476"/>
      <c r="H23" s="476"/>
      <c r="I23" s="497"/>
    </row>
    <row r="24" spans="1:11" ht="15.75" customHeight="1" x14ac:dyDescent="0.2">
      <c r="A24" s="498" t="s">
        <v>499</v>
      </c>
      <c r="D24" s="476"/>
      <c r="E24" s="476"/>
      <c r="F24" s="476"/>
      <c r="G24" s="476"/>
      <c r="H24" s="476"/>
      <c r="I24" s="476"/>
    </row>
    <row r="25" spans="1:11" ht="11.1" customHeight="1" x14ac:dyDescent="0.2">
      <c r="A25" s="495"/>
      <c r="D25" s="476"/>
      <c r="E25" s="476"/>
      <c r="F25" s="476"/>
      <c r="G25" s="476"/>
      <c r="H25" s="476"/>
      <c r="I25" s="476"/>
    </row>
    <row r="26" spans="1:11" ht="11.1" customHeight="1" x14ac:dyDescent="0.2">
      <c r="A26" s="495"/>
      <c r="D26" s="476"/>
      <c r="E26" s="476"/>
      <c r="F26" s="476"/>
      <c r="G26" s="476"/>
      <c r="H26" s="476"/>
      <c r="I26" s="476"/>
    </row>
    <row r="27" spans="1:11" ht="11.1" customHeight="1" x14ac:dyDescent="0.2">
      <c r="A27" s="495"/>
      <c r="D27" s="476"/>
      <c r="E27" s="476"/>
      <c r="F27" s="476"/>
      <c r="G27" s="476"/>
      <c r="H27" s="476"/>
      <c r="I27" s="476"/>
    </row>
    <row r="28" spans="1:11" ht="11.1" customHeight="1" x14ac:dyDescent="0.2">
      <c r="A28" s="495"/>
      <c r="D28" s="476"/>
      <c r="E28" s="476"/>
      <c r="F28" s="476"/>
      <c r="G28" s="476"/>
      <c r="H28" s="476"/>
      <c r="I28" s="476"/>
    </row>
    <row r="29" spans="1:11" ht="11.1" customHeight="1" x14ac:dyDescent="0.2">
      <c r="A29" s="495"/>
      <c r="D29" s="476"/>
      <c r="E29" s="476"/>
      <c r="F29" s="476"/>
      <c r="G29" s="476"/>
      <c r="H29" s="476"/>
      <c r="I29" s="476"/>
    </row>
    <row r="30" spans="1:11" ht="11.1" customHeight="1" x14ac:dyDescent="0.2">
      <c r="A30" s="495"/>
      <c r="D30" s="476"/>
      <c r="E30" s="476"/>
      <c r="F30" s="476"/>
      <c r="G30" s="476"/>
      <c r="H30" s="476"/>
      <c r="I30" s="476"/>
    </row>
    <row r="31" spans="1:11" ht="11.1" customHeight="1" x14ac:dyDescent="0.2">
      <c r="A31" s="495"/>
      <c r="D31" s="476"/>
      <c r="E31" s="476"/>
      <c r="F31" s="476"/>
      <c r="G31" s="476"/>
      <c r="H31" s="476"/>
      <c r="I31" s="476"/>
    </row>
    <row r="32" spans="1:11" ht="11.1" customHeight="1" x14ac:dyDescent="0.2">
      <c r="A32" s="495"/>
      <c r="D32" s="476"/>
      <c r="E32" s="476"/>
      <c r="F32" s="476"/>
      <c r="G32" s="476"/>
      <c r="H32" s="476"/>
      <c r="I32" s="476"/>
    </row>
    <row r="33" spans="1:9" ht="11.1" customHeight="1" x14ac:dyDescent="0.2">
      <c r="A33" s="495"/>
      <c r="D33" s="476"/>
      <c r="E33" s="476"/>
      <c r="F33" s="476"/>
      <c r="G33" s="476"/>
      <c r="H33" s="476"/>
      <c r="I33" s="476"/>
    </row>
    <row r="34" spans="1:9" ht="11.1" customHeight="1" x14ac:dyDescent="0.2">
      <c r="A34" s="495"/>
      <c r="D34" s="476"/>
      <c r="E34" s="476"/>
      <c r="F34" s="476"/>
      <c r="G34" s="476"/>
      <c r="H34" s="476"/>
      <c r="I34" s="476"/>
    </row>
    <row r="35" spans="1:9" ht="11.1" customHeight="1" x14ac:dyDescent="0.2">
      <c r="A35" s="495"/>
      <c r="D35" s="476"/>
      <c r="E35" s="476"/>
      <c r="F35" s="476"/>
      <c r="G35" s="476"/>
      <c r="H35" s="476"/>
      <c r="I35" s="476"/>
    </row>
    <row r="36" spans="1:9" ht="11.1" customHeight="1" x14ac:dyDescent="0.2">
      <c r="A36" s="495"/>
      <c r="D36" s="476"/>
      <c r="E36" s="476"/>
      <c r="F36" s="476"/>
      <c r="G36" s="476"/>
      <c r="H36" s="476"/>
      <c r="I36" s="476"/>
    </row>
    <row r="37" spans="1:9" ht="11.1" customHeight="1" x14ac:dyDescent="0.2">
      <c r="A37" s="495"/>
      <c r="D37" s="476"/>
      <c r="E37" s="476"/>
      <c r="F37" s="476"/>
      <c r="G37" s="476"/>
      <c r="H37" s="476"/>
      <c r="I37" s="476"/>
    </row>
    <row r="38" spans="1:9" ht="11.1" customHeight="1" x14ac:dyDescent="0.2">
      <c r="A38" s="495"/>
      <c r="D38" s="476"/>
      <c r="E38" s="476"/>
      <c r="F38" s="476"/>
      <c r="G38" s="476"/>
      <c r="H38" s="476"/>
      <c r="I38" s="476"/>
    </row>
    <row r="39" spans="1:9" ht="11.1" customHeight="1" x14ac:dyDescent="0.2">
      <c r="A39" s="495"/>
      <c r="D39" s="476"/>
      <c r="E39" s="476"/>
      <c r="F39" s="476"/>
      <c r="G39" s="476"/>
      <c r="H39" s="476"/>
      <c r="I39" s="476"/>
    </row>
    <row r="40" spans="1:9" ht="12.75" customHeight="1" x14ac:dyDescent="0.2">
      <c r="A40" s="498"/>
      <c r="D40" s="480"/>
      <c r="E40" s="480"/>
      <c r="F40" s="480"/>
      <c r="G40" s="480"/>
      <c r="H40" s="480"/>
      <c r="I40" s="480"/>
    </row>
    <row r="41" spans="1:9" ht="12.75" customHeight="1" x14ac:dyDescent="0.2">
      <c r="A41" s="498"/>
    </row>
    <row r="42" spans="1:9" x14ac:dyDescent="0.2">
      <c r="A42" s="49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4230-6448-4F68-9727-349747866180}">
  <dimension ref="A1:BV22"/>
  <sheetViews>
    <sheetView zoomScale="130" zoomScaleNormal="130" workbookViewId="0"/>
  </sheetViews>
  <sheetFormatPr defaultRowHeight="12.75" x14ac:dyDescent="0.2"/>
  <cols>
    <col min="1" max="1" width="4.28515625" style="190" customWidth="1"/>
    <col min="2" max="2" width="8.7109375" style="190" customWidth="1"/>
    <col min="3" max="3" width="5.5703125" style="190" customWidth="1"/>
    <col min="4" max="4" width="10.140625" style="190" customWidth="1"/>
    <col min="5" max="5" width="10.42578125" style="190" customWidth="1"/>
    <col min="6" max="6" width="10.28515625" style="190" customWidth="1"/>
    <col min="7" max="7" width="14" style="190" customWidth="1"/>
    <col min="8" max="8" width="14.28515625" style="192" customWidth="1"/>
    <col min="9" max="9" width="11.28515625" style="192" customWidth="1"/>
    <col min="10" max="74" width="9.140625" style="192"/>
    <col min="75" max="256" width="9.140625" style="190"/>
    <col min="257" max="257" width="4.28515625" style="190" customWidth="1"/>
    <col min="258" max="258" width="8.7109375" style="190" customWidth="1"/>
    <col min="259" max="259" width="5.5703125" style="190" customWidth="1"/>
    <col min="260" max="260" width="10.140625" style="190" customWidth="1"/>
    <col min="261" max="261" width="10.42578125" style="190" customWidth="1"/>
    <col min="262" max="262" width="10.28515625" style="190" customWidth="1"/>
    <col min="263" max="263" width="14" style="190" customWidth="1"/>
    <col min="264" max="264" width="14.28515625" style="190" customWidth="1"/>
    <col min="265" max="265" width="11.28515625" style="190" customWidth="1"/>
    <col min="266" max="512" width="9.140625" style="190"/>
    <col min="513" max="513" width="4.28515625" style="190" customWidth="1"/>
    <col min="514" max="514" width="8.7109375" style="190" customWidth="1"/>
    <col min="515" max="515" width="5.5703125" style="190" customWidth="1"/>
    <col min="516" max="516" width="10.140625" style="190" customWidth="1"/>
    <col min="517" max="517" width="10.42578125" style="190" customWidth="1"/>
    <col min="518" max="518" width="10.28515625" style="190" customWidth="1"/>
    <col min="519" max="519" width="14" style="190" customWidth="1"/>
    <col min="520" max="520" width="14.28515625" style="190" customWidth="1"/>
    <col min="521" max="521" width="11.28515625" style="190" customWidth="1"/>
    <col min="522" max="768" width="9.140625" style="190"/>
    <col min="769" max="769" width="4.28515625" style="190" customWidth="1"/>
    <col min="770" max="770" width="8.7109375" style="190" customWidth="1"/>
    <col min="771" max="771" width="5.5703125" style="190" customWidth="1"/>
    <col min="772" max="772" width="10.140625" style="190" customWidth="1"/>
    <col min="773" max="773" width="10.42578125" style="190" customWidth="1"/>
    <col min="774" max="774" width="10.28515625" style="190" customWidth="1"/>
    <col min="775" max="775" width="14" style="190" customWidth="1"/>
    <col min="776" max="776" width="14.28515625" style="190" customWidth="1"/>
    <col min="777" max="777" width="11.28515625" style="190" customWidth="1"/>
    <col min="778" max="1024" width="9.140625" style="190"/>
    <col min="1025" max="1025" width="4.28515625" style="190" customWidth="1"/>
    <col min="1026" max="1026" width="8.7109375" style="190" customWidth="1"/>
    <col min="1027" max="1027" width="5.5703125" style="190" customWidth="1"/>
    <col min="1028" max="1028" width="10.140625" style="190" customWidth="1"/>
    <col min="1029" max="1029" width="10.42578125" style="190" customWidth="1"/>
    <col min="1030" max="1030" width="10.28515625" style="190" customWidth="1"/>
    <col min="1031" max="1031" width="14" style="190" customWidth="1"/>
    <col min="1032" max="1032" width="14.28515625" style="190" customWidth="1"/>
    <col min="1033" max="1033" width="11.28515625" style="190" customWidth="1"/>
    <col min="1034" max="1280" width="9.140625" style="190"/>
    <col min="1281" max="1281" width="4.28515625" style="190" customWidth="1"/>
    <col min="1282" max="1282" width="8.7109375" style="190" customWidth="1"/>
    <col min="1283" max="1283" width="5.5703125" style="190" customWidth="1"/>
    <col min="1284" max="1284" width="10.140625" style="190" customWidth="1"/>
    <col min="1285" max="1285" width="10.42578125" style="190" customWidth="1"/>
    <col min="1286" max="1286" width="10.28515625" style="190" customWidth="1"/>
    <col min="1287" max="1287" width="14" style="190" customWidth="1"/>
    <col min="1288" max="1288" width="14.28515625" style="190" customWidth="1"/>
    <col min="1289" max="1289" width="11.28515625" style="190" customWidth="1"/>
    <col min="1290" max="1536" width="9.140625" style="190"/>
    <col min="1537" max="1537" width="4.28515625" style="190" customWidth="1"/>
    <col min="1538" max="1538" width="8.7109375" style="190" customWidth="1"/>
    <col min="1539" max="1539" width="5.5703125" style="190" customWidth="1"/>
    <col min="1540" max="1540" width="10.140625" style="190" customWidth="1"/>
    <col min="1541" max="1541" width="10.42578125" style="190" customWidth="1"/>
    <col min="1542" max="1542" width="10.28515625" style="190" customWidth="1"/>
    <col min="1543" max="1543" width="14" style="190" customWidth="1"/>
    <col min="1544" max="1544" width="14.28515625" style="190" customWidth="1"/>
    <col min="1545" max="1545" width="11.28515625" style="190" customWidth="1"/>
    <col min="1546" max="1792" width="9.140625" style="190"/>
    <col min="1793" max="1793" width="4.28515625" style="190" customWidth="1"/>
    <col min="1794" max="1794" width="8.7109375" style="190" customWidth="1"/>
    <col min="1795" max="1795" width="5.5703125" style="190" customWidth="1"/>
    <col min="1796" max="1796" width="10.140625" style="190" customWidth="1"/>
    <col min="1797" max="1797" width="10.42578125" style="190" customWidth="1"/>
    <col min="1798" max="1798" width="10.28515625" style="190" customWidth="1"/>
    <col min="1799" max="1799" width="14" style="190" customWidth="1"/>
    <col min="1800" max="1800" width="14.28515625" style="190" customWidth="1"/>
    <col min="1801" max="1801" width="11.28515625" style="190" customWidth="1"/>
    <col min="1802" max="2048" width="9.140625" style="190"/>
    <col min="2049" max="2049" width="4.28515625" style="190" customWidth="1"/>
    <col min="2050" max="2050" width="8.7109375" style="190" customWidth="1"/>
    <col min="2051" max="2051" width="5.5703125" style="190" customWidth="1"/>
    <col min="2052" max="2052" width="10.140625" style="190" customWidth="1"/>
    <col min="2053" max="2053" width="10.42578125" style="190" customWidth="1"/>
    <col min="2054" max="2054" width="10.28515625" style="190" customWidth="1"/>
    <col min="2055" max="2055" width="14" style="190" customWidth="1"/>
    <col min="2056" max="2056" width="14.28515625" style="190" customWidth="1"/>
    <col min="2057" max="2057" width="11.28515625" style="190" customWidth="1"/>
    <col min="2058" max="2304" width="9.140625" style="190"/>
    <col min="2305" max="2305" width="4.28515625" style="190" customWidth="1"/>
    <col min="2306" max="2306" width="8.7109375" style="190" customWidth="1"/>
    <col min="2307" max="2307" width="5.5703125" style="190" customWidth="1"/>
    <col min="2308" max="2308" width="10.140625" style="190" customWidth="1"/>
    <col min="2309" max="2309" width="10.42578125" style="190" customWidth="1"/>
    <col min="2310" max="2310" width="10.28515625" style="190" customWidth="1"/>
    <col min="2311" max="2311" width="14" style="190" customWidth="1"/>
    <col min="2312" max="2312" width="14.28515625" style="190" customWidth="1"/>
    <col min="2313" max="2313" width="11.28515625" style="190" customWidth="1"/>
    <col min="2314" max="2560" width="9.140625" style="190"/>
    <col min="2561" max="2561" width="4.28515625" style="190" customWidth="1"/>
    <col min="2562" max="2562" width="8.7109375" style="190" customWidth="1"/>
    <col min="2563" max="2563" width="5.5703125" style="190" customWidth="1"/>
    <col min="2564" max="2564" width="10.140625" style="190" customWidth="1"/>
    <col min="2565" max="2565" width="10.42578125" style="190" customWidth="1"/>
    <col min="2566" max="2566" width="10.28515625" style="190" customWidth="1"/>
    <col min="2567" max="2567" width="14" style="190" customWidth="1"/>
    <col min="2568" max="2568" width="14.28515625" style="190" customWidth="1"/>
    <col min="2569" max="2569" width="11.28515625" style="190" customWidth="1"/>
    <col min="2570" max="2816" width="9.140625" style="190"/>
    <col min="2817" max="2817" width="4.28515625" style="190" customWidth="1"/>
    <col min="2818" max="2818" width="8.7109375" style="190" customWidth="1"/>
    <col min="2819" max="2819" width="5.5703125" style="190" customWidth="1"/>
    <col min="2820" max="2820" width="10.140625" style="190" customWidth="1"/>
    <col min="2821" max="2821" width="10.42578125" style="190" customWidth="1"/>
    <col min="2822" max="2822" width="10.28515625" style="190" customWidth="1"/>
    <col min="2823" max="2823" width="14" style="190" customWidth="1"/>
    <col min="2824" max="2824" width="14.28515625" style="190" customWidth="1"/>
    <col min="2825" max="2825" width="11.28515625" style="190" customWidth="1"/>
    <col min="2826" max="3072" width="9.140625" style="190"/>
    <col min="3073" max="3073" width="4.28515625" style="190" customWidth="1"/>
    <col min="3074" max="3074" width="8.7109375" style="190" customWidth="1"/>
    <col min="3075" max="3075" width="5.5703125" style="190" customWidth="1"/>
    <col min="3076" max="3076" width="10.140625" style="190" customWidth="1"/>
    <col min="3077" max="3077" width="10.42578125" style="190" customWidth="1"/>
    <col min="3078" max="3078" width="10.28515625" style="190" customWidth="1"/>
    <col min="3079" max="3079" width="14" style="190" customWidth="1"/>
    <col min="3080" max="3080" width="14.28515625" style="190" customWidth="1"/>
    <col min="3081" max="3081" width="11.28515625" style="190" customWidth="1"/>
    <col min="3082" max="3328" width="9.140625" style="190"/>
    <col min="3329" max="3329" width="4.28515625" style="190" customWidth="1"/>
    <col min="3330" max="3330" width="8.7109375" style="190" customWidth="1"/>
    <col min="3331" max="3331" width="5.5703125" style="190" customWidth="1"/>
    <col min="3332" max="3332" width="10.140625" style="190" customWidth="1"/>
    <col min="3333" max="3333" width="10.42578125" style="190" customWidth="1"/>
    <col min="3334" max="3334" width="10.28515625" style="190" customWidth="1"/>
    <col min="3335" max="3335" width="14" style="190" customWidth="1"/>
    <col min="3336" max="3336" width="14.28515625" style="190" customWidth="1"/>
    <col min="3337" max="3337" width="11.28515625" style="190" customWidth="1"/>
    <col min="3338" max="3584" width="9.140625" style="190"/>
    <col min="3585" max="3585" width="4.28515625" style="190" customWidth="1"/>
    <col min="3586" max="3586" width="8.7109375" style="190" customWidth="1"/>
    <col min="3587" max="3587" width="5.5703125" style="190" customWidth="1"/>
    <col min="3588" max="3588" width="10.140625" style="190" customWidth="1"/>
    <col min="3589" max="3589" width="10.42578125" style="190" customWidth="1"/>
    <col min="3590" max="3590" width="10.28515625" style="190" customWidth="1"/>
    <col min="3591" max="3591" width="14" style="190" customWidth="1"/>
    <col min="3592" max="3592" width="14.28515625" style="190" customWidth="1"/>
    <col min="3593" max="3593" width="11.28515625" style="190" customWidth="1"/>
    <col min="3594" max="3840" width="9.140625" style="190"/>
    <col min="3841" max="3841" width="4.28515625" style="190" customWidth="1"/>
    <col min="3842" max="3842" width="8.7109375" style="190" customWidth="1"/>
    <col min="3843" max="3843" width="5.5703125" style="190" customWidth="1"/>
    <col min="3844" max="3844" width="10.140625" style="190" customWidth="1"/>
    <col min="3845" max="3845" width="10.42578125" style="190" customWidth="1"/>
    <col min="3846" max="3846" width="10.28515625" style="190" customWidth="1"/>
    <col min="3847" max="3847" width="14" style="190" customWidth="1"/>
    <col min="3848" max="3848" width="14.28515625" style="190" customWidth="1"/>
    <col min="3849" max="3849" width="11.28515625" style="190" customWidth="1"/>
    <col min="3850" max="4096" width="9.140625" style="190"/>
    <col min="4097" max="4097" width="4.28515625" style="190" customWidth="1"/>
    <col min="4098" max="4098" width="8.7109375" style="190" customWidth="1"/>
    <col min="4099" max="4099" width="5.5703125" style="190" customWidth="1"/>
    <col min="4100" max="4100" width="10.140625" style="190" customWidth="1"/>
    <col min="4101" max="4101" width="10.42578125" style="190" customWidth="1"/>
    <col min="4102" max="4102" width="10.28515625" style="190" customWidth="1"/>
    <col min="4103" max="4103" width="14" style="190" customWidth="1"/>
    <col min="4104" max="4104" width="14.28515625" style="190" customWidth="1"/>
    <col min="4105" max="4105" width="11.28515625" style="190" customWidth="1"/>
    <col min="4106" max="4352" width="9.140625" style="190"/>
    <col min="4353" max="4353" width="4.28515625" style="190" customWidth="1"/>
    <col min="4354" max="4354" width="8.7109375" style="190" customWidth="1"/>
    <col min="4355" max="4355" width="5.5703125" style="190" customWidth="1"/>
    <col min="4356" max="4356" width="10.140625" style="190" customWidth="1"/>
    <col min="4357" max="4357" width="10.42578125" style="190" customWidth="1"/>
    <col min="4358" max="4358" width="10.28515625" style="190" customWidth="1"/>
    <col min="4359" max="4359" width="14" style="190" customWidth="1"/>
    <col min="4360" max="4360" width="14.28515625" style="190" customWidth="1"/>
    <col min="4361" max="4361" width="11.28515625" style="190" customWidth="1"/>
    <col min="4362" max="4608" width="9.140625" style="190"/>
    <col min="4609" max="4609" width="4.28515625" style="190" customWidth="1"/>
    <col min="4610" max="4610" width="8.7109375" style="190" customWidth="1"/>
    <col min="4611" max="4611" width="5.5703125" style="190" customWidth="1"/>
    <col min="4612" max="4612" width="10.140625" style="190" customWidth="1"/>
    <col min="4613" max="4613" width="10.42578125" style="190" customWidth="1"/>
    <col min="4614" max="4614" width="10.28515625" style="190" customWidth="1"/>
    <col min="4615" max="4615" width="14" style="190" customWidth="1"/>
    <col min="4616" max="4616" width="14.28515625" style="190" customWidth="1"/>
    <col min="4617" max="4617" width="11.28515625" style="190" customWidth="1"/>
    <col min="4618" max="4864" width="9.140625" style="190"/>
    <col min="4865" max="4865" width="4.28515625" style="190" customWidth="1"/>
    <col min="4866" max="4866" width="8.7109375" style="190" customWidth="1"/>
    <col min="4867" max="4867" width="5.5703125" style="190" customWidth="1"/>
    <col min="4868" max="4868" width="10.140625" style="190" customWidth="1"/>
    <col min="4869" max="4869" width="10.42578125" style="190" customWidth="1"/>
    <col min="4870" max="4870" width="10.28515625" style="190" customWidth="1"/>
    <col min="4871" max="4871" width="14" style="190" customWidth="1"/>
    <col min="4872" max="4872" width="14.28515625" style="190" customWidth="1"/>
    <col min="4873" max="4873" width="11.28515625" style="190" customWidth="1"/>
    <col min="4874" max="5120" width="9.140625" style="190"/>
    <col min="5121" max="5121" width="4.28515625" style="190" customWidth="1"/>
    <col min="5122" max="5122" width="8.7109375" style="190" customWidth="1"/>
    <col min="5123" max="5123" width="5.5703125" style="190" customWidth="1"/>
    <col min="5124" max="5124" width="10.140625" style="190" customWidth="1"/>
    <col min="5125" max="5125" width="10.42578125" style="190" customWidth="1"/>
    <col min="5126" max="5126" width="10.28515625" style="190" customWidth="1"/>
    <col min="5127" max="5127" width="14" style="190" customWidth="1"/>
    <col min="5128" max="5128" width="14.28515625" style="190" customWidth="1"/>
    <col min="5129" max="5129" width="11.28515625" style="190" customWidth="1"/>
    <col min="5130" max="5376" width="9.140625" style="190"/>
    <col min="5377" max="5377" width="4.28515625" style="190" customWidth="1"/>
    <col min="5378" max="5378" width="8.7109375" style="190" customWidth="1"/>
    <col min="5379" max="5379" width="5.5703125" style="190" customWidth="1"/>
    <col min="5380" max="5380" width="10.140625" style="190" customWidth="1"/>
    <col min="5381" max="5381" width="10.42578125" style="190" customWidth="1"/>
    <col min="5382" max="5382" width="10.28515625" style="190" customWidth="1"/>
    <col min="5383" max="5383" width="14" style="190" customWidth="1"/>
    <col min="5384" max="5384" width="14.28515625" style="190" customWidth="1"/>
    <col min="5385" max="5385" width="11.28515625" style="190" customWidth="1"/>
    <col min="5386" max="5632" width="9.140625" style="190"/>
    <col min="5633" max="5633" width="4.28515625" style="190" customWidth="1"/>
    <col min="5634" max="5634" width="8.7109375" style="190" customWidth="1"/>
    <col min="5635" max="5635" width="5.5703125" style="190" customWidth="1"/>
    <col min="5636" max="5636" width="10.140625" style="190" customWidth="1"/>
    <col min="5637" max="5637" width="10.42578125" style="190" customWidth="1"/>
    <col min="5638" max="5638" width="10.28515625" style="190" customWidth="1"/>
    <col min="5639" max="5639" width="14" style="190" customWidth="1"/>
    <col min="5640" max="5640" width="14.28515625" style="190" customWidth="1"/>
    <col min="5641" max="5641" width="11.28515625" style="190" customWidth="1"/>
    <col min="5642" max="5888" width="9.140625" style="190"/>
    <col min="5889" max="5889" width="4.28515625" style="190" customWidth="1"/>
    <col min="5890" max="5890" width="8.7109375" style="190" customWidth="1"/>
    <col min="5891" max="5891" width="5.5703125" style="190" customWidth="1"/>
    <col min="5892" max="5892" width="10.140625" style="190" customWidth="1"/>
    <col min="5893" max="5893" width="10.42578125" style="190" customWidth="1"/>
    <col min="5894" max="5894" width="10.28515625" style="190" customWidth="1"/>
    <col min="5895" max="5895" width="14" style="190" customWidth="1"/>
    <col min="5896" max="5896" width="14.28515625" style="190" customWidth="1"/>
    <col min="5897" max="5897" width="11.28515625" style="190" customWidth="1"/>
    <col min="5898" max="6144" width="9.140625" style="190"/>
    <col min="6145" max="6145" width="4.28515625" style="190" customWidth="1"/>
    <col min="6146" max="6146" width="8.7109375" style="190" customWidth="1"/>
    <col min="6147" max="6147" width="5.5703125" style="190" customWidth="1"/>
    <col min="6148" max="6148" width="10.140625" style="190" customWidth="1"/>
    <col min="6149" max="6149" width="10.42578125" style="190" customWidth="1"/>
    <col min="6150" max="6150" width="10.28515625" style="190" customWidth="1"/>
    <col min="6151" max="6151" width="14" style="190" customWidth="1"/>
    <col min="6152" max="6152" width="14.28515625" style="190" customWidth="1"/>
    <col min="6153" max="6153" width="11.28515625" style="190" customWidth="1"/>
    <col min="6154" max="6400" width="9.140625" style="190"/>
    <col min="6401" max="6401" width="4.28515625" style="190" customWidth="1"/>
    <col min="6402" max="6402" width="8.7109375" style="190" customWidth="1"/>
    <col min="6403" max="6403" width="5.5703125" style="190" customWidth="1"/>
    <col min="6404" max="6404" width="10.140625" style="190" customWidth="1"/>
    <col min="6405" max="6405" width="10.42578125" style="190" customWidth="1"/>
    <col min="6406" max="6406" width="10.28515625" style="190" customWidth="1"/>
    <col min="6407" max="6407" width="14" style="190" customWidth="1"/>
    <col min="6408" max="6408" width="14.28515625" style="190" customWidth="1"/>
    <col min="6409" max="6409" width="11.28515625" style="190" customWidth="1"/>
    <col min="6410" max="6656" width="9.140625" style="190"/>
    <col min="6657" max="6657" width="4.28515625" style="190" customWidth="1"/>
    <col min="6658" max="6658" width="8.7109375" style="190" customWidth="1"/>
    <col min="6659" max="6659" width="5.5703125" style="190" customWidth="1"/>
    <col min="6660" max="6660" width="10.140625" style="190" customWidth="1"/>
    <col min="6661" max="6661" width="10.42578125" style="190" customWidth="1"/>
    <col min="6662" max="6662" width="10.28515625" style="190" customWidth="1"/>
    <col min="6663" max="6663" width="14" style="190" customWidth="1"/>
    <col min="6664" max="6664" width="14.28515625" style="190" customWidth="1"/>
    <col min="6665" max="6665" width="11.28515625" style="190" customWidth="1"/>
    <col min="6666" max="6912" width="9.140625" style="190"/>
    <col min="6913" max="6913" width="4.28515625" style="190" customWidth="1"/>
    <col min="6914" max="6914" width="8.7109375" style="190" customWidth="1"/>
    <col min="6915" max="6915" width="5.5703125" style="190" customWidth="1"/>
    <col min="6916" max="6916" width="10.140625" style="190" customWidth="1"/>
    <col min="6917" max="6917" width="10.42578125" style="190" customWidth="1"/>
    <col min="6918" max="6918" width="10.28515625" style="190" customWidth="1"/>
    <col min="6919" max="6919" width="14" style="190" customWidth="1"/>
    <col min="6920" max="6920" width="14.28515625" style="190" customWidth="1"/>
    <col min="6921" max="6921" width="11.28515625" style="190" customWidth="1"/>
    <col min="6922" max="7168" width="9.140625" style="190"/>
    <col min="7169" max="7169" width="4.28515625" style="190" customWidth="1"/>
    <col min="7170" max="7170" width="8.7109375" style="190" customWidth="1"/>
    <col min="7171" max="7171" width="5.5703125" style="190" customWidth="1"/>
    <col min="7172" max="7172" width="10.140625" style="190" customWidth="1"/>
    <col min="7173" max="7173" width="10.42578125" style="190" customWidth="1"/>
    <col min="7174" max="7174" width="10.28515625" style="190" customWidth="1"/>
    <col min="7175" max="7175" width="14" style="190" customWidth="1"/>
    <col min="7176" max="7176" width="14.28515625" style="190" customWidth="1"/>
    <col min="7177" max="7177" width="11.28515625" style="190" customWidth="1"/>
    <col min="7178" max="7424" width="9.140625" style="190"/>
    <col min="7425" max="7425" width="4.28515625" style="190" customWidth="1"/>
    <col min="7426" max="7426" width="8.7109375" style="190" customWidth="1"/>
    <col min="7427" max="7427" width="5.5703125" style="190" customWidth="1"/>
    <col min="7428" max="7428" width="10.140625" style="190" customWidth="1"/>
    <col min="7429" max="7429" width="10.42578125" style="190" customWidth="1"/>
    <col min="7430" max="7430" width="10.28515625" style="190" customWidth="1"/>
    <col min="7431" max="7431" width="14" style="190" customWidth="1"/>
    <col min="7432" max="7432" width="14.28515625" style="190" customWidth="1"/>
    <col min="7433" max="7433" width="11.28515625" style="190" customWidth="1"/>
    <col min="7434" max="7680" width="9.140625" style="190"/>
    <col min="7681" max="7681" width="4.28515625" style="190" customWidth="1"/>
    <col min="7682" max="7682" width="8.7109375" style="190" customWidth="1"/>
    <col min="7683" max="7683" width="5.5703125" style="190" customWidth="1"/>
    <col min="7684" max="7684" width="10.140625" style="190" customWidth="1"/>
    <col min="7685" max="7685" width="10.42578125" style="190" customWidth="1"/>
    <col min="7686" max="7686" width="10.28515625" style="190" customWidth="1"/>
    <col min="7687" max="7687" width="14" style="190" customWidth="1"/>
    <col min="7688" max="7688" width="14.28515625" style="190" customWidth="1"/>
    <col min="7689" max="7689" width="11.28515625" style="190" customWidth="1"/>
    <col min="7690" max="7936" width="9.140625" style="190"/>
    <col min="7937" max="7937" width="4.28515625" style="190" customWidth="1"/>
    <col min="7938" max="7938" width="8.7109375" style="190" customWidth="1"/>
    <col min="7939" max="7939" width="5.5703125" style="190" customWidth="1"/>
    <col min="7940" max="7940" width="10.140625" style="190" customWidth="1"/>
    <col min="7941" max="7941" width="10.42578125" style="190" customWidth="1"/>
    <col min="7942" max="7942" width="10.28515625" style="190" customWidth="1"/>
    <col min="7943" max="7943" width="14" style="190" customWidth="1"/>
    <col min="7944" max="7944" width="14.28515625" style="190" customWidth="1"/>
    <col min="7945" max="7945" width="11.28515625" style="190" customWidth="1"/>
    <col min="7946" max="8192" width="9.140625" style="190"/>
    <col min="8193" max="8193" width="4.28515625" style="190" customWidth="1"/>
    <col min="8194" max="8194" width="8.7109375" style="190" customWidth="1"/>
    <col min="8195" max="8195" width="5.5703125" style="190" customWidth="1"/>
    <col min="8196" max="8196" width="10.140625" style="190" customWidth="1"/>
    <col min="8197" max="8197" width="10.42578125" style="190" customWidth="1"/>
    <col min="8198" max="8198" width="10.28515625" style="190" customWidth="1"/>
    <col min="8199" max="8199" width="14" style="190" customWidth="1"/>
    <col min="8200" max="8200" width="14.28515625" style="190" customWidth="1"/>
    <col min="8201" max="8201" width="11.28515625" style="190" customWidth="1"/>
    <col min="8202" max="8448" width="9.140625" style="190"/>
    <col min="8449" max="8449" width="4.28515625" style="190" customWidth="1"/>
    <col min="8450" max="8450" width="8.7109375" style="190" customWidth="1"/>
    <col min="8451" max="8451" width="5.5703125" style="190" customWidth="1"/>
    <col min="8452" max="8452" width="10.140625" style="190" customWidth="1"/>
    <col min="8453" max="8453" width="10.42578125" style="190" customWidth="1"/>
    <col min="8454" max="8454" width="10.28515625" style="190" customWidth="1"/>
    <col min="8455" max="8455" width="14" style="190" customWidth="1"/>
    <col min="8456" max="8456" width="14.28515625" style="190" customWidth="1"/>
    <col min="8457" max="8457" width="11.28515625" style="190" customWidth="1"/>
    <col min="8458" max="8704" width="9.140625" style="190"/>
    <col min="8705" max="8705" width="4.28515625" style="190" customWidth="1"/>
    <col min="8706" max="8706" width="8.7109375" style="190" customWidth="1"/>
    <col min="8707" max="8707" width="5.5703125" style="190" customWidth="1"/>
    <col min="8708" max="8708" width="10.140625" style="190" customWidth="1"/>
    <col min="8709" max="8709" width="10.42578125" style="190" customWidth="1"/>
    <col min="8710" max="8710" width="10.28515625" style="190" customWidth="1"/>
    <col min="8711" max="8711" width="14" style="190" customWidth="1"/>
    <col min="8712" max="8712" width="14.28515625" style="190" customWidth="1"/>
    <col min="8713" max="8713" width="11.28515625" style="190" customWidth="1"/>
    <col min="8714" max="8960" width="9.140625" style="190"/>
    <col min="8961" max="8961" width="4.28515625" style="190" customWidth="1"/>
    <col min="8962" max="8962" width="8.7109375" style="190" customWidth="1"/>
    <col min="8963" max="8963" width="5.5703125" style="190" customWidth="1"/>
    <col min="8964" max="8964" width="10.140625" style="190" customWidth="1"/>
    <col min="8965" max="8965" width="10.42578125" style="190" customWidth="1"/>
    <col min="8966" max="8966" width="10.28515625" style="190" customWidth="1"/>
    <col min="8967" max="8967" width="14" style="190" customWidth="1"/>
    <col min="8968" max="8968" width="14.28515625" style="190" customWidth="1"/>
    <col min="8969" max="8969" width="11.28515625" style="190" customWidth="1"/>
    <col min="8970" max="9216" width="9.140625" style="190"/>
    <col min="9217" max="9217" width="4.28515625" style="190" customWidth="1"/>
    <col min="9218" max="9218" width="8.7109375" style="190" customWidth="1"/>
    <col min="9219" max="9219" width="5.5703125" style="190" customWidth="1"/>
    <col min="9220" max="9220" width="10.140625" style="190" customWidth="1"/>
    <col min="9221" max="9221" width="10.42578125" style="190" customWidth="1"/>
    <col min="9222" max="9222" width="10.28515625" style="190" customWidth="1"/>
    <col min="9223" max="9223" width="14" style="190" customWidth="1"/>
    <col min="9224" max="9224" width="14.28515625" style="190" customWidth="1"/>
    <col min="9225" max="9225" width="11.28515625" style="190" customWidth="1"/>
    <col min="9226" max="9472" width="9.140625" style="190"/>
    <col min="9473" max="9473" width="4.28515625" style="190" customWidth="1"/>
    <col min="9474" max="9474" width="8.7109375" style="190" customWidth="1"/>
    <col min="9475" max="9475" width="5.5703125" style="190" customWidth="1"/>
    <col min="9476" max="9476" width="10.140625" style="190" customWidth="1"/>
    <col min="9477" max="9477" width="10.42578125" style="190" customWidth="1"/>
    <col min="9478" max="9478" width="10.28515625" style="190" customWidth="1"/>
    <col min="9479" max="9479" width="14" style="190" customWidth="1"/>
    <col min="9480" max="9480" width="14.28515625" style="190" customWidth="1"/>
    <col min="9481" max="9481" width="11.28515625" style="190" customWidth="1"/>
    <col min="9482" max="9728" width="9.140625" style="190"/>
    <col min="9729" max="9729" width="4.28515625" style="190" customWidth="1"/>
    <col min="9730" max="9730" width="8.7109375" style="190" customWidth="1"/>
    <col min="9731" max="9731" width="5.5703125" style="190" customWidth="1"/>
    <col min="9732" max="9732" width="10.140625" style="190" customWidth="1"/>
    <col min="9733" max="9733" width="10.42578125" style="190" customWidth="1"/>
    <col min="9734" max="9734" width="10.28515625" style="190" customWidth="1"/>
    <col min="9735" max="9735" width="14" style="190" customWidth="1"/>
    <col min="9736" max="9736" width="14.28515625" style="190" customWidth="1"/>
    <col min="9737" max="9737" width="11.28515625" style="190" customWidth="1"/>
    <col min="9738" max="9984" width="9.140625" style="190"/>
    <col min="9985" max="9985" width="4.28515625" style="190" customWidth="1"/>
    <col min="9986" max="9986" width="8.7109375" style="190" customWidth="1"/>
    <col min="9987" max="9987" width="5.5703125" style="190" customWidth="1"/>
    <col min="9988" max="9988" width="10.140625" style="190" customWidth="1"/>
    <col min="9989" max="9989" width="10.42578125" style="190" customWidth="1"/>
    <col min="9990" max="9990" width="10.28515625" style="190" customWidth="1"/>
    <col min="9991" max="9991" width="14" style="190" customWidth="1"/>
    <col min="9992" max="9992" width="14.28515625" style="190" customWidth="1"/>
    <col min="9993" max="9993" width="11.28515625" style="190" customWidth="1"/>
    <col min="9994" max="10240" width="9.140625" style="190"/>
    <col min="10241" max="10241" width="4.28515625" style="190" customWidth="1"/>
    <col min="10242" max="10242" width="8.7109375" style="190" customWidth="1"/>
    <col min="10243" max="10243" width="5.5703125" style="190" customWidth="1"/>
    <col min="10244" max="10244" width="10.140625" style="190" customWidth="1"/>
    <col min="10245" max="10245" width="10.42578125" style="190" customWidth="1"/>
    <col min="10246" max="10246" width="10.28515625" style="190" customWidth="1"/>
    <col min="10247" max="10247" width="14" style="190" customWidth="1"/>
    <col min="10248" max="10248" width="14.28515625" style="190" customWidth="1"/>
    <col min="10249" max="10249" width="11.28515625" style="190" customWidth="1"/>
    <col min="10250" max="10496" width="9.140625" style="190"/>
    <col min="10497" max="10497" width="4.28515625" style="190" customWidth="1"/>
    <col min="10498" max="10498" width="8.7109375" style="190" customWidth="1"/>
    <col min="10499" max="10499" width="5.5703125" style="190" customWidth="1"/>
    <col min="10500" max="10500" width="10.140625" style="190" customWidth="1"/>
    <col min="10501" max="10501" width="10.42578125" style="190" customWidth="1"/>
    <col min="10502" max="10502" width="10.28515625" style="190" customWidth="1"/>
    <col min="10503" max="10503" width="14" style="190" customWidth="1"/>
    <col min="10504" max="10504" width="14.28515625" style="190" customWidth="1"/>
    <col min="10505" max="10505" width="11.28515625" style="190" customWidth="1"/>
    <col min="10506" max="10752" width="9.140625" style="190"/>
    <col min="10753" max="10753" width="4.28515625" style="190" customWidth="1"/>
    <col min="10754" max="10754" width="8.7109375" style="190" customWidth="1"/>
    <col min="10755" max="10755" width="5.5703125" style="190" customWidth="1"/>
    <col min="10756" max="10756" width="10.140625" style="190" customWidth="1"/>
    <col min="10757" max="10757" width="10.42578125" style="190" customWidth="1"/>
    <col min="10758" max="10758" width="10.28515625" style="190" customWidth="1"/>
    <col min="10759" max="10759" width="14" style="190" customWidth="1"/>
    <col min="10760" max="10760" width="14.28515625" style="190" customWidth="1"/>
    <col min="10761" max="10761" width="11.28515625" style="190" customWidth="1"/>
    <col min="10762" max="11008" width="9.140625" style="190"/>
    <col min="11009" max="11009" width="4.28515625" style="190" customWidth="1"/>
    <col min="11010" max="11010" width="8.7109375" style="190" customWidth="1"/>
    <col min="11011" max="11011" width="5.5703125" style="190" customWidth="1"/>
    <col min="11012" max="11012" width="10.140625" style="190" customWidth="1"/>
    <col min="11013" max="11013" width="10.42578125" style="190" customWidth="1"/>
    <col min="11014" max="11014" width="10.28515625" style="190" customWidth="1"/>
    <col min="11015" max="11015" width="14" style="190" customWidth="1"/>
    <col min="11016" max="11016" width="14.28515625" style="190" customWidth="1"/>
    <col min="11017" max="11017" width="11.28515625" style="190" customWidth="1"/>
    <col min="11018" max="11264" width="9.140625" style="190"/>
    <col min="11265" max="11265" width="4.28515625" style="190" customWidth="1"/>
    <col min="11266" max="11266" width="8.7109375" style="190" customWidth="1"/>
    <col min="11267" max="11267" width="5.5703125" style="190" customWidth="1"/>
    <col min="11268" max="11268" width="10.140625" style="190" customWidth="1"/>
    <col min="11269" max="11269" width="10.42578125" style="190" customWidth="1"/>
    <col min="11270" max="11270" width="10.28515625" style="190" customWidth="1"/>
    <col min="11271" max="11271" width="14" style="190" customWidth="1"/>
    <col min="11272" max="11272" width="14.28515625" style="190" customWidth="1"/>
    <col min="11273" max="11273" width="11.28515625" style="190" customWidth="1"/>
    <col min="11274" max="11520" width="9.140625" style="190"/>
    <col min="11521" max="11521" width="4.28515625" style="190" customWidth="1"/>
    <col min="11522" max="11522" width="8.7109375" style="190" customWidth="1"/>
    <col min="11523" max="11523" width="5.5703125" style="190" customWidth="1"/>
    <col min="11524" max="11524" width="10.140625" style="190" customWidth="1"/>
    <col min="11525" max="11525" width="10.42578125" style="190" customWidth="1"/>
    <col min="11526" max="11526" width="10.28515625" style="190" customWidth="1"/>
    <col min="11527" max="11527" width="14" style="190" customWidth="1"/>
    <col min="11528" max="11528" width="14.28515625" style="190" customWidth="1"/>
    <col min="11529" max="11529" width="11.28515625" style="190" customWidth="1"/>
    <col min="11530" max="11776" width="9.140625" style="190"/>
    <col min="11777" max="11777" width="4.28515625" style="190" customWidth="1"/>
    <col min="11778" max="11778" width="8.7109375" style="190" customWidth="1"/>
    <col min="11779" max="11779" width="5.5703125" style="190" customWidth="1"/>
    <col min="11780" max="11780" width="10.140625" style="190" customWidth="1"/>
    <col min="11781" max="11781" width="10.42578125" style="190" customWidth="1"/>
    <col min="11782" max="11782" width="10.28515625" style="190" customWidth="1"/>
    <col min="11783" max="11783" width="14" style="190" customWidth="1"/>
    <col min="11784" max="11784" width="14.28515625" style="190" customWidth="1"/>
    <col min="11785" max="11785" width="11.28515625" style="190" customWidth="1"/>
    <col min="11786" max="12032" width="9.140625" style="190"/>
    <col min="12033" max="12033" width="4.28515625" style="190" customWidth="1"/>
    <col min="12034" max="12034" width="8.7109375" style="190" customWidth="1"/>
    <col min="12035" max="12035" width="5.5703125" style="190" customWidth="1"/>
    <col min="12036" max="12036" width="10.140625" style="190" customWidth="1"/>
    <col min="12037" max="12037" width="10.42578125" style="190" customWidth="1"/>
    <col min="12038" max="12038" width="10.28515625" style="190" customWidth="1"/>
    <col min="12039" max="12039" width="14" style="190" customWidth="1"/>
    <col min="12040" max="12040" width="14.28515625" style="190" customWidth="1"/>
    <col min="12041" max="12041" width="11.28515625" style="190" customWidth="1"/>
    <col min="12042" max="12288" width="9.140625" style="190"/>
    <col min="12289" max="12289" width="4.28515625" style="190" customWidth="1"/>
    <col min="12290" max="12290" width="8.7109375" style="190" customWidth="1"/>
    <col min="12291" max="12291" width="5.5703125" style="190" customWidth="1"/>
    <col min="12292" max="12292" width="10.140625" style="190" customWidth="1"/>
    <col min="12293" max="12293" width="10.42578125" style="190" customWidth="1"/>
    <col min="12294" max="12294" width="10.28515625" style="190" customWidth="1"/>
    <col min="12295" max="12295" width="14" style="190" customWidth="1"/>
    <col min="12296" max="12296" width="14.28515625" style="190" customWidth="1"/>
    <col min="12297" max="12297" width="11.28515625" style="190" customWidth="1"/>
    <col min="12298" max="12544" width="9.140625" style="190"/>
    <col min="12545" max="12545" width="4.28515625" style="190" customWidth="1"/>
    <col min="12546" max="12546" width="8.7109375" style="190" customWidth="1"/>
    <col min="12547" max="12547" width="5.5703125" style="190" customWidth="1"/>
    <col min="12548" max="12548" width="10.140625" style="190" customWidth="1"/>
    <col min="12549" max="12549" width="10.42578125" style="190" customWidth="1"/>
    <col min="12550" max="12550" width="10.28515625" style="190" customWidth="1"/>
    <col min="12551" max="12551" width="14" style="190" customWidth="1"/>
    <col min="12552" max="12552" width="14.28515625" style="190" customWidth="1"/>
    <col min="12553" max="12553" width="11.28515625" style="190" customWidth="1"/>
    <col min="12554" max="12800" width="9.140625" style="190"/>
    <col min="12801" max="12801" width="4.28515625" style="190" customWidth="1"/>
    <col min="12802" max="12802" width="8.7109375" style="190" customWidth="1"/>
    <col min="12803" max="12803" width="5.5703125" style="190" customWidth="1"/>
    <col min="12804" max="12804" width="10.140625" style="190" customWidth="1"/>
    <col min="12805" max="12805" width="10.42578125" style="190" customWidth="1"/>
    <col min="12806" max="12806" width="10.28515625" style="190" customWidth="1"/>
    <col min="12807" max="12807" width="14" style="190" customWidth="1"/>
    <col min="12808" max="12808" width="14.28515625" style="190" customWidth="1"/>
    <col min="12809" max="12809" width="11.28515625" style="190" customWidth="1"/>
    <col min="12810" max="13056" width="9.140625" style="190"/>
    <col min="13057" max="13057" width="4.28515625" style="190" customWidth="1"/>
    <col min="13058" max="13058" width="8.7109375" style="190" customWidth="1"/>
    <col min="13059" max="13059" width="5.5703125" style="190" customWidth="1"/>
    <col min="13060" max="13060" width="10.140625" style="190" customWidth="1"/>
    <col min="13061" max="13061" width="10.42578125" style="190" customWidth="1"/>
    <col min="13062" max="13062" width="10.28515625" style="190" customWidth="1"/>
    <col min="13063" max="13063" width="14" style="190" customWidth="1"/>
    <col min="13064" max="13064" width="14.28515625" style="190" customWidth="1"/>
    <col min="13065" max="13065" width="11.28515625" style="190" customWidth="1"/>
    <col min="13066" max="13312" width="9.140625" style="190"/>
    <col min="13313" max="13313" width="4.28515625" style="190" customWidth="1"/>
    <col min="13314" max="13314" width="8.7109375" style="190" customWidth="1"/>
    <col min="13315" max="13315" width="5.5703125" style="190" customWidth="1"/>
    <col min="13316" max="13316" width="10.140625" style="190" customWidth="1"/>
    <col min="13317" max="13317" width="10.42578125" style="190" customWidth="1"/>
    <col min="13318" max="13318" width="10.28515625" style="190" customWidth="1"/>
    <col min="13319" max="13319" width="14" style="190" customWidth="1"/>
    <col min="13320" max="13320" width="14.28515625" style="190" customWidth="1"/>
    <col min="13321" max="13321" width="11.28515625" style="190" customWidth="1"/>
    <col min="13322" max="13568" width="9.140625" style="190"/>
    <col min="13569" max="13569" width="4.28515625" style="190" customWidth="1"/>
    <col min="13570" max="13570" width="8.7109375" style="190" customWidth="1"/>
    <col min="13571" max="13571" width="5.5703125" style="190" customWidth="1"/>
    <col min="13572" max="13572" width="10.140625" style="190" customWidth="1"/>
    <col min="13573" max="13573" width="10.42578125" style="190" customWidth="1"/>
    <col min="13574" max="13574" width="10.28515625" style="190" customWidth="1"/>
    <col min="13575" max="13575" width="14" style="190" customWidth="1"/>
    <col min="13576" max="13576" width="14.28515625" style="190" customWidth="1"/>
    <col min="13577" max="13577" width="11.28515625" style="190" customWidth="1"/>
    <col min="13578" max="13824" width="9.140625" style="190"/>
    <col min="13825" max="13825" width="4.28515625" style="190" customWidth="1"/>
    <col min="13826" max="13826" width="8.7109375" style="190" customWidth="1"/>
    <col min="13827" max="13827" width="5.5703125" style="190" customWidth="1"/>
    <col min="13828" max="13828" width="10.140625" style="190" customWidth="1"/>
    <col min="13829" max="13829" width="10.42578125" style="190" customWidth="1"/>
    <col min="13830" max="13830" width="10.28515625" style="190" customWidth="1"/>
    <col min="13831" max="13831" width="14" style="190" customWidth="1"/>
    <col min="13832" max="13832" width="14.28515625" style="190" customWidth="1"/>
    <col min="13833" max="13833" width="11.28515625" style="190" customWidth="1"/>
    <col min="13834" max="14080" width="9.140625" style="190"/>
    <col min="14081" max="14081" width="4.28515625" style="190" customWidth="1"/>
    <col min="14082" max="14082" width="8.7109375" style="190" customWidth="1"/>
    <col min="14083" max="14083" width="5.5703125" style="190" customWidth="1"/>
    <col min="14084" max="14084" width="10.140625" style="190" customWidth="1"/>
    <col min="14085" max="14085" width="10.42578125" style="190" customWidth="1"/>
    <col min="14086" max="14086" width="10.28515625" style="190" customWidth="1"/>
    <col min="14087" max="14087" width="14" style="190" customWidth="1"/>
    <col min="14088" max="14088" width="14.28515625" style="190" customWidth="1"/>
    <col min="14089" max="14089" width="11.28515625" style="190" customWidth="1"/>
    <col min="14090" max="14336" width="9.140625" style="190"/>
    <col min="14337" max="14337" width="4.28515625" style="190" customWidth="1"/>
    <col min="14338" max="14338" width="8.7109375" style="190" customWidth="1"/>
    <col min="14339" max="14339" width="5.5703125" style="190" customWidth="1"/>
    <col min="14340" max="14340" width="10.140625" style="190" customWidth="1"/>
    <col min="14341" max="14341" width="10.42578125" style="190" customWidth="1"/>
    <col min="14342" max="14342" width="10.28515625" style="190" customWidth="1"/>
    <col min="14343" max="14343" width="14" style="190" customWidth="1"/>
    <col min="14344" max="14344" width="14.28515625" style="190" customWidth="1"/>
    <col min="14345" max="14345" width="11.28515625" style="190" customWidth="1"/>
    <col min="14346" max="14592" width="9.140625" style="190"/>
    <col min="14593" max="14593" width="4.28515625" style="190" customWidth="1"/>
    <col min="14594" max="14594" width="8.7109375" style="190" customWidth="1"/>
    <col min="14595" max="14595" width="5.5703125" style="190" customWidth="1"/>
    <col min="14596" max="14596" width="10.140625" style="190" customWidth="1"/>
    <col min="14597" max="14597" width="10.42578125" style="190" customWidth="1"/>
    <col min="14598" max="14598" width="10.28515625" style="190" customWidth="1"/>
    <col min="14599" max="14599" width="14" style="190" customWidth="1"/>
    <col min="14600" max="14600" width="14.28515625" style="190" customWidth="1"/>
    <col min="14601" max="14601" width="11.28515625" style="190" customWidth="1"/>
    <col min="14602" max="14848" width="9.140625" style="190"/>
    <col min="14849" max="14849" width="4.28515625" style="190" customWidth="1"/>
    <col min="14850" max="14850" width="8.7109375" style="190" customWidth="1"/>
    <col min="14851" max="14851" width="5.5703125" style="190" customWidth="1"/>
    <col min="14852" max="14852" width="10.140625" style="190" customWidth="1"/>
    <col min="14853" max="14853" width="10.42578125" style="190" customWidth="1"/>
    <col min="14854" max="14854" width="10.28515625" style="190" customWidth="1"/>
    <col min="14855" max="14855" width="14" style="190" customWidth="1"/>
    <col min="14856" max="14856" width="14.28515625" style="190" customWidth="1"/>
    <col min="14857" max="14857" width="11.28515625" style="190" customWidth="1"/>
    <col min="14858" max="15104" width="9.140625" style="190"/>
    <col min="15105" max="15105" width="4.28515625" style="190" customWidth="1"/>
    <col min="15106" max="15106" width="8.7109375" style="190" customWidth="1"/>
    <col min="15107" max="15107" width="5.5703125" style="190" customWidth="1"/>
    <col min="15108" max="15108" width="10.140625" style="190" customWidth="1"/>
    <col min="15109" max="15109" width="10.42578125" style="190" customWidth="1"/>
    <col min="15110" max="15110" width="10.28515625" style="190" customWidth="1"/>
    <col min="15111" max="15111" width="14" style="190" customWidth="1"/>
    <col min="15112" max="15112" width="14.28515625" style="190" customWidth="1"/>
    <col min="15113" max="15113" width="11.28515625" style="190" customWidth="1"/>
    <col min="15114" max="15360" width="9.140625" style="190"/>
    <col min="15361" max="15361" width="4.28515625" style="190" customWidth="1"/>
    <col min="15362" max="15362" width="8.7109375" style="190" customWidth="1"/>
    <col min="15363" max="15363" width="5.5703125" style="190" customWidth="1"/>
    <col min="15364" max="15364" width="10.140625" style="190" customWidth="1"/>
    <col min="15365" max="15365" width="10.42578125" style="190" customWidth="1"/>
    <col min="15366" max="15366" width="10.28515625" style="190" customWidth="1"/>
    <col min="15367" max="15367" width="14" style="190" customWidth="1"/>
    <col min="15368" max="15368" width="14.28515625" style="190" customWidth="1"/>
    <col min="15369" max="15369" width="11.28515625" style="190" customWidth="1"/>
    <col min="15370" max="15616" width="9.140625" style="190"/>
    <col min="15617" max="15617" width="4.28515625" style="190" customWidth="1"/>
    <col min="15618" max="15618" width="8.7109375" style="190" customWidth="1"/>
    <col min="15619" max="15619" width="5.5703125" style="190" customWidth="1"/>
    <col min="15620" max="15620" width="10.140625" style="190" customWidth="1"/>
    <col min="15621" max="15621" width="10.42578125" style="190" customWidth="1"/>
    <col min="15622" max="15622" width="10.28515625" style="190" customWidth="1"/>
    <col min="15623" max="15623" width="14" style="190" customWidth="1"/>
    <col min="15624" max="15624" width="14.28515625" style="190" customWidth="1"/>
    <col min="15625" max="15625" width="11.28515625" style="190" customWidth="1"/>
    <col min="15626" max="15872" width="9.140625" style="190"/>
    <col min="15873" max="15873" width="4.28515625" style="190" customWidth="1"/>
    <col min="15874" max="15874" width="8.7109375" style="190" customWidth="1"/>
    <col min="15875" max="15875" width="5.5703125" style="190" customWidth="1"/>
    <col min="15876" max="15876" width="10.140625" style="190" customWidth="1"/>
    <col min="15877" max="15877" width="10.42578125" style="190" customWidth="1"/>
    <col min="15878" max="15878" width="10.28515625" style="190" customWidth="1"/>
    <col min="15879" max="15879" width="14" style="190" customWidth="1"/>
    <col min="15880" max="15880" width="14.28515625" style="190" customWidth="1"/>
    <col min="15881" max="15881" width="11.28515625" style="190" customWidth="1"/>
    <col min="15882" max="16128" width="9.140625" style="190"/>
    <col min="16129" max="16129" width="4.28515625" style="190" customWidth="1"/>
    <col min="16130" max="16130" width="8.7109375" style="190" customWidth="1"/>
    <col min="16131" max="16131" width="5.5703125" style="190" customWidth="1"/>
    <col min="16132" max="16132" width="10.140625" style="190" customWidth="1"/>
    <col min="16133" max="16133" width="10.42578125" style="190" customWidth="1"/>
    <col min="16134" max="16134" width="10.28515625" style="190" customWidth="1"/>
    <col min="16135" max="16135" width="14" style="190" customWidth="1"/>
    <col min="16136" max="16136" width="14.28515625" style="190" customWidth="1"/>
    <col min="16137" max="16137" width="11.28515625" style="190" customWidth="1"/>
    <col min="16138" max="16384" width="9.140625" style="190"/>
  </cols>
  <sheetData>
    <row r="1" spans="1:9" x14ac:dyDescent="0.2">
      <c r="G1" s="191"/>
      <c r="H1" s="191" t="s">
        <v>23</v>
      </c>
    </row>
    <row r="2" spans="1:9" x14ac:dyDescent="0.2">
      <c r="G2" s="191"/>
      <c r="H2" s="3" t="s">
        <v>469</v>
      </c>
    </row>
    <row r="3" spans="1:9" x14ac:dyDescent="0.2">
      <c r="G3" s="191"/>
      <c r="H3" s="3" t="s">
        <v>40</v>
      </c>
    </row>
    <row r="4" spans="1:9" x14ac:dyDescent="0.2">
      <c r="G4" s="191"/>
      <c r="H4" s="3" t="s">
        <v>470</v>
      </c>
    </row>
    <row r="5" spans="1:9" x14ac:dyDescent="0.2">
      <c r="H5" s="193"/>
    </row>
    <row r="7" spans="1:9" ht="35.25" customHeight="1" x14ac:dyDescent="0.2">
      <c r="A7" s="194" t="s">
        <v>191</v>
      </c>
      <c r="B7" s="194"/>
      <c r="C7" s="194"/>
      <c r="D7" s="194"/>
      <c r="E7" s="194"/>
      <c r="F7" s="194"/>
      <c r="G7" s="194"/>
      <c r="H7" s="194"/>
      <c r="I7" s="194"/>
    </row>
    <row r="8" spans="1:9" ht="18" customHeight="1" x14ac:dyDescent="0.2">
      <c r="A8" s="195"/>
      <c r="B8" s="195"/>
      <c r="C8" s="195"/>
      <c r="D8" s="195"/>
      <c r="E8" s="195"/>
      <c r="F8" s="195"/>
      <c r="G8" s="195"/>
      <c r="H8" s="195"/>
      <c r="I8" s="195"/>
    </row>
    <row r="9" spans="1:9" ht="13.5" customHeight="1" x14ac:dyDescent="0.2">
      <c r="I9" s="196" t="s">
        <v>1</v>
      </c>
    </row>
    <row r="10" spans="1:9" ht="13.5" customHeight="1" x14ac:dyDescent="0.2">
      <c r="A10" s="197"/>
      <c r="B10" s="197"/>
      <c r="C10" s="197"/>
      <c r="D10" s="198"/>
      <c r="E10" s="198"/>
      <c r="F10" s="199" t="s">
        <v>192</v>
      </c>
      <c r="G10" s="200"/>
      <c r="H10" s="200"/>
      <c r="I10" s="201"/>
    </row>
    <row r="11" spans="1:9" ht="33.75" customHeight="1" x14ac:dyDescent="0.2">
      <c r="A11" s="202" t="s">
        <v>18</v>
      </c>
      <c r="B11" s="202" t="s">
        <v>20</v>
      </c>
      <c r="C11" s="202" t="s">
        <v>5</v>
      </c>
      <c r="D11" s="203" t="s">
        <v>193</v>
      </c>
      <c r="E11" s="203" t="s">
        <v>194</v>
      </c>
      <c r="F11" s="198"/>
      <c r="G11" s="199" t="s">
        <v>24</v>
      </c>
      <c r="H11" s="201"/>
      <c r="I11" s="198"/>
    </row>
    <row r="12" spans="1:9" ht="39.75" customHeight="1" x14ac:dyDescent="0.2">
      <c r="A12" s="204"/>
      <c r="B12" s="204"/>
      <c r="C12" s="204"/>
      <c r="D12" s="204"/>
      <c r="E12" s="205"/>
      <c r="F12" s="206" t="s">
        <v>195</v>
      </c>
      <c r="G12" s="207" t="s">
        <v>196</v>
      </c>
      <c r="H12" s="207" t="s">
        <v>197</v>
      </c>
      <c r="I12" s="206" t="s">
        <v>198</v>
      </c>
    </row>
    <row r="13" spans="1:9" ht="10.5" customHeight="1" x14ac:dyDescent="0.2">
      <c r="A13" s="208">
        <v>1</v>
      </c>
      <c r="B13" s="208">
        <v>2</v>
      </c>
      <c r="C13" s="208">
        <v>3</v>
      </c>
      <c r="D13" s="208">
        <v>4</v>
      </c>
      <c r="E13" s="208">
        <v>5</v>
      </c>
      <c r="F13" s="208">
        <v>6</v>
      </c>
      <c r="G13" s="208">
        <v>7</v>
      </c>
      <c r="H13" s="208">
        <v>8</v>
      </c>
      <c r="I13" s="208">
        <v>9</v>
      </c>
    </row>
    <row r="14" spans="1:9" ht="20.25" customHeight="1" x14ac:dyDescent="0.2">
      <c r="A14" s="209">
        <v>710</v>
      </c>
      <c r="B14" s="209">
        <v>71035</v>
      </c>
      <c r="C14" s="209">
        <v>2020</v>
      </c>
      <c r="D14" s="210">
        <f>9000+10000</f>
        <v>19000</v>
      </c>
      <c r="E14" s="210">
        <f t="shared" ref="E14:E19" si="0">SUM(F14,I14)</f>
        <v>19000</v>
      </c>
      <c r="F14" s="210">
        <f>9000+10000</f>
        <v>19000</v>
      </c>
      <c r="G14" s="210">
        <v>0</v>
      </c>
      <c r="H14" s="210">
        <v>0</v>
      </c>
      <c r="I14" s="210">
        <v>0</v>
      </c>
    </row>
    <row r="15" spans="1:9" ht="20.25" customHeight="1" x14ac:dyDescent="0.2">
      <c r="A15" s="209">
        <v>750</v>
      </c>
      <c r="B15" s="209">
        <v>75045</v>
      </c>
      <c r="C15" s="211">
        <v>2120</v>
      </c>
      <c r="D15" s="212">
        <f>25400+3340+960</f>
        <v>29700</v>
      </c>
      <c r="E15" s="210">
        <f t="shared" si="0"/>
        <v>29700</v>
      </c>
      <c r="F15" s="210">
        <f>25400+3340+960</f>
        <v>29700</v>
      </c>
      <c r="G15" s="210">
        <f>25400+3340-6600+960</f>
        <v>23100</v>
      </c>
      <c r="H15" s="210">
        <v>0</v>
      </c>
      <c r="I15" s="210">
        <v>0</v>
      </c>
    </row>
    <row r="16" spans="1:9" ht="20.25" customHeight="1" x14ac:dyDescent="0.2">
      <c r="A16" s="209">
        <v>754</v>
      </c>
      <c r="B16" s="209">
        <v>75421</v>
      </c>
      <c r="C16" s="211">
        <v>2020</v>
      </c>
      <c r="D16" s="212">
        <f>414000-342000-12676.83</f>
        <v>59323.17</v>
      </c>
      <c r="E16" s="210">
        <f t="shared" si="0"/>
        <v>59323.17</v>
      </c>
      <c r="F16" s="210">
        <f>414000-342000-12676.83</f>
        <v>59323.17</v>
      </c>
      <c r="G16" s="210">
        <v>0</v>
      </c>
      <c r="H16" s="210">
        <v>0</v>
      </c>
      <c r="I16" s="210">
        <v>0</v>
      </c>
    </row>
    <row r="17" spans="1:11" ht="20.25" customHeight="1" x14ac:dyDescent="0.2">
      <c r="A17" s="209">
        <v>801</v>
      </c>
      <c r="B17" s="209">
        <v>80146</v>
      </c>
      <c r="C17" s="211">
        <v>2020</v>
      </c>
      <c r="D17" s="212">
        <f>13423+7</f>
        <v>13430</v>
      </c>
      <c r="E17" s="210">
        <f t="shared" si="0"/>
        <v>13430</v>
      </c>
      <c r="F17" s="210">
        <f>13423+7</f>
        <v>13430</v>
      </c>
      <c r="G17" s="210">
        <f>13423+7</f>
        <v>13430</v>
      </c>
      <c r="H17" s="210">
        <v>0</v>
      </c>
      <c r="I17" s="210">
        <v>0</v>
      </c>
      <c r="K17" s="213"/>
    </row>
    <row r="18" spans="1:11" ht="20.25" customHeight="1" x14ac:dyDescent="0.2">
      <c r="A18" s="209">
        <v>801</v>
      </c>
      <c r="B18" s="209">
        <v>80146</v>
      </c>
      <c r="C18" s="211">
        <v>2120</v>
      </c>
      <c r="D18" s="212">
        <f>186000+116810-9551+17741</f>
        <v>311000</v>
      </c>
      <c r="E18" s="210">
        <f t="shared" si="0"/>
        <v>311000</v>
      </c>
      <c r="F18" s="210">
        <f>186000+116810-9551+17741</f>
        <v>311000</v>
      </c>
      <c r="G18" s="210">
        <f>178933+109204-1115-9551+17741</f>
        <v>295212</v>
      </c>
      <c r="H18" s="210">
        <f>1115</f>
        <v>1115</v>
      </c>
      <c r="I18" s="210">
        <v>0</v>
      </c>
    </row>
    <row r="19" spans="1:11" ht="20.25" customHeight="1" x14ac:dyDescent="0.2">
      <c r="A19" s="209">
        <v>801</v>
      </c>
      <c r="B19" s="209">
        <v>80195</v>
      </c>
      <c r="C19" s="211">
        <v>2120</v>
      </c>
      <c r="D19" s="212">
        <v>351450</v>
      </c>
      <c r="E19" s="210">
        <f t="shared" si="0"/>
        <v>351450</v>
      </c>
      <c r="F19" s="210">
        <v>351450</v>
      </c>
      <c r="G19" s="210">
        <v>319500</v>
      </c>
      <c r="H19" s="210">
        <v>0</v>
      </c>
      <c r="I19" s="210">
        <v>0</v>
      </c>
    </row>
    <row r="20" spans="1:11" ht="20.25" customHeight="1" x14ac:dyDescent="0.2">
      <c r="A20" s="209">
        <v>852</v>
      </c>
      <c r="B20" s="209">
        <v>85205</v>
      </c>
      <c r="C20" s="211">
        <v>2020</v>
      </c>
      <c r="D20" s="212">
        <v>71260</v>
      </c>
      <c r="E20" s="210">
        <f>SUM(F20,I20)</f>
        <v>89950</v>
      </c>
      <c r="F20" s="210">
        <v>89950</v>
      </c>
      <c r="G20" s="210">
        <v>6000</v>
      </c>
      <c r="H20" s="210">
        <v>0</v>
      </c>
      <c r="I20" s="210">
        <v>0</v>
      </c>
    </row>
    <row r="21" spans="1:11" ht="23.25" customHeight="1" x14ac:dyDescent="0.2">
      <c r="A21" s="214" t="s">
        <v>34</v>
      </c>
      <c r="B21" s="215"/>
      <c r="C21" s="216"/>
      <c r="D21" s="217">
        <f t="shared" ref="D21:I21" si="1">SUM(D14:D20)</f>
        <v>855163.16999999993</v>
      </c>
      <c r="E21" s="217">
        <f t="shared" si="1"/>
        <v>873853.16999999993</v>
      </c>
      <c r="F21" s="217">
        <f t="shared" si="1"/>
        <v>873853.16999999993</v>
      </c>
      <c r="G21" s="217">
        <f t="shared" si="1"/>
        <v>657242</v>
      </c>
      <c r="H21" s="217">
        <f t="shared" si="1"/>
        <v>1115</v>
      </c>
      <c r="I21" s="217">
        <f t="shared" si="1"/>
        <v>0</v>
      </c>
    </row>
    <row r="22" spans="1:11" ht="12" customHeight="1" x14ac:dyDescent="0.2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D896-EF10-461D-9414-B1719F88C5EA}">
  <dimension ref="A1:G176"/>
  <sheetViews>
    <sheetView zoomScale="140" zoomScaleNormal="140" workbookViewId="0"/>
  </sheetViews>
  <sheetFormatPr defaultColWidth="4" defaultRowHeight="12.75" x14ac:dyDescent="0.2"/>
  <cols>
    <col min="1" max="1" width="4" style="219"/>
    <col min="2" max="2" width="5.7109375" style="219" customWidth="1"/>
    <col min="3" max="3" width="8.42578125" style="219" customWidth="1"/>
    <col min="4" max="4" width="49.140625" style="219" customWidth="1"/>
    <col min="5" max="5" width="21.42578125" style="219" customWidth="1"/>
    <col min="6" max="6" width="9.140625" style="218" customWidth="1"/>
    <col min="7" max="7" width="12.28515625" style="239" customWidth="1"/>
    <col min="8" max="255" width="9.140625" style="219" customWidth="1"/>
    <col min="256" max="257" width="4" style="219"/>
    <col min="258" max="258" width="5.7109375" style="219" customWidth="1"/>
    <col min="259" max="259" width="8.42578125" style="219" customWidth="1"/>
    <col min="260" max="260" width="49.140625" style="219" customWidth="1"/>
    <col min="261" max="261" width="21.42578125" style="219" customWidth="1"/>
    <col min="262" max="262" width="9.140625" style="219" customWidth="1"/>
    <col min="263" max="263" width="12.28515625" style="219" customWidth="1"/>
    <col min="264" max="511" width="9.140625" style="219" customWidth="1"/>
    <col min="512" max="513" width="4" style="219"/>
    <col min="514" max="514" width="5.7109375" style="219" customWidth="1"/>
    <col min="515" max="515" width="8.42578125" style="219" customWidth="1"/>
    <col min="516" max="516" width="49.140625" style="219" customWidth="1"/>
    <col min="517" max="517" width="21.42578125" style="219" customWidth="1"/>
    <col min="518" max="518" width="9.140625" style="219" customWidth="1"/>
    <col min="519" max="519" width="12.28515625" style="219" customWidth="1"/>
    <col min="520" max="767" width="9.140625" style="219" customWidth="1"/>
    <col min="768" max="769" width="4" style="219"/>
    <col min="770" max="770" width="5.7109375" style="219" customWidth="1"/>
    <col min="771" max="771" width="8.42578125" style="219" customWidth="1"/>
    <col min="772" max="772" width="49.140625" style="219" customWidth="1"/>
    <col min="773" max="773" width="21.42578125" style="219" customWidth="1"/>
    <col min="774" max="774" width="9.140625" style="219" customWidth="1"/>
    <col min="775" max="775" width="12.28515625" style="219" customWidth="1"/>
    <col min="776" max="1023" width="9.140625" style="219" customWidth="1"/>
    <col min="1024" max="1025" width="4" style="219"/>
    <col min="1026" max="1026" width="5.7109375" style="219" customWidth="1"/>
    <col min="1027" max="1027" width="8.42578125" style="219" customWidth="1"/>
    <col min="1028" max="1028" width="49.140625" style="219" customWidth="1"/>
    <col min="1029" max="1029" width="21.42578125" style="219" customWidth="1"/>
    <col min="1030" max="1030" width="9.140625" style="219" customWidth="1"/>
    <col min="1031" max="1031" width="12.28515625" style="219" customWidth="1"/>
    <col min="1032" max="1279" width="9.140625" style="219" customWidth="1"/>
    <col min="1280" max="1281" width="4" style="219"/>
    <col min="1282" max="1282" width="5.7109375" style="219" customWidth="1"/>
    <col min="1283" max="1283" width="8.42578125" style="219" customWidth="1"/>
    <col min="1284" max="1284" width="49.140625" style="219" customWidth="1"/>
    <col min="1285" max="1285" width="21.42578125" style="219" customWidth="1"/>
    <col min="1286" max="1286" width="9.140625" style="219" customWidth="1"/>
    <col min="1287" max="1287" width="12.28515625" style="219" customWidth="1"/>
    <col min="1288" max="1535" width="9.140625" style="219" customWidth="1"/>
    <col min="1536" max="1537" width="4" style="219"/>
    <col min="1538" max="1538" width="5.7109375" style="219" customWidth="1"/>
    <col min="1539" max="1539" width="8.42578125" style="219" customWidth="1"/>
    <col min="1540" max="1540" width="49.140625" style="219" customWidth="1"/>
    <col min="1541" max="1541" width="21.42578125" style="219" customWidth="1"/>
    <col min="1542" max="1542" width="9.140625" style="219" customWidth="1"/>
    <col min="1543" max="1543" width="12.28515625" style="219" customWidth="1"/>
    <col min="1544" max="1791" width="9.140625" style="219" customWidth="1"/>
    <col min="1792" max="1793" width="4" style="219"/>
    <col min="1794" max="1794" width="5.7109375" style="219" customWidth="1"/>
    <col min="1795" max="1795" width="8.42578125" style="219" customWidth="1"/>
    <col min="1796" max="1796" width="49.140625" style="219" customWidth="1"/>
    <col min="1797" max="1797" width="21.42578125" style="219" customWidth="1"/>
    <col min="1798" max="1798" width="9.140625" style="219" customWidth="1"/>
    <col min="1799" max="1799" width="12.28515625" style="219" customWidth="1"/>
    <col min="1800" max="2047" width="9.140625" style="219" customWidth="1"/>
    <col min="2048" max="2049" width="4" style="219"/>
    <col min="2050" max="2050" width="5.7109375" style="219" customWidth="1"/>
    <col min="2051" max="2051" width="8.42578125" style="219" customWidth="1"/>
    <col min="2052" max="2052" width="49.140625" style="219" customWidth="1"/>
    <col min="2053" max="2053" width="21.42578125" style="219" customWidth="1"/>
    <col min="2054" max="2054" width="9.140625" style="219" customWidth="1"/>
    <col min="2055" max="2055" width="12.28515625" style="219" customWidth="1"/>
    <col min="2056" max="2303" width="9.140625" style="219" customWidth="1"/>
    <col min="2304" max="2305" width="4" style="219"/>
    <col min="2306" max="2306" width="5.7109375" style="219" customWidth="1"/>
    <col min="2307" max="2307" width="8.42578125" style="219" customWidth="1"/>
    <col min="2308" max="2308" width="49.140625" style="219" customWidth="1"/>
    <col min="2309" max="2309" width="21.42578125" style="219" customWidth="1"/>
    <col min="2310" max="2310" width="9.140625" style="219" customWidth="1"/>
    <col min="2311" max="2311" width="12.28515625" style="219" customWidth="1"/>
    <col min="2312" max="2559" width="9.140625" style="219" customWidth="1"/>
    <col min="2560" max="2561" width="4" style="219"/>
    <col min="2562" max="2562" width="5.7109375" style="219" customWidth="1"/>
    <col min="2563" max="2563" width="8.42578125" style="219" customWidth="1"/>
    <col min="2564" max="2564" width="49.140625" style="219" customWidth="1"/>
    <col min="2565" max="2565" width="21.42578125" style="219" customWidth="1"/>
    <col min="2566" max="2566" width="9.140625" style="219" customWidth="1"/>
    <col min="2567" max="2567" width="12.28515625" style="219" customWidth="1"/>
    <col min="2568" max="2815" width="9.140625" style="219" customWidth="1"/>
    <col min="2816" max="2817" width="4" style="219"/>
    <col min="2818" max="2818" width="5.7109375" style="219" customWidth="1"/>
    <col min="2819" max="2819" width="8.42578125" style="219" customWidth="1"/>
    <col min="2820" max="2820" width="49.140625" style="219" customWidth="1"/>
    <col min="2821" max="2821" width="21.42578125" style="219" customWidth="1"/>
    <col min="2822" max="2822" width="9.140625" style="219" customWidth="1"/>
    <col min="2823" max="2823" width="12.28515625" style="219" customWidth="1"/>
    <col min="2824" max="3071" width="9.140625" style="219" customWidth="1"/>
    <col min="3072" max="3073" width="4" style="219"/>
    <col min="3074" max="3074" width="5.7109375" style="219" customWidth="1"/>
    <col min="3075" max="3075" width="8.42578125" style="219" customWidth="1"/>
    <col min="3076" max="3076" width="49.140625" style="219" customWidth="1"/>
    <col min="3077" max="3077" width="21.42578125" style="219" customWidth="1"/>
    <col min="3078" max="3078" width="9.140625" style="219" customWidth="1"/>
    <col min="3079" max="3079" width="12.28515625" style="219" customWidth="1"/>
    <col min="3080" max="3327" width="9.140625" style="219" customWidth="1"/>
    <col min="3328" max="3329" width="4" style="219"/>
    <col min="3330" max="3330" width="5.7109375" style="219" customWidth="1"/>
    <col min="3331" max="3331" width="8.42578125" style="219" customWidth="1"/>
    <col min="3332" max="3332" width="49.140625" style="219" customWidth="1"/>
    <col min="3333" max="3333" width="21.42578125" style="219" customWidth="1"/>
    <col min="3334" max="3334" width="9.140625" style="219" customWidth="1"/>
    <col min="3335" max="3335" width="12.28515625" style="219" customWidth="1"/>
    <col min="3336" max="3583" width="9.140625" style="219" customWidth="1"/>
    <col min="3584" max="3585" width="4" style="219"/>
    <col min="3586" max="3586" width="5.7109375" style="219" customWidth="1"/>
    <col min="3587" max="3587" width="8.42578125" style="219" customWidth="1"/>
    <col min="3588" max="3588" width="49.140625" style="219" customWidth="1"/>
    <col min="3589" max="3589" width="21.42578125" style="219" customWidth="1"/>
    <col min="3590" max="3590" width="9.140625" style="219" customWidth="1"/>
    <col min="3591" max="3591" width="12.28515625" style="219" customWidth="1"/>
    <col min="3592" max="3839" width="9.140625" style="219" customWidth="1"/>
    <col min="3840" max="3841" width="4" style="219"/>
    <col min="3842" max="3842" width="5.7109375" style="219" customWidth="1"/>
    <col min="3843" max="3843" width="8.42578125" style="219" customWidth="1"/>
    <col min="3844" max="3844" width="49.140625" style="219" customWidth="1"/>
    <col min="3845" max="3845" width="21.42578125" style="219" customWidth="1"/>
    <col min="3846" max="3846" width="9.140625" style="219" customWidth="1"/>
    <col min="3847" max="3847" width="12.28515625" style="219" customWidth="1"/>
    <col min="3848" max="4095" width="9.140625" style="219" customWidth="1"/>
    <col min="4096" max="4097" width="4" style="219"/>
    <col min="4098" max="4098" width="5.7109375" style="219" customWidth="1"/>
    <col min="4099" max="4099" width="8.42578125" style="219" customWidth="1"/>
    <col min="4100" max="4100" width="49.140625" style="219" customWidth="1"/>
    <col min="4101" max="4101" width="21.42578125" style="219" customWidth="1"/>
    <col min="4102" max="4102" width="9.140625" style="219" customWidth="1"/>
    <col min="4103" max="4103" width="12.28515625" style="219" customWidth="1"/>
    <col min="4104" max="4351" width="9.140625" style="219" customWidth="1"/>
    <col min="4352" max="4353" width="4" style="219"/>
    <col min="4354" max="4354" width="5.7109375" style="219" customWidth="1"/>
    <col min="4355" max="4355" width="8.42578125" style="219" customWidth="1"/>
    <col min="4356" max="4356" width="49.140625" style="219" customWidth="1"/>
    <col min="4357" max="4357" width="21.42578125" style="219" customWidth="1"/>
    <col min="4358" max="4358" width="9.140625" style="219" customWidth="1"/>
    <col min="4359" max="4359" width="12.28515625" style="219" customWidth="1"/>
    <col min="4360" max="4607" width="9.140625" style="219" customWidth="1"/>
    <col min="4608" max="4609" width="4" style="219"/>
    <col min="4610" max="4610" width="5.7109375" style="219" customWidth="1"/>
    <col min="4611" max="4611" width="8.42578125" style="219" customWidth="1"/>
    <col min="4612" max="4612" width="49.140625" style="219" customWidth="1"/>
    <col min="4613" max="4613" width="21.42578125" style="219" customWidth="1"/>
    <col min="4614" max="4614" width="9.140625" style="219" customWidth="1"/>
    <col min="4615" max="4615" width="12.28515625" style="219" customWidth="1"/>
    <col min="4616" max="4863" width="9.140625" style="219" customWidth="1"/>
    <col min="4864" max="4865" width="4" style="219"/>
    <col min="4866" max="4866" width="5.7109375" style="219" customWidth="1"/>
    <col min="4867" max="4867" width="8.42578125" style="219" customWidth="1"/>
    <col min="4868" max="4868" width="49.140625" style="219" customWidth="1"/>
    <col min="4869" max="4869" width="21.42578125" style="219" customWidth="1"/>
    <col min="4870" max="4870" width="9.140625" style="219" customWidth="1"/>
    <col min="4871" max="4871" width="12.28515625" style="219" customWidth="1"/>
    <col min="4872" max="5119" width="9.140625" style="219" customWidth="1"/>
    <col min="5120" max="5121" width="4" style="219"/>
    <col min="5122" max="5122" width="5.7109375" style="219" customWidth="1"/>
    <col min="5123" max="5123" width="8.42578125" style="219" customWidth="1"/>
    <col min="5124" max="5124" width="49.140625" style="219" customWidth="1"/>
    <col min="5125" max="5125" width="21.42578125" style="219" customWidth="1"/>
    <col min="5126" max="5126" width="9.140625" style="219" customWidth="1"/>
    <col min="5127" max="5127" width="12.28515625" style="219" customWidth="1"/>
    <col min="5128" max="5375" width="9.140625" style="219" customWidth="1"/>
    <col min="5376" max="5377" width="4" style="219"/>
    <col min="5378" max="5378" width="5.7109375" style="219" customWidth="1"/>
    <col min="5379" max="5379" width="8.42578125" style="219" customWidth="1"/>
    <col min="5380" max="5380" width="49.140625" style="219" customWidth="1"/>
    <col min="5381" max="5381" width="21.42578125" style="219" customWidth="1"/>
    <col min="5382" max="5382" width="9.140625" style="219" customWidth="1"/>
    <col min="5383" max="5383" width="12.28515625" style="219" customWidth="1"/>
    <col min="5384" max="5631" width="9.140625" style="219" customWidth="1"/>
    <col min="5632" max="5633" width="4" style="219"/>
    <col min="5634" max="5634" width="5.7109375" style="219" customWidth="1"/>
    <col min="5635" max="5635" width="8.42578125" style="219" customWidth="1"/>
    <col min="5636" max="5636" width="49.140625" style="219" customWidth="1"/>
    <col min="5637" max="5637" width="21.42578125" style="219" customWidth="1"/>
    <col min="5638" max="5638" width="9.140625" style="219" customWidth="1"/>
    <col min="5639" max="5639" width="12.28515625" style="219" customWidth="1"/>
    <col min="5640" max="5887" width="9.140625" style="219" customWidth="1"/>
    <col min="5888" max="5889" width="4" style="219"/>
    <col min="5890" max="5890" width="5.7109375" style="219" customWidth="1"/>
    <col min="5891" max="5891" width="8.42578125" style="219" customWidth="1"/>
    <col min="5892" max="5892" width="49.140625" style="219" customWidth="1"/>
    <col min="5893" max="5893" width="21.42578125" style="219" customWidth="1"/>
    <col min="5894" max="5894" width="9.140625" style="219" customWidth="1"/>
    <col min="5895" max="5895" width="12.28515625" style="219" customWidth="1"/>
    <col min="5896" max="6143" width="9.140625" style="219" customWidth="1"/>
    <col min="6144" max="6145" width="4" style="219"/>
    <col min="6146" max="6146" width="5.7109375" style="219" customWidth="1"/>
    <col min="6147" max="6147" width="8.42578125" style="219" customWidth="1"/>
    <col min="6148" max="6148" width="49.140625" style="219" customWidth="1"/>
    <col min="6149" max="6149" width="21.42578125" style="219" customWidth="1"/>
    <col min="6150" max="6150" width="9.140625" style="219" customWidth="1"/>
    <col min="6151" max="6151" width="12.28515625" style="219" customWidth="1"/>
    <col min="6152" max="6399" width="9.140625" style="219" customWidth="1"/>
    <col min="6400" max="6401" width="4" style="219"/>
    <col min="6402" max="6402" width="5.7109375" style="219" customWidth="1"/>
    <col min="6403" max="6403" width="8.42578125" style="219" customWidth="1"/>
    <col min="6404" max="6404" width="49.140625" style="219" customWidth="1"/>
    <col min="6405" max="6405" width="21.42578125" style="219" customWidth="1"/>
    <col min="6406" max="6406" width="9.140625" style="219" customWidth="1"/>
    <col min="6407" max="6407" width="12.28515625" style="219" customWidth="1"/>
    <col min="6408" max="6655" width="9.140625" style="219" customWidth="1"/>
    <col min="6656" max="6657" width="4" style="219"/>
    <col min="6658" max="6658" width="5.7109375" style="219" customWidth="1"/>
    <col min="6659" max="6659" width="8.42578125" style="219" customWidth="1"/>
    <col min="6660" max="6660" width="49.140625" style="219" customWidth="1"/>
    <col min="6661" max="6661" width="21.42578125" style="219" customWidth="1"/>
    <col min="6662" max="6662" width="9.140625" style="219" customWidth="1"/>
    <col min="6663" max="6663" width="12.28515625" style="219" customWidth="1"/>
    <col min="6664" max="6911" width="9.140625" style="219" customWidth="1"/>
    <col min="6912" max="6913" width="4" style="219"/>
    <col min="6914" max="6914" width="5.7109375" style="219" customWidth="1"/>
    <col min="6915" max="6915" width="8.42578125" style="219" customWidth="1"/>
    <col min="6916" max="6916" width="49.140625" style="219" customWidth="1"/>
    <col min="6917" max="6917" width="21.42578125" style="219" customWidth="1"/>
    <col min="6918" max="6918" width="9.140625" style="219" customWidth="1"/>
    <col min="6919" max="6919" width="12.28515625" style="219" customWidth="1"/>
    <col min="6920" max="7167" width="9.140625" style="219" customWidth="1"/>
    <col min="7168" max="7169" width="4" style="219"/>
    <col min="7170" max="7170" width="5.7109375" style="219" customWidth="1"/>
    <col min="7171" max="7171" width="8.42578125" style="219" customWidth="1"/>
    <col min="7172" max="7172" width="49.140625" style="219" customWidth="1"/>
    <col min="7173" max="7173" width="21.42578125" style="219" customWidth="1"/>
    <col min="7174" max="7174" width="9.140625" style="219" customWidth="1"/>
    <col min="7175" max="7175" width="12.28515625" style="219" customWidth="1"/>
    <col min="7176" max="7423" width="9.140625" style="219" customWidth="1"/>
    <col min="7424" max="7425" width="4" style="219"/>
    <col min="7426" max="7426" width="5.7109375" style="219" customWidth="1"/>
    <col min="7427" max="7427" width="8.42578125" style="219" customWidth="1"/>
    <col min="7428" max="7428" width="49.140625" style="219" customWidth="1"/>
    <col min="7429" max="7429" width="21.42578125" style="219" customWidth="1"/>
    <col min="7430" max="7430" width="9.140625" style="219" customWidth="1"/>
    <col min="7431" max="7431" width="12.28515625" style="219" customWidth="1"/>
    <col min="7432" max="7679" width="9.140625" style="219" customWidth="1"/>
    <col min="7680" max="7681" width="4" style="219"/>
    <col min="7682" max="7682" width="5.7109375" style="219" customWidth="1"/>
    <col min="7683" max="7683" width="8.42578125" style="219" customWidth="1"/>
    <col min="7684" max="7684" width="49.140625" style="219" customWidth="1"/>
    <col min="7685" max="7685" width="21.42578125" style="219" customWidth="1"/>
    <col min="7686" max="7686" width="9.140625" style="219" customWidth="1"/>
    <col min="7687" max="7687" width="12.28515625" style="219" customWidth="1"/>
    <col min="7688" max="7935" width="9.140625" style="219" customWidth="1"/>
    <col min="7936" max="7937" width="4" style="219"/>
    <col min="7938" max="7938" width="5.7109375" style="219" customWidth="1"/>
    <col min="7939" max="7939" width="8.42578125" style="219" customWidth="1"/>
    <col min="7940" max="7940" width="49.140625" style="219" customWidth="1"/>
    <col min="7941" max="7941" width="21.42578125" style="219" customWidth="1"/>
    <col min="7942" max="7942" width="9.140625" style="219" customWidth="1"/>
    <col min="7943" max="7943" width="12.28515625" style="219" customWidth="1"/>
    <col min="7944" max="8191" width="9.140625" style="219" customWidth="1"/>
    <col min="8192" max="8193" width="4" style="219"/>
    <col min="8194" max="8194" width="5.7109375" style="219" customWidth="1"/>
    <col min="8195" max="8195" width="8.42578125" style="219" customWidth="1"/>
    <col min="8196" max="8196" width="49.140625" style="219" customWidth="1"/>
    <col min="8197" max="8197" width="21.42578125" style="219" customWidth="1"/>
    <col min="8198" max="8198" width="9.140625" style="219" customWidth="1"/>
    <col min="8199" max="8199" width="12.28515625" style="219" customWidth="1"/>
    <col min="8200" max="8447" width="9.140625" style="219" customWidth="1"/>
    <col min="8448" max="8449" width="4" style="219"/>
    <col min="8450" max="8450" width="5.7109375" style="219" customWidth="1"/>
    <col min="8451" max="8451" width="8.42578125" style="219" customWidth="1"/>
    <col min="8452" max="8452" width="49.140625" style="219" customWidth="1"/>
    <col min="8453" max="8453" width="21.42578125" style="219" customWidth="1"/>
    <col min="8454" max="8454" width="9.140625" style="219" customWidth="1"/>
    <col min="8455" max="8455" width="12.28515625" style="219" customWidth="1"/>
    <col min="8456" max="8703" width="9.140625" style="219" customWidth="1"/>
    <col min="8704" max="8705" width="4" style="219"/>
    <col min="8706" max="8706" width="5.7109375" style="219" customWidth="1"/>
    <col min="8707" max="8707" width="8.42578125" style="219" customWidth="1"/>
    <col min="8708" max="8708" width="49.140625" style="219" customWidth="1"/>
    <col min="8709" max="8709" width="21.42578125" style="219" customWidth="1"/>
    <col min="8710" max="8710" width="9.140625" style="219" customWidth="1"/>
    <col min="8711" max="8711" width="12.28515625" style="219" customWidth="1"/>
    <col min="8712" max="8959" width="9.140625" style="219" customWidth="1"/>
    <col min="8960" max="8961" width="4" style="219"/>
    <col min="8962" max="8962" width="5.7109375" style="219" customWidth="1"/>
    <col min="8963" max="8963" width="8.42578125" style="219" customWidth="1"/>
    <col min="8964" max="8964" width="49.140625" style="219" customWidth="1"/>
    <col min="8965" max="8965" width="21.42578125" style="219" customWidth="1"/>
    <col min="8966" max="8966" width="9.140625" style="219" customWidth="1"/>
    <col min="8967" max="8967" width="12.28515625" style="219" customWidth="1"/>
    <col min="8968" max="9215" width="9.140625" style="219" customWidth="1"/>
    <col min="9216" max="9217" width="4" style="219"/>
    <col min="9218" max="9218" width="5.7109375" style="219" customWidth="1"/>
    <col min="9219" max="9219" width="8.42578125" style="219" customWidth="1"/>
    <col min="9220" max="9220" width="49.140625" style="219" customWidth="1"/>
    <col min="9221" max="9221" width="21.42578125" style="219" customWidth="1"/>
    <col min="9222" max="9222" width="9.140625" style="219" customWidth="1"/>
    <col min="9223" max="9223" width="12.28515625" style="219" customWidth="1"/>
    <col min="9224" max="9471" width="9.140625" style="219" customWidth="1"/>
    <col min="9472" max="9473" width="4" style="219"/>
    <col min="9474" max="9474" width="5.7109375" style="219" customWidth="1"/>
    <col min="9475" max="9475" width="8.42578125" style="219" customWidth="1"/>
    <col min="9476" max="9476" width="49.140625" style="219" customWidth="1"/>
    <col min="9477" max="9477" width="21.42578125" style="219" customWidth="1"/>
    <col min="9478" max="9478" width="9.140625" style="219" customWidth="1"/>
    <col min="9479" max="9479" width="12.28515625" style="219" customWidth="1"/>
    <col min="9480" max="9727" width="9.140625" style="219" customWidth="1"/>
    <col min="9728" max="9729" width="4" style="219"/>
    <col min="9730" max="9730" width="5.7109375" style="219" customWidth="1"/>
    <col min="9731" max="9731" width="8.42578125" style="219" customWidth="1"/>
    <col min="9732" max="9732" width="49.140625" style="219" customWidth="1"/>
    <col min="9733" max="9733" width="21.42578125" style="219" customWidth="1"/>
    <col min="9734" max="9734" width="9.140625" style="219" customWidth="1"/>
    <col min="9735" max="9735" width="12.28515625" style="219" customWidth="1"/>
    <col min="9736" max="9983" width="9.140625" style="219" customWidth="1"/>
    <col min="9984" max="9985" width="4" style="219"/>
    <col min="9986" max="9986" width="5.7109375" style="219" customWidth="1"/>
    <col min="9987" max="9987" width="8.42578125" style="219" customWidth="1"/>
    <col min="9988" max="9988" width="49.140625" style="219" customWidth="1"/>
    <col min="9989" max="9989" width="21.42578125" style="219" customWidth="1"/>
    <col min="9990" max="9990" width="9.140625" style="219" customWidth="1"/>
    <col min="9991" max="9991" width="12.28515625" style="219" customWidth="1"/>
    <col min="9992" max="10239" width="9.140625" style="219" customWidth="1"/>
    <col min="10240" max="10241" width="4" style="219"/>
    <col min="10242" max="10242" width="5.7109375" style="219" customWidth="1"/>
    <col min="10243" max="10243" width="8.42578125" style="219" customWidth="1"/>
    <col min="10244" max="10244" width="49.140625" style="219" customWidth="1"/>
    <col min="10245" max="10245" width="21.42578125" style="219" customWidth="1"/>
    <col min="10246" max="10246" width="9.140625" style="219" customWidth="1"/>
    <col min="10247" max="10247" width="12.28515625" style="219" customWidth="1"/>
    <col min="10248" max="10495" width="9.140625" style="219" customWidth="1"/>
    <col min="10496" max="10497" width="4" style="219"/>
    <col min="10498" max="10498" width="5.7109375" style="219" customWidth="1"/>
    <col min="10499" max="10499" width="8.42578125" style="219" customWidth="1"/>
    <col min="10500" max="10500" width="49.140625" style="219" customWidth="1"/>
    <col min="10501" max="10501" width="21.42578125" style="219" customWidth="1"/>
    <col min="10502" max="10502" width="9.140625" style="219" customWidth="1"/>
    <col min="10503" max="10503" width="12.28515625" style="219" customWidth="1"/>
    <col min="10504" max="10751" width="9.140625" style="219" customWidth="1"/>
    <col min="10752" max="10753" width="4" style="219"/>
    <col min="10754" max="10754" width="5.7109375" style="219" customWidth="1"/>
    <col min="10755" max="10755" width="8.42578125" style="219" customWidth="1"/>
    <col min="10756" max="10756" width="49.140625" style="219" customWidth="1"/>
    <col min="10757" max="10757" width="21.42578125" style="219" customWidth="1"/>
    <col min="10758" max="10758" width="9.140625" style="219" customWidth="1"/>
    <col min="10759" max="10759" width="12.28515625" style="219" customWidth="1"/>
    <col min="10760" max="11007" width="9.140625" style="219" customWidth="1"/>
    <col min="11008" max="11009" width="4" style="219"/>
    <col min="11010" max="11010" width="5.7109375" style="219" customWidth="1"/>
    <col min="11011" max="11011" width="8.42578125" style="219" customWidth="1"/>
    <col min="11012" max="11012" width="49.140625" style="219" customWidth="1"/>
    <col min="11013" max="11013" width="21.42578125" style="219" customWidth="1"/>
    <col min="11014" max="11014" width="9.140625" style="219" customWidth="1"/>
    <col min="11015" max="11015" width="12.28515625" style="219" customWidth="1"/>
    <col min="11016" max="11263" width="9.140625" style="219" customWidth="1"/>
    <col min="11264" max="11265" width="4" style="219"/>
    <col min="11266" max="11266" width="5.7109375" style="219" customWidth="1"/>
    <col min="11267" max="11267" width="8.42578125" style="219" customWidth="1"/>
    <col min="11268" max="11268" width="49.140625" style="219" customWidth="1"/>
    <col min="11269" max="11269" width="21.42578125" style="219" customWidth="1"/>
    <col min="11270" max="11270" width="9.140625" style="219" customWidth="1"/>
    <col min="11271" max="11271" width="12.28515625" style="219" customWidth="1"/>
    <col min="11272" max="11519" width="9.140625" style="219" customWidth="1"/>
    <col min="11520" max="11521" width="4" style="219"/>
    <col min="11522" max="11522" width="5.7109375" style="219" customWidth="1"/>
    <col min="11523" max="11523" width="8.42578125" style="219" customWidth="1"/>
    <col min="11524" max="11524" width="49.140625" style="219" customWidth="1"/>
    <col min="11525" max="11525" width="21.42578125" style="219" customWidth="1"/>
    <col min="11526" max="11526" width="9.140625" style="219" customWidth="1"/>
    <col min="11527" max="11527" width="12.28515625" style="219" customWidth="1"/>
    <col min="11528" max="11775" width="9.140625" style="219" customWidth="1"/>
    <col min="11776" max="11777" width="4" style="219"/>
    <col min="11778" max="11778" width="5.7109375" style="219" customWidth="1"/>
    <col min="11779" max="11779" width="8.42578125" style="219" customWidth="1"/>
    <col min="11780" max="11780" width="49.140625" style="219" customWidth="1"/>
    <col min="11781" max="11781" width="21.42578125" style="219" customWidth="1"/>
    <col min="11782" max="11782" width="9.140625" style="219" customWidth="1"/>
    <col min="11783" max="11783" width="12.28515625" style="219" customWidth="1"/>
    <col min="11784" max="12031" width="9.140625" style="219" customWidth="1"/>
    <col min="12032" max="12033" width="4" style="219"/>
    <col min="12034" max="12034" width="5.7109375" style="219" customWidth="1"/>
    <col min="12035" max="12035" width="8.42578125" style="219" customWidth="1"/>
    <col min="12036" max="12036" width="49.140625" style="219" customWidth="1"/>
    <col min="12037" max="12037" width="21.42578125" style="219" customWidth="1"/>
    <col min="12038" max="12038" width="9.140625" style="219" customWidth="1"/>
    <col min="12039" max="12039" width="12.28515625" style="219" customWidth="1"/>
    <col min="12040" max="12287" width="9.140625" style="219" customWidth="1"/>
    <col min="12288" max="12289" width="4" style="219"/>
    <col min="12290" max="12290" width="5.7109375" style="219" customWidth="1"/>
    <col min="12291" max="12291" width="8.42578125" style="219" customWidth="1"/>
    <col min="12292" max="12292" width="49.140625" style="219" customWidth="1"/>
    <col min="12293" max="12293" width="21.42578125" style="219" customWidth="1"/>
    <col min="12294" max="12294" width="9.140625" style="219" customWidth="1"/>
    <col min="12295" max="12295" width="12.28515625" style="219" customWidth="1"/>
    <col min="12296" max="12543" width="9.140625" style="219" customWidth="1"/>
    <col min="12544" max="12545" width="4" style="219"/>
    <col min="12546" max="12546" width="5.7109375" style="219" customWidth="1"/>
    <col min="12547" max="12547" width="8.42578125" style="219" customWidth="1"/>
    <col min="12548" max="12548" width="49.140625" style="219" customWidth="1"/>
    <col min="12549" max="12549" width="21.42578125" style="219" customWidth="1"/>
    <col min="12550" max="12550" width="9.140625" style="219" customWidth="1"/>
    <col min="12551" max="12551" width="12.28515625" style="219" customWidth="1"/>
    <col min="12552" max="12799" width="9.140625" style="219" customWidth="1"/>
    <col min="12800" max="12801" width="4" style="219"/>
    <col min="12802" max="12802" width="5.7109375" style="219" customWidth="1"/>
    <col min="12803" max="12803" width="8.42578125" style="219" customWidth="1"/>
    <col min="12804" max="12804" width="49.140625" style="219" customWidth="1"/>
    <col min="12805" max="12805" width="21.42578125" style="219" customWidth="1"/>
    <col min="12806" max="12806" width="9.140625" style="219" customWidth="1"/>
    <col min="12807" max="12807" width="12.28515625" style="219" customWidth="1"/>
    <col min="12808" max="13055" width="9.140625" style="219" customWidth="1"/>
    <col min="13056" max="13057" width="4" style="219"/>
    <col min="13058" max="13058" width="5.7109375" style="219" customWidth="1"/>
    <col min="13059" max="13059" width="8.42578125" style="219" customWidth="1"/>
    <col min="13060" max="13060" width="49.140625" style="219" customWidth="1"/>
    <col min="13061" max="13061" width="21.42578125" style="219" customWidth="1"/>
    <col min="13062" max="13062" width="9.140625" style="219" customWidth="1"/>
    <col min="13063" max="13063" width="12.28515625" style="219" customWidth="1"/>
    <col min="13064" max="13311" width="9.140625" style="219" customWidth="1"/>
    <col min="13312" max="13313" width="4" style="219"/>
    <col min="13314" max="13314" width="5.7109375" style="219" customWidth="1"/>
    <col min="13315" max="13315" width="8.42578125" style="219" customWidth="1"/>
    <col min="13316" max="13316" width="49.140625" style="219" customWidth="1"/>
    <col min="13317" max="13317" width="21.42578125" style="219" customWidth="1"/>
    <col min="13318" max="13318" width="9.140625" style="219" customWidth="1"/>
    <col min="13319" max="13319" width="12.28515625" style="219" customWidth="1"/>
    <col min="13320" max="13567" width="9.140625" style="219" customWidth="1"/>
    <col min="13568" max="13569" width="4" style="219"/>
    <col min="13570" max="13570" width="5.7109375" style="219" customWidth="1"/>
    <col min="13571" max="13571" width="8.42578125" style="219" customWidth="1"/>
    <col min="13572" max="13572" width="49.140625" style="219" customWidth="1"/>
    <col min="13573" max="13573" width="21.42578125" style="219" customWidth="1"/>
    <col min="13574" max="13574" width="9.140625" style="219" customWidth="1"/>
    <col min="13575" max="13575" width="12.28515625" style="219" customWidth="1"/>
    <col min="13576" max="13823" width="9.140625" style="219" customWidth="1"/>
    <col min="13824" max="13825" width="4" style="219"/>
    <col min="13826" max="13826" width="5.7109375" style="219" customWidth="1"/>
    <col min="13827" max="13827" width="8.42578125" style="219" customWidth="1"/>
    <col min="13828" max="13828" width="49.140625" style="219" customWidth="1"/>
    <col min="13829" max="13829" width="21.42578125" style="219" customWidth="1"/>
    <col min="13830" max="13830" width="9.140625" style="219" customWidth="1"/>
    <col min="13831" max="13831" width="12.28515625" style="219" customWidth="1"/>
    <col min="13832" max="14079" width="9.140625" style="219" customWidth="1"/>
    <col min="14080" max="14081" width="4" style="219"/>
    <col min="14082" max="14082" width="5.7109375" style="219" customWidth="1"/>
    <col min="14083" max="14083" width="8.42578125" style="219" customWidth="1"/>
    <col min="14084" max="14084" width="49.140625" style="219" customWidth="1"/>
    <col min="14085" max="14085" width="21.42578125" style="219" customWidth="1"/>
    <col min="14086" max="14086" width="9.140625" style="219" customWidth="1"/>
    <col min="14087" max="14087" width="12.28515625" style="219" customWidth="1"/>
    <col min="14088" max="14335" width="9.140625" style="219" customWidth="1"/>
    <col min="14336" max="14337" width="4" style="219"/>
    <col min="14338" max="14338" width="5.7109375" style="219" customWidth="1"/>
    <col min="14339" max="14339" width="8.42578125" style="219" customWidth="1"/>
    <col min="14340" max="14340" width="49.140625" style="219" customWidth="1"/>
    <col min="14341" max="14341" width="21.42578125" style="219" customWidth="1"/>
    <col min="14342" max="14342" width="9.140625" style="219" customWidth="1"/>
    <col min="14343" max="14343" width="12.28515625" style="219" customWidth="1"/>
    <col min="14344" max="14591" width="9.140625" style="219" customWidth="1"/>
    <col min="14592" max="14593" width="4" style="219"/>
    <col min="14594" max="14594" width="5.7109375" style="219" customWidth="1"/>
    <col min="14595" max="14595" width="8.42578125" style="219" customWidth="1"/>
    <col min="14596" max="14596" width="49.140625" style="219" customWidth="1"/>
    <col min="14597" max="14597" width="21.42578125" style="219" customWidth="1"/>
    <col min="14598" max="14598" width="9.140625" style="219" customWidth="1"/>
    <col min="14599" max="14599" width="12.28515625" style="219" customWidth="1"/>
    <col min="14600" max="14847" width="9.140625" style="219" customWidth="1"/>
    <col min="14848" max="14849" width="4" style="219"/>
    <col min="14850" max="14850" width="5.7109375" style="219" customWidth="1"/>
    <col min="14851" max="14851" width="8.42578125" style="219" customWidth="1"/>
    <col min="14852" max="14852" width="49.140625" style="219" customWidth="1"/>
    <col min="14853" max="14853" width="21.42578125" style="219" customWidth="1"/>
    <col min="14854" max="14854" width="9.140625" style="219" customWidth="1"/>
    <col min="14855" max="14855" width="12.28515625" style="219" customWidth="1"/>
    <col min="14856" max="15103" width="9.140625" style="219" customWidth="1"/>
    <col min="15104" max="15105" width="4" style="219"/>
    <col min="15106" max="15106" width="5.7109375" style="219" customWidth="1"/>
    <col min="15107" max="15107" width="8.42578125" style="219" customWidth="1"/>
    <col min="15108" max="15108" width="49.140625" style="219" customWidth="1"/>
    <col min="15109" max="15109" width="21.42578125" style="219" customWidth="1"/>
    <col min="15110" max="15110" width="9.140625" style="219" customWidth="1"/>
    <col min="15111" max="15111" width="12.28515625" style="219" customWidth="1"/>
    <col min="15112" max="15359" width="9.140625" style="219" customWidth="1"/>
    <col min="15360" max="15361" width="4" style="219"/>
    <col min="15362" max="15362" width="5.7109375" style="219" customWidth="1"/>
    <col min="15363" max="15363" width="8.42578125" style="219" customWidth="1"/>
    <col min="15364" max="15364" width="49.140625" style="219" customWidth="1"/>
    <col min="15365" max="15365" width="21.42578125" style="219" customWidth="1"/>
    <col min="15366" max="15366" width="9.140625" style="219" customWidth="1"/>
    <col min="15367" max="15367" width="12.28515625" style="219" customWidth="1"/>
    <col min="15368" max="15615" width="9.140625" style="219" customWidth="1"/>
    <col min="15616" max="15617" width="4" style="219"/>
    <col min="15618" max="15618" width="5.7109375" style="219" customWidth="1"/>
    <col min="15619" max="15619" width="8.42578125" style="219" customWidth="1"/>
    <col min="15620" max="15620" width="49.140625" style="219" customWidth="1"/>
    <col min="15621" max="15621" width="21.42578125" style="219" customWidth="1"/>
    <col min="15622" max="15622" width="9.140625" style="219" customWidth="1"/>
    <col min="15623" max="15623" width="12.28515625" style="219" customWidth="1"/>
    <col min="15624" max="15871" width="9.140625" style="219" customWidth="1"/>
    <col min="15872" max="15873" width="4" style="219"/>
    <col min="15874" max="15874" width="5.7109375" style="219" customWidth="1"/>
    <col min="15875" max="15875" width="8.42578125" style="219" customWidth="1"/>
    <col min="15876" max="15876" width="49.140625" style="219" customWidth="1"/>
    <col min="15877" max="15877" width="21.42578125" style="219" customWidth="1"/>
    <col min="15878" max="15878" width="9.140625" style="219" customWidth="1"/>
    <col min="15879" max="15879" width="12.28515625" style="219" customWidth="1"/>
    <col min="15880" max="16127" width="9.140625" style="219" customWidth="1"/>
    <col min="16128" max="16129" width="4" style="219"/>
    <col min="16130" max="16130" width="5.7109375" style="219" customWidth="1"/>
    <col min="16131" max="16131" width="8.42578125" style="219" customWidth="1"/>
    <col min="16132" max="16132" width="49.140625" style="219" customWidth="1"/>
    <col min="16133" max="16133" width="21.42578125" style="219" customWidth="1"/>
    <col min="16134" max="16134" width="9.140625" style="219" customWidth="1"/>
    <col min="16135" max="16135" width="12.28515625" style="219" customWidth="1"/>
    <col min="16136" max="16383" width="9.140625" style="219" customWidth="1"/>
    <col min="16384" max="16384" width="4" style="219"/>
  </cols>
  <sheetData>
    <row r="1" spans="1:7" x14ac:dyDescent="0.2">
      <c r="A1" s="218"/>
      <c r="D1" s="226"/>
      <c r="E1" s="220" t="s">
        <v>204</v>
      </c>
    </row>
    <row r="2" spans="1:7" x14ac:dyDescent="0.2">
      <c r="D2" s="226"/>
      <c r="E2" s="3" t="s">
        <v>469</v>
      </c>
    </row>
    <row r="3" spans="1:7" x14ac:dyDescent="0.2">
      <c r="D3" s="226"/>
      <c r="E3" s="3" t="s">
        <v>40</v>
      </c>
    </row>
    <row r="4" spans="1:7" x14ac:dyDescent="0.2">
      <c r="D4" s="226"/>
      <c r="E4" s="3" t="s">
        <v>470</v>
      </c>
    </row>
    <row r="5" spans="1:7" ht="9.75" customHeight="1" x14ac:dyDescent="0.2">
      <c r="D5" s="220"/>
      <c r="E5" s="218"/>
    </row>
    <row r="6" spans="1:7" ht="15.75" customHeight="1" x14ac:dyDescent="0.2">
      <c r="A6" s="221" t="s">
        <v>199</v>
      </c>
      <c r="B6" s="221"/>
      <c r="C6" s="221"/>
      <c r="D6" s="221"/>
      <c r="E6" s="221"/>
    </row>
    <row r="7" spans="1:7" ht="15.75" customHeight="1" x14ac:dyDescent="0.2">
      <c r="A7" s="221" t="s">
        <v>205</v>
      </c>
      <c r="B7" s="221"/>
      <c r="C7" s="221"/>
      <c r="D7" s="221"/>
      <c r="E7" s="221"/>
    </row>
    <row r="8" spans="1:7" ht="9.75" customHeight="1" x14ac:dyDescent="0.2">
      <c r="E8" s="222"/>
    </row>
    <row r="9" spans="1:7" ht="10.5" customHeight="1" x14ac:dyDescent="0.2">
      <c r="E9" s="240" t="s">
        <v>1</v>
      </c>
    </row>
    <row r="10" spans="1:7" ht="20.25" customHeight="1" x14ac:dyDescent="0.2">
      <c r="A10" s="241" t="s">
        <v>25</v>
      </c>
      <c r="B10" s="223" t="s">
        <v>18</v>
      </c>
      <c r="C10" s="223" t="s">
        <v>20</v>
      </c>
      <c r="D10" s="242" t="s">
        <v>30</v>
      </c>
      <c r="E10" s="223" t="s">
        <v>200</v>
      </c>
    </row>
    <row r="11" spans="1:7" s="225" customFormat="1" ht="10.5" customHeight="1" x14ac:dyDescent="0.2">
      <c r="A11" s="224">
        <v>1</v>
      </c>
      <c r="B11" s="224">
        <v>2</v>
      </c>
      <c r="C11" s="224">
        <v>3</v>
      </c>
      <c r="D11" s="243">
        <v>4</v>
      </c>
      <c r="E11" s="224">
        <v>5</v>
      </c>
      <c r="F11" s="226"/>
      <c r="G11" s="244"/>
    </row>
    <row r="12" spans="1:7" ht="17.25" customHeight="1" x14ac:dyDescent="0.2">
      <c r="A12" s="245" t="s">
        <v>201</v>
      </c>
      <c r="B12" s="246"/>
      <c r="C12" s="246"/>
      <c r="D12" s="246"/>
      <c r="E12" s="247"/>
    </row>
    <row r="13" spans="1:7" ht="15.75" customHeight="1" x14ac:dyDescent="0.2">
      <c r="A13" s="248">
        <v>1</v>
      </c>
      <c r="B13" s="248">
        <v>700</v>
      </c>
      <c r="C13" s="248">
        <v>70095</v>
      </c>
      <c r="D13" s="249" t="s">
        <v>206</v>
      </c>
      <c r="E13" s="231">
        <f>1500000-320000</f>
        <v>1180000</v>
      </c>
      <c r="F13" s="250"/>
    </row>
    <row r="14" spans="1:7" ht="26.25" customHeight="1" x14ac:dyDescent="0.2">
      <c r="A14" s="227">
        <v>2</v>
      </c>
      <c r="B14" s="227">
        <v>750</v>
      </c>
      <c r="C14" s="227">
        <v>75095</v>
      </c>
      <c r="D14" s="251" t="s">
        <v>207</v>
      </c>
      <c r="E14" s="228">
        <v>85000</v>
      </c>
      <c r="G14" s="252"/>
    </row>
    <row r="15" spans="1:7" ht="15" customHeight="1" x14ac:dyDescent="0.2">
      <c r="A15" s="227">
        <v>3</v>
      </c>
      <c r="B15" s="227">
        <v>755</v>
      </c>
      <c r="C15" s="227">
        <v>75515</v>
      </c>
      <c r="D15" s="251" t="s">
        <v>208</v>
      </c>
      <c r="E15" s="231">
        <v>128040</v>
      </c>
      <c r="G15" s="252"/>
    </row>
    <row r="16" spans="1:7" ht="15.75" customHeight="1" x14ac:dyDescent="0.2">
      <c r="A16" s="230">
        <v>4</v>
      </c>
      <c r="B16" s="230">
        <v>801</v>
      </c>
      <c r="C16" s="230">
        <v>80101</v>
      </c>
      <c r="D16" s="253" t="s">
        <v>101</v>
      </c>
      <c r="E16" s="231">
        <f>24797.85</f>
        <v>24797.85</v>
      </c>
      <c r="G16" s="252"/>
    </row>
    <row r="17" spans="1:7" ht="15" customHeight="1" x14ac:dyDescent="0.2">
      <c r="A17" s="254"/>
      <c r="B17" s="255"/>
      <c r="C17" s="256"/>
      <c r="D17" s="257" t="s">
        <v>209</v>
      </c>
      <c r="E17" s="258"/>
      <c r="G17" s="252"/>
    </row>
    <row r="18" spans="1:7" ht="23.25" customHeight="1" x14ac:dyDescent="0.2">
      <c r="A18" s="259"/>
      <c r="B18" s="260"/>
      <c r="C18" s="261"/>
      <c r="D18" s="262" t="s">
        <v>210</v>
      </c>
      <c r="E18" s="263"/>
      <c r="G18" s="252"/>
    </row>
    <row r="19" spans="1:7" ht="15" customHeight="1" x14ac:dyDescent="0.2">
      <c r="A19" s="232"/>
      <c r="B19" s="233"/>
      <c r="C19" s="264"/>
      <c r="D19" s="265" t="s">
        <v>211</v>
      </c>
      <c r="E19" s="266"/>
      <c r="G19" s="252"/>
    </row>
    <row r="20" spans="1:7" ht="15.75" customHeight="1" x14ac:dyDescent="0.2">
      <c r="A20" s="230">
        <v>5</v>
      </c>
      <c r="B20" s="230">
        <v>801</v>
      </c>
      <c r="C20" s="230">
        <v>80104</v>
      </c>
      <c r="D20" s="253" t="s">
        <v>120</v>
      </c>
      <c r="E20" s="231">
        <f>2391.32+3201.31</f>
        <v>5592.63</v>
      </c>
      <c r="G20" s="252"/>
    </row>
    <row r="21" spans="1:7" ht="15" customHeight="1" x14ac:dyDescent="0.2">
      <c r="A21" s="254"/>
      <c r="B21" s="255"/>
      <c r="C21" s="256"/>
      <c r="D21" s="267" t="s">
        <v>212</v>
      </c>
      <c r="E21" s="258"/>
      <c r="G21" s="252"/>
    </row>
    <row r="22" spans="1:7" ht="15" customHeight="1" x14ac:dyDescent="0.2">
      <c r="A22" s="259"/>
      <c r="B22" s="260"/>
      <c r="C22" s="261"/>
      <c r="D22" s="267" t="s">
        <v>213</v>
      </c>
      <c r="E22" s="268"/>
      <c r="G22" s="252"/>
    </row>
    <row r="23" spans="1:7" ht="15" customHeight="1" x14ac:dyDescent="0.2">
      <c r="A23" s="259"/>
      <c r="B23" s="260"/>
      <c r="C23" s="261"/>
      <c r="D23" s="269" t="s">
        <v>214</v>
      </c>
      <c r="E23" s="268"/>
      <c r="G23" s="252"/>
    </row>
    <row r="24" spans="1:7" ht="15" customHeight="1" x14ac:dyDescent="0.2">
      <c r="A24" s="259"/>
      <c r="B24" s="260"/>
      <c r="C24" s="261"/>
      <c r="D24" s="499" t="s">
        <v>250</v>
      </c>
      <c r="E24" s="268"/>
      <c r="G24" s="252"/>
    </row>
    <row r="25" spans="1:7" ht="15" customHeight="1" x14ac:dyDescent="0.2">
      <c r="A25" s="232"/>
      <c r="B25" s="233"/>
      <c r="C25" s="264"/>
      <c r="D25" s="270" t="s">
        <v>215</v>
      </c>
      <c r="E25" s="266"/>
      <c r="G25" s="252"/>
    </row>
    <row r="26" spans="1:7" ht="15" customHeight="1" x14ac:dyDescent="0.2">
      <c r="A26" s="230">
        <v>6</v>
      </c>
      <c r="B26" s="230">
        <v>801</v>
      </c>
      <c r="C26" s="230">
        <v>80117</v>
      </c>
      <c r="D26" s="253" t="s">
        <v>131</v>
      </c>
      <c r="E26" s="231">
        <v>709.34</v>
      </c>
      <c r="G26" s="252"/>
    </row>
    <row r="27" spans="1:7" ht="15" customHeight="1" x14ac:dyDescent="0.2">
      <c r="A27" s="253"/>
      <c r="B27" s="271"/>
      <c r="C27" s="234"/>
      <c r="D27" s="313" t="s">
        <v>273</v>
      </c>
      <c r="E27" s="231"/>
      <c r="G27" s="252"/>
    </row>
    <row r="28" spans="1:7" ht="15.75" customHeight="1" x14ac:dyDescent="0.2">
      <c r="A28" s="230">
        <v>7</v>
      </c>
      <c r="B28" s="230">
        <v>801</v>
      </c>
      <c r="C28" s="230">
        <v>80120</v>
      </c>
      <c r="D28" s="253" t="s">
        <v>132</v>
      </c>
      <c r="E28" s="231">
        <f>12774.65+4478.39</f>
        <v>17253.04</v>
      </c>
      <c r="G28" s="252"/>
    </row>
    <row r="29" spans="1:7" ht="15" customHeight="1" x14ac:dyDescent="0.2">
      <c r="A29" s="254"/>
      <c r="B29" s="255"/>
      <c r="C29" s="256"/>
      <c r="D29" s="500" t="s">
        <v>216</v>
      </c>
      <c r="E29" s="258"/>
      <c r="G29" s="252"/>
    </row>
    <row r="30" spans="1:7" ht="22.5" customHeight="1" x14ac:dyDescent="0.2">
      <c r="A30" s="259"/>
      <c r="B30" s="260"/>
      <c r="C30" s="261"/>
      <c r="D30" s="299" t="s">
        <v>285</v>
      </c>
      <c r="E30" s="268"/>
      <c r="G30" s="252"/>
    </row>
    <row r="31" spans="1:7" ht="24.75" customHeight="1" x14ac:dyDescent="0.2">
      <c r="A31" s="232"/>
      <c r="B31" s="233"/>
      <c r="C31" s="264"/>
      <c r="D31" s="304" t="s">
        <v>286</v>
      </c>
      <c r="E31" s="266"/>
      <c r="G31" s="252"/>
    </row>
    <row r="32" spans="1:7" ht="51" customHeight="1" x14ac:dyDescent="0.2">
      <c r="A32" s="272">
        <v>8</v>
      </c>
      <c r="B32" s="272">
        <v>801</v>
      </c>
      <c r="C32" s="272">
        <v>80153</v>
      </c>
      <c r="D32" s="273" t="s">
        <v>217</v>
      </c>
      <c r="E32" s="274">
        <f>33841+15955+1732.31</f>
        <v>51528.31</v>
      </c>
      <c r="G32" s="252"/>
    </row>
    <row r="33" spans="1:7" ht="15" customHeight="1" x14ac:dyDescent="0.2">
      <c r="A33" s="275"/>
      <c r="B33" s="275"/>
      <c r="C33" s="275"/>
      <c r="D33" s="276" t="s">
        <v>218</v>
      </c>
      <c r="E33" s="277"/>
      <c r="G33" s="252"/>
    </row>
    <row r="34" spans="1:7" ht="15" customHeight="1" x14ac:dyDescent="0.2">
      <c r="A34" s="278"/>
      <c r="B34" s="278"/>
      <c r="C34" s="278"/>
      <c r="D34" s="279" t="s">
        <v>211</v>
      </c>
      <c r="E34" s="280"/>
      <c r="G34" s="252"/>
    </row>
    <row r="35" spans="1:7" ht="15" customHeight="1" x14ac:dyDescent="0.2">
      <c r="A35" s="281"/>
      <c r="B35" s="281"/>
      <c r="C35" s="281"/>
      <c r="D35" s="282" t="s">
        <v>219</v>
      </c>
      <c r="E35" s="283"/>
      <c r="G35" s="252"/>
    </row>
    <row r="36" spans="1:7" ht="42" customHeight="1" x14ac:dyDescent="0.2">
      <c r="A36" s="284">
        <v>9</v>
      </c>
      <c r="B36" s="284">
        <v>801</v>
      </c>
      <c r="C36" s="284">
        <v>80195</v>
      </c>
      <c r="D36" s="285" t="s">
        <v>220</v>
      </c>
      <c r="E36" s="286">
        <f>533646-31962+295000</f>
        <v>796684</v>
      </c>
      <c r="G36" s="252"/>
    </row>
    <row r="37" spans="1:7" ht="15" customHeight="1" x14ac:dyDescent="0.2">
      <c r="A37" s="230">
        <v>10</v>
      </c>
      <c r="B37" s="230">
        <v>851</v>
      </c>
      <c r="C37" s="230">
        <v>85153</v>
      </c>
      <c r="D37" s="232" t="s">
        <v>221</v>
      </c>
      <c r="E37" s="266">
        <v>55000</v>
      </c>
      <c r="G37" s="252"/>
    </row>
    <row r="38" spans="1:7" s="239" customFormat="1" ht="39" customHeight="1" x14ac:dyDescent="0.2">
      <c r="A38" s="227">
        <v>11</v>
      </c>
      <c r="B38" s="227">
        <v>851</v>
      </c>
      <c r="C38" s="227">
        <v>85154</v>
      </c>
      <c r="D38" s="251" t="s">
        <v>222</v>
      </c>
      <c r="E38" s="228">
        <f>550000-21000</f>
        <v>529000</v>
      </c>
      <c r="F38" s="218"/>
    </row>
    <row r="39" spans="1:7" s="239" customFormat="1" ht="27" customHeight="1" x14ac:dyDescent="0.2">
      <c r="A39" s="229">
        <v>12</v>
      </c>
      <c r="B39" s="229">
        <v>851</v>
      </c>
      <c r="C39" s="287">
        <v>85195</v>
      </c>
      <c r="D39" s="251" t="s">
        <v>223</v>
      </c>
      <c r="E39" s="228">
        <v>67500</v>
      </c>
      <c r="F39" s="218"/>
    </row>
    <row r="40" spans="1:7" s="239" customFormat="1" ht="25.5" customHeight="1" x14ac:dyDescent="0.2">
      <c r="A40" s="288">
        <v>13</v>
      </c>
      <c r="B40" s="288">
        <v>852</v>
      </c>
      <c r="C40" s="289">
        <v>85228</v>
      </c>
      <c r="D40" s="290" t="s">
        <v>224</v>
      </c>
      <c r="E40" s="231">
        <f>7049731-244300</f>
        <v>6805431</v>
      </c>
      <c r="F40" s="218"/>
    </row>
    <row r="41" spans="1:7" s="239" customFormat="1" ht="25.5" customHeight="1" x14ac:dyDescent="0.2">
      <c r="A41" s="284"/>
      <c r="B41" s="284"/>
      <c r="C41" s="291"/>
      <c r="D41" s="292" t="s">
        <v>225</v>
      </c>
      <c r="E41" s="266">
        <f>1327900+746426+746426+361440</f>
        <v>3182192</v>
      </c>
      <c r="F41" s="218"/>
    </row>
    <row r="42" spans="1:7" s="239" customFormat="1" ht="25.5" customHeight="1" x14ac:dyDescent="0.2">
      <c r="A42" s="227">
        <v>14</v>
      </c>
      <c r="B42" s="227">
        <v>852</v>
      </c>
      <c r="C42" s="227">
        <v>85295</v>
      </c>
      <c r="D42" s="251" t="s">
        <v>226</v>
      </c>
      <c r="E42" s="231">
        <f>1230600+47700</f>
        <v>1278300</v>
      </c>
      <c r="F42" s="218"/>
    </row>
    <row r="43" spans="1:7" s="239" customFormat="1" ht="26.25" customHeight="1" x14ac:dyDescent="0.2">
      <c r="A43" s="227">
        <v>15</v>
      </c>
      <c r="B43" s="227">
        <v>852</v>
      </c>
      <c r="C43" s="227">
        <v>85295</v>
      </c>
      <c r="D43" s="251" t="s">
        <v>227</v>
      </c>
      <c r="E43" s="231">
        <v>413452.32</v>
      </c>
      <c r="F43" s="218"/>
    </row>
    <row r="44" spans="1:7" s="239" customFormat="1" ht="51.75" customHeight="1" x14ac:dyDescent="0.2">
      <c r="A44" s="227">
        <v>16</v>
      </c>
      <c r="B44" s="227">
        <v>852</v>
      </c>
      <c r="C44" s="227">
        <v>85295</v>
      </c>
      <c r="D44" s="251" t="s">
        <v>228</v>
      </c>
      <c r="E44" s="231">
        <f>33712+6288</f>
        <v>40000</v>
      </c>
      <c r="F44" s="218"/>
    </row>
    <row r="45" spans="1:7" s="239" customFormat="1" ht="26.25" customHeight="1" x14ac:dyDescent="0.2">
      <c r="A45" s="227">
        <v>17</v>
      </c>
      <c r="B45" s="227">
        <v>853</v>
      </c>
      <c r="C45" s="227">
        <v>85395</v>
      </c>
      <c r="D45" s="251" t="s">
        <v>229</v>
      </c>
      <c r="E45" s="228">
        <f>40000-10005</f>
        <v>29995</v>
      </c>
      <c r="F45" s="218"/>
    </row>
    <row r="46" spans="1:7" s="239" customFormat="1" ht="41.45" customHeight="1" x14ac:dyDescent="0.2">
      <c r="A46" s="227">
        <v>18</v>
      </c>
      <c r="B46" s="227">
        <v>853</v>
      </c>
      <c r="C46" s="227">
        <v>85395</v>
      </c>
      <c r="D46" s="251" t="s">
        <v>230</v>
      </c>
      <c r="E46" s="228">
        <v>265510.90999999997</v>
      </c>
      <c r="F46" s="218"/>
    </row>
    <row r="47" spans="1:7" s="239" customFormat="1" ht="15.75" customHeight="1" x14ac:dyDescent="0.2">
      <c r="A47" s="230">
        <v>19</v>
      </c>
      <c r="B47" s="230">
        <v>855</v>
      </c>
      <c r="C47" s="230">
        <v>85510</v>
      </c>
      <c r="D47" s="290" t="s">
        <v>170</v>
      </c>
      <c r="E47" s="231">
        <f>1568400+312600</f>
        <v>1881000</v>
      </c>
      <c r="F47" s="218"/>
    </row>
    <row r="48" spans="1:7" s="239" customFormat="1" ht="28.5" customHeight="1" x14ac:dyDescent="0.2">
      <c r="A48" s="227">
        <v>20</v>
      </c>
      <c r="B48" s="227">
        <v>900</v>
      </c>
      <c r="C48" s="227">
        <v>90095</v>
      </c>
      <c r="D48" s="251" t="s">
        <v>231</v>
      </c>
      <c r="E48" s="228">
        <v>67500</v>
      </c>
      <c r="F48" s="250"/>
    </row>
    <row r="49" spans="1:6" s="239" customFormat="1" ht="26.25" customHeight="1" x14ac:dyDescent="0.2">
      <c r="A49" s="227">
        <v>21</v>
      </c>
      <c r="B49" s="227">
        <v>900</v>
      </c>
      <c r="C49" s="227">
        <v>90095</v>
      </c>
      <c r="D49" s="251" t="s">
        <v>232</v>
      </c>
      <c r="E49" s="228">
        <f>200000+100000-32000</f>
        <v>268000</v>
      </c>
      <c r="F49" s="250"/>
    </row>
    <row r="50" spans="1:6" s="239" customFormat="1" ht="26.25" customHeight="1" x14ac:dyDescent="0.2">
      <c r="A50" s="227">
        <v>22</v>
      </c>
      <c r="B50" s="227">
        <v>900</v>
      </c>
      <c r="C50" s="227">
        <v>90095</v>
      </c>
      <c r="D50" s="251" t="s">
        <v>233</v>
      </c>
      <c r="E50" s="228">
        <f>200000+100000+32000</f>
        <v>332000</v>
      </c>
      <c r="F50" s="250"/>
    </row>
    <row r="51" spans="1:6" s="239" customFormat="1" ht="16.5" customHeight="1" x14ac:dyDescent="0.2">
      <c r="A51" s="230">
        <v>23</v>
      </c>
      <c r="B51" s="230">
        <v>921</v>
      </c>
      <c r="C51" s="230">
        <v>92120</v>
      </c>
      <c r="D51" s="253" t="s">
        <v>234</v>
      </c>
      <c r="E51" s="231">
        <v>500000</v>
      </c>
      <c r="F51" s="218"/>
    </row>
    <row r="52" spans="1:6" s="239" customFormat="1" ht="39.75" customHeight="1" x14ac:dyDescent="0.2">
      <c r="A52" s="227">
        <v>24</v>
      </c>
      <c r="B52" s="227">
        <v>921</v>
      </c>
      <c r="C52" s="227">
        <v>92195</v>
      </c>
      <c r="D52" s="251" t="s">
        <v>235</v>
      </c>
      <c r="E52" s="231">
        <f>239100+27900-27900-34000-2500</f>
        <v>202600</v>
      </c>
      <c r="F52" s="218"/>
    </row>
    <row r="53" spans="1:6" s="239" customFormat="1" ht="39.75" customHeight="1" x14ac:dyDescent="0.2">
      <c r="A53" s="227">
        <v>25</v>
      </c>
      <c r="B53" s="227">
        <v>921</v>
      </c>
      <c r="C53" s="227">
        <v>92195</v>
      </c>
      <c r="D53" s="251" t="s">
        <v>230</v>
      </c>
      <c r="E53" s="231">
        <v>320536.26</v>
      </c>
      <c r="F53" s="218"/>
    </row>
    <row r="54" spans="1:6" s="239" customFormat="1" ht="14.45" customHeight="1" x14ac:dyDescent="0.2">
      <c r="A54" s="230">
        <v>26</v>
      </c>
      <c r="B54" s="230">
        <v>926</v>
      </c>
      <c r="C54" s="230">
        <v>92605</v>
      </c>
      <c r="D54" s="290" t="s">
        <v>236</v>
      </c>
      <c r="E54" s="231">
        <v>1833375</v>
      </c>
      <c r="F54" s="218"/>
    </row>
    <row r="55" spans="1:6" s="239" customFormat="1" ht="38.450000000000003" customHeight="1" x14ac:dyDescent="0.2">
      <c r="A55" s="227">
        <v>27</v>
      </c>
      <c r="B55" s="227">
        <v>926</v>
      </c>
      <c r="C55" s="227">
        <v>92605</v>
      </c>
      <c r="D55" s="290" t="s">
        <v>237</v>
      </c>
      <c r="E55" s="231">
        <v>106845.42</v>
      </c>
      <c r="F55" s="218"/>
    </row>
    <row r="56" spans="1:6" s="239" customFormat="1" ht="15" customHeight="1" x14ac:dyDescent="0.2">
      <c r="A56" s="293"/>
      <c r="B56" s="294"/>
      <c r="C56" s="294"/>
      <c r="D56" s="294" t="s">
        <v>202</v>
      </c>
      <c r="E56" s="236">
        <f>SUM(E13:E55)</f>
        <v>20467843.080000002</v>
      </c>
      <c r="F56" s="218"/>
    </row>
    <row r="57" spans="1:6" s="239" customFormat="1" ht="17.25" customHeight="1" x14ac:dyDescent="0.2">
      <c r="A57" s="245" t="s">
        <v>203</v>
      </c>
      <c r="B57" s="246"/>
      <c r="C57" s="246"/>
      <c r="D57" s="246"/>
      <c r="E57" s="247"/>
      <c r="F57" s="218"/>
    </row>
    <row r="58" spans="1:6" s="239" customFormat="1" ht="17.25" customHeight="1" x14ac:dyDescent="0.2">
      <c r="A58" s="241" t="s">
        <v>25</v>
      </c>
      <c r="B58" s="223" t="s">
        <v>18</v>
      </c>
      <c r="C58" s="223" t="s">
        <v>20</v>
      </c>
      <c r="D58" s="242" t="s">
        <v>238</v>
      </c>
      <c r="E58" s="223" t="s">
        <v>200</v>
      </c>
      <c r="F58" s="218"/>
    </row>
    <row r="59" spans="1:6" s="239" customFormat="1" ht="14.25" customHeight="1" x14ac:dyDescent="0.2">
      <c r="A59" s="230">
        <v>1</v>
      </c>
      <c r="B59" s="230">
        <v>801</v>
      </c>
      <c r="C59" s="230">
        <v>80101</v>
      </c>
      <c r="D59" s="253" t="s">
        <v>101</v>
      </c>
      <c r="E59" s="231">
        <f>7612585+11903.79+15110.88+120000+518000+50000+50000</f>
        <v>8377599.6699999999</v>
      </c>
      <c r="F59" s="218"/>
    </row>
    <row r="60" spans="1:6" s="239" customFormat="1" ht="13.5" customHeight="1" x14ac:dyDescent="0.2">
      <c r="A60" s="254"/>
      <c r="B60" s="255"/>
      <c r="C60" s="256"/>
      <c r="D60" s="257" t="s">
        <v>209</v>
      </c>
      <c r="E60" s="258"/>
      <c r="F60" s="218"/>
    </row>
    <row r="61" spans="1:6" s="239" customFormat="1" ht="13.5" customHeight="1" x14ac:dyDescent="0.2">
      <c r="A61" s="259"/>
      <c r="B61" s="260"/>
      <c r="C61" s="261"/>
      <c r="D61" s="295" t="s">
        <v>239</v>
      </c>
      <c r="E61" s="268"/>
      <c r="F61" s="296"/>
    </row>
    <row r="62" spans="1:6" s="239" customFormat="1" ht="13.5" customHeight="1" x14ac:dyDescent="0.2">
      <c r="A62" s="259"/>
      <c r="B62" s="260"/>
      <c r="C62" s="261"/>
      <c r="D62" s="297" t="s">
        <v>240</v>
      </c>
      <c r="E62" s="263"/>
      <c r="F62" s="218"/>
    </row>
    <row r="63" spans="1:6" s="239" customFormat="1" ht="26.25" customHeight="1" x14ac:dyDescent="0.2">
      <c r="A63" s="259"/>
      <c r="B63" s="260"/>
      <c r="C63" s="261"/>
      <c r="D63" s="298" t="s">
        <v>241</v>
      </c>
      <c r="E63" s="268"/>
      <c r="F63" s="218"/>
    </row>
    <row r="64" spans="1:6" s="239" customFormat="1" ht="27" customHeight="1" x14ac:dyDescent="0.2">
      <c r="A64" s="259"/>
      <c r="B64" s="260"/>
      <c r="C64" s="261"/>
      <c r="D64" s="298" t="s">
        <v>242</v>
      </c>
      <c r="E64" s="268"/>
      <c r="F64" s="218"/>
    </row>
    <row r="65" spans="1:7" s="239" customFormat="1" ht="24.75" customHeight="1" x14ac:dyDescent="0.2">
      <c r="A65" s="259"/>
      <c r="B65" s="260"/>
      <c r="C65" s="261"/>
      <c r="D65" s="295" t="s">
        <v>243</v>
      </c>
      <c r="E65" s="268"/>
      <c r="F65" s="218"/>
    </row>
    <row r="66" spans="1:7" s="239" customFormat="1" ht="25.5" customHeight="1" x14ac:dyDescent="0.2">
      <c r="A66" s="259"/>
      <c r="B66" s="260"/>
      <c r="C66" s="261"/>
      <c r="D66" s="299" t="s">
        <v>244</v>
      </c>
      <c r="E66" s="263"/>
      <c r="F66" s="218"/>
    </row>
    <row r="67" spans="1:7" s="239" customFormat="1" ht="13.5" customHeight="1" x14ac:dyDescent="0.2">
      <c r="A67" s="259"/>
      <c r="B67" s="260"/>
      <c r="C67" s="261"/>
      <c r="D67" s="300" t="s">
        <v>211</v>
      </c>
      <c r="E67" s="268"/>
      <c r="F67" s="218"/>
    </row>
    <row r="68" spans="1:7" s="239" customFormat="1" ht="24" customHeight="1" x14ac:dyDescent="0.2">
      <c r="A68" s="232"/>
      <c r="B68" s="233"/>
      <c r="C68" s="264"/>
      <c r="D68" s="301" t="s">
        <v>210</v>
      </c>
      <c r="E68" s="266"/>
      <c r="F68" s="218"/>
    </row>
    <row r="69" spans="1:7" s="239" customFormat="1" ht="13.5" customHeight="1" x14ac:dyDescent="0.2">
      <c r="A69" s="230">
        <v>2</v>
      </c>
      <c r="B69" s="230">
        <v>801</v>
      </c>
      <c r="C69" s="230">
        <v>80103</v>
      </c>
      <c r="D69" s="253" t="s">
        <v>116</v>
      </c>
      <c r="E69" s="231">
        <f>124687+15000+30000</f>
        <v>169687</v>
      </c>
      <c r="F69" s="218"/>
    </row>
    <row r="70" spans="1:7" s="239" customFormat="1" ht="24" customHeight="1" x14ac:dyDescent="0.2">
      <c r="A70" s="259"/>
      <c r="B70" s="260"/>
      <c r="C70" s="261"/>
      <c r="D70" s="302" t="s">
        <v>241</v>
      </c>
      <c r="E70" s="258"/>
      <c r="F70" s="218"/>
    </row>
    <row r="71" spans="1:7" s="239" customFormat="1" ht="13.5" customHeight="1" x14ac:dyDescent="0.2">
      <c r="A71" s="232"/>
      <c r="B71" s="233"/>
      <c r="C71" s="264"/>
      <c r="D71" s="235" t="s">
        <v>211</v>
      </c>
      <c r="E71" s="266"/>
      <c r="F71" s="218"/>
    </row>
    <row r="72" spans="1:7" s="239" customFormat="1" ht="14.25" customHeight="1" x14ac:dyDescent="0.2">
      <c r="A72" s="230">
        <v>3</v>
      </c>
      <c r="B72" s="230">
        <v>801</v>
      </c>
      <c r="C72" s="230">
        <v>80104</v>
      </c>
      <c r="D72" s="253" t="s">
        <v>120</v>
      </c>
      <c r="E72" s="231">
        <f>8825749+13966.37+917.02+230000+200000+800000+300000</f>
        <v>10370632.389999999</v>
      </c>
      <c r="F72" s="218"/>
    </row>
    <row r="73" spans="1:7" s="239" customFormat="1" ht="14.25" customHeight="1" x14ac:dyDescent="0.2">
      <c r="A73" s="254"/>
      <c r="B73" s="255"/>
      <c r="C73" s="256"/>
      <c r="D73" s="257" t="s">
        <v>245</v>
      </c>
      <c r="E73" s="258"/>
      <c r="F73" s="218"/>
    </row>
    <row r="74" spans="1:7" s="239" customFormat="1" ht="14.25" customHeight="1" x14ac:dyDescent="0.2">
      <c r="A74" s="259"/>
      <c r="B74" s="260"/>
      <c r="C74" s="261"/>
      <c r="D74" s="501" t="s">
        <v>212</v>
      </c>
      <c r="E74" s="307"/>
      <c r="F74" s="218"/>
    </row>
    <row r="75" spans="1:7" s="239" customFormat="1" ht="13.5" customHeight="1" x14ac:dyDescent="0.2">
      <c r="A75" s="259"/>
      <c r="B75" s="260"/>
      <c r="C75" s="261"/>
      <c r="D75" s="303" t="s">
        <v>213</v>
      </c>
      <c r="E75" s="263"/>
      <c r="F75" s="218"/>
    </row>
    <row r="76" spans="1:7" s="218" customFormat="1" ht="23.25" customHeight="1" x14ac:dyDescent="0.2">
      <c r="A76" s="259"/>
      <c r="B76" s="260"/>
      <c r="C76" s="261"/>
      <c r="D76" s="298" t="s">
        <v>246</v>
      </c>
      <c r="E76" s="268"/>
      <c r="G76" s="239"/>
    </row>
    <row r="77" spans="1:7" s="218" customFormat="1" ht="13.5" customHeight="1" x14ac:dyDescent="0.2">
      <c r="A77" s="259"/>
      <c r="B77" s="260"/>
      <c r="C77" s="261"/>
      <c r="D77" s="303" t="s">
        <v>247</v>
      </c>
      <c r="E77" s="263"/>
      <c r="G77" s="239"/>
    </row>
    <row r="78" spans="1:7" s="218" customFormat="1" ht="13.5" customHeight="1" x14ac:dyDescent="0.2">
      <c r="A78" s="259"/>
      <c r="B78" s="260"/>
      <c r="C78" s="261"/>
      <c r="D78" s="298" t="s">
        <v>248</v>
      </c>
      <c r="E78" s="268"/>
      <c r="G78" s="239"/>
    </row>
    <row r="79" spans="1:7" s="218" customFormat="1" ht="13.5" customHeight="1" x14ac:dyDescent="0.2">
      <c r="A79" s="259"/>
      <c r="B79" s="260"/>
      <c r="C79" s="261"/>
      <c r="D79" s="298" t="s">
        <v>249</v>
      </c>
      <c r="E79" s="268"/>
      <c r="G79" s="239"/>
    </row>
    <row r="80" spans="1:7" s="218" customFormat="1" ht="13.5" customHeight="1" x14ac:dyDescent="0.2">
      <c r="A80" s="259"/>
      <c r="B80" s="260"/>
      <c r="C80" s="261"/>
      <c r="D80" s="303" t="s">
        <v>250</v>
      </c>
      <c r="E80" s="263"/>
      <c r="G80" s="239"/>
    </row>
    <row r="81" spans="1:7" s="218" customFormat="1" ht="13.5" customHeight="1" x14ac:dyDescent="0.2">
      <c r="A81" s="259"/>
      <c r="B81" s="260"/>
      <c r="C81" s="261"/>
      <c r="D81" s="303" t="s">
        <v>251</v>
      </c>
      <c r="E81" s="263"/>
      <c r="G81" s="239"/>
    </row>
    <row r="82" spans="1:7" s="218" customFormat="1" ht="13.5" customHeight="1" x14ac:dyDescent="0.2">
      <c r="A82" s="259"/>
      <c r="B82" s="260"/>
      <c r="C82" s="261"/>
      <c r="D82" s="298" t="s">
        <v>252</v>
      </c>
      <c r="E82" s="268"/>
      <c r="G82" s="239"/>
    </row>
    <row r="83" spans="1:7" s="218" customFormat="1" ht="13.5" customHeight="1" x14ac:dyDescent="0.2">
      <c r="A83" s="259"/>
      <c r="B83" s="260"/>
      <c r="C83" s="261"/>
      <c r="D83" s="300" t="s">
        <v>214</v>
      </c>
      <c r="E83" s="268"/>
      <c r="G83" s="239"/>
    </row>
    <row r="84" spans="1:7" s="218" customFormat="1" ht="13.5" customHeight="1" x14ac:dyDescent="0.2">
      <c r="A84" s="259"/>
      <c r="B84" s="260"/>
      <c r="C84" s="261"/>
      <c r="D84" s="270" t="s">
        <v>215</v>
      </c>
      <c r="E84" s="263"/>
      <c r="G84" s="239"/>
    </row>
    <row r="85" spans="1:7" s="218" customFormat="1" ht="13.5" customHeight="1" x14ac:dyDescent="0.2">
      <c r="A85" s="259"/>
      <c r="B85" s="260"/>
      <c r="C85" s="261"/>
      <c r="D85" s="270" t="s">
        <v>253</v>
      </c>
      <c r="E85" s="263"/>
      <c r="G85" s="239"/>
    </row>
    <row r="86" spans="1:7" s="218" customFormat="1" ht="13.5" customHeight="1" x14ac:dyDescent="0.2">
      <c r="A86" s="259"/>
      <c r="B86" s="260"/>
      <c r="C86" s="261"/>
      <c r="D86" s="300" t="s">
        <v>254</v>
      </c>
      <c r="E86" s="268"/>
      <c r="G86" s="239"/>
    </row>
    <row r="87" spans="1:7" s="218" customFormat="1" ht="13.5" customHeight="1" x14ac:dyDescent="0.2">
      <c r="A87" s="232"/>
      <c r="B87" s="233"/>
      <c r="C87" s="264"/>
      <c r="D87" s="265" t="s">
        <v>255</v>
      </c>
      <c r="E87" s="266"/>
      <c r="G87" s="239"/>
    </row>
    <row r="88" spans="1:7" s="218" customFormat="1" ht="24" customHeight="1" x14ac:dyDescent="0.2">
      <c r="A88" s="227">
        <v>4</v>
      </c>
      <c r="B88" s="227">
        <v>801</v>
      </c>
      <c r="C88" s="227">
        <v>80106</v>
      </c>
      <c r="D88" s="251" t="s">
        <v>256</v>
      </c>
      <c r="E88" s="228">
        <f>62237+7000</f>
        <v>69237</v>
      </c>
      <c r="G88" s="239"/>
    </row>
    <row r="89" spans="1:7" s="218" customFormat="1" ht="13.5" customHeight="1" x14ac:dyDescent="0.2">
      <c r="A89" s="253"/>
      <c r="B89" s="271"/>
      <c r="C89" s="234"/>
      <c r="D89" s="308" t="s">
        <v>257</v>
      </c>
      <c r="E89" s="231"/>
      <c r="G89" s="239"/>
    </row>
    <row r="90" spans="1:7" s="218" customFormat="1" ht="13.5" customHeight="1" x14ac:dyDescent="0.2">
      <c r="A90" s="230">
        <v>5</v>
      </c>
      <c r="B90" s="230">
        <v>801</v>
      </c>
      <c r="C90" s="230">
        <v>80115</v>
      </c>
      <c r="D90" s="271" t="s">
        <v>129</v>
      </c>
      <c r="E90" s="231">
        <f>2505180+12243.98+164000+100000</f>
        <v>2781423.98</v>
      </c>
      <c r="G90" s="239"/>
    </row>
    <row r="91" spans="1:7" s="218" customFormat="1" ht="23.25" customHeight="1" x14ac:dyDescent="0.2">
      <c r="A91" s="253"/>
      <c r="B91" s="271"/>
      <c r="C91" s="234"/>
      <c r="D91" s="309" t="s">
        <v>258</v>
      </c>
      <c r="E91" s="231"/>
      <c r="G91" s="239"/>
    </row>
    <row r="92" spans="1:7" s="218" customFormat="1" ht="13.5" customHeight="1" x14ac:dyDescent="0.2">
      <c r="A92" s="230">
        <v>6</v>
      </c>
      <c r="B92" s="230">
        <v>801</v>
      </c>
      <c r="C92" s="230">
        <v>80116</v>
      </c>
      <c r="D92" s="271" t="s">
        <v>130</v>
      </c>
      <c r="E92" s="231">
        <f>5272240-50000-140000+24309.91-200000+200000</f>
        <v>5106549.91</v>
      </c>
      <c r="G92" s="239"/>
    </row>
    <row r="93" spans="1:7" s="218" customFormat="1" ht="13.5" customHeight="1" x14ac:dyDescent="0.2">
      <c r="A93" s="254"/>
      <c r="B93" s="255"/>
      <c r="C93" s="256"/>
      <c r="D93" s="310" t="s">
        <v>259</v>
      </c>
      <c r="E93" s="258"/>
      <c r="G93" s="239"/>
    </row>
    <row r="94" spans="1:7" s="218" customFormat="1" ht="25.5" customHeight="1" x14ac:dyDescent="0.2">
      <c r="A94" s="259"/>
      <c r="B94" s="260"/>
      <c r="C94" s="261"/>
      <c r="D94" s="295" t="s">
        <v>260</v>
      </c>
      <c r="E94" s="268"/>
      <c r="G94" s="239"/>
    </row>
    <row r="95" spans="1:7" s="218" customFormat="1" ht="22.5" customHeight="1" x14ac:dyDescent="0.2">
      <c r="A95" s="259"/>
      <c r="B95" s="260"/>
      <c r="C95" s="261"/>
      <c r="D95" s="298" t="s">
        <v>261</v>
      </c>
      <c r="E95" s="268"/>
      <c r="G95" s="239"/>
    </row>
    <row r="96" spans="1:7" s="218" customFormat="1" ht="13.5" customHeight="1" x14ac:dyDescent="0.2">
      <c r="A96" s="259"/>
      <c r="B96" s="260"/>
      <c r="C96" s="261"/>
      <c r="D96" s="270" t="s">
        <v>262</v>
      </c>
      <c r="E96" s="263"/>
      <c r="G96" s="239"/>
    </row>
    <row r="97" spans="1:7" s="218" customFormat="1" ht="13.5" customHeight="1" x14ac:dyDescent="0.2">
      <c r="A97" s="259"/>
      <c r="B97" s="260"/>
      <c r="C97" s="261"/>
      <c r="D97" s="306" t="s">
        <v>263</v>
      </c>
      <c r="E97" s="307"/>
      <c r="G97" s="239"/>
    </row>
    <row r="98" spans="1:7" s="218" customFormat="1" ht="25.5" customHeight="1" x14ac:dyDescent="0.2">
      <c r="A98" s="259"/>
      <c r="B98" s="260"/>
      <c r="C98" s="261"/>
      <c r="D98" s="297" t="s">
        <v>264</v>
      </c>
      <c r="E98" s="263"/>
      <c r="G98" s="239"/>
    </row>
    <row r="99" spans="1:7" s="218" customFormat="1" ht="13.5" customHeight="1" x14ac:dyDescent="0.2">
      <c r="A99" s="259"/>
      <c r="B99" s="260"/>
      <c r="C99" s="261"/>
      <c r="D99" s="295" t="s">
        <v>265</v>
      </c>
      <c r="E99" s="268"/>
      <c r="G99" s="239"/>
    </row>
    <row r="100" spans="1:7" s="218" customFormat="1" ht="13.5" customHeight="1" x14ac:dyDescent="0.2">
      <c r="A100" s="259"/>
      <c r="B100" s="260"/>
      <c r="C100" s="261"/>
      <c r="D100" s="295" t="s">
        <v>266</v>
      </c>
      <c r="E100" s="268"/>
      <c r="G100" s="239"/>
    </row>
    <row r="101" spans="1:7" s="218" customFormat="1" ht="12.75" customHeight="1" x14ac:dyDescent="0.2">
      <c r="A101" s="259"/>
      <c r="B101" s="260"/>
      <c r="C101" s="261"/>
      <c r="D101" s="298" t="s">
        <v>267</v>
      </c>
      <c r="E101" s="268"/>
      <c r="G101" s="239"/>
    </row>
    <row r="102" spans="1:7" s="218" customFormat="1" ht="13.5" customHeight="1" x14ac:dyDescent="0.2">
      <c r="A102" s="259"/>
      <c r="B102" s="260"/>
      <c r="C102" s="261"/>
      <c r="D102" s="300" t="s">
        <v>268</v>
      </c>
      <c r="E102" s="268"/>
      <c r="G102" s="239"/>
    </row>
    <row r="103" spans="1:7" s="218" customFormat="1" ht="13.5" customHeight="1" x14ac:dyDescent="0.2">
      <c r="A103" s="259"/>
      <c r="B103" s="260"/>
      <c r="C103" s="261"/>
      <c r="D103" s="311" t="s">
        <v>269</v>
      </c>
      <c r="E103" s="263"/>
      <c r="G103" s="239"/>
    </row>
    <row r="104" spans="1:7" s="218" customFormat="1" ht="13.5" customHeight="1" x14ac:dyDescent="0.2">
      <c r="A104" s="259"/>
      <c r="B104" s="260"/>
      <c r="C104" s="261"/>
      <c r="D104" s="312" t="s">
        <v>270</v>
      </c>
      <c r="E104" s="268"/>
      <c r="G104" s="239"/>
    </row>
    <row r="105" spans="1:7" s="218" customFormat="1" ht="13.5" customHeight="1" x14ac:dyDescent="0.2">
      <c r="A105" s="259"/>
      <c r="B105" s="260"/>
      <c r="C105" s="261"/>
      <c r="D105" s="300" t="s">
        <v>271</v>
      </c>
      <c r="E105" s="268"/>
      <c r="G105" s="239"/>
    </row>
    <row r="106" spans="1:7" s="218" customFormat="1" ht="25.5" customHeight="1" x14ac:dyDescent="0.2">
      <c r="A106" s="232"/>
      <c r="B106" s="233"/>
      <c r="C106" s="264"/>
      <c r="D106" s="301" t="s">
        <v>272</v>
      </c>
      <c r="E106" s="266"/>
      <c r="G106" s="239"/>
    </row>
    <row r="107" spans="1:7" s="218" customFormat="1" ht="13.5" customHeight="1" x14ac:dyDescent="0.2">
      <c r="A107" s="230">
        <v>7</v>
      </c>
      <c r="B107" s="230">
        <v>801</v>
      </c>
      <c r="C107" s="230">
        <v>80117</v>
      </c>
      <c r="D107" s="253" t="s">
        <v>131</v>
      </c>
      <c r="E107" s="231">
        <f>2656984+7306.5+3929.27+85000-200000-50000+50000</f>
        <v>2553219.77</v>
      </c>
      <c r="G107" s="239"/>
    </row>
    <row r="108" spans="1:7" s="218" customFormat="1" ht="15" customHeight="1" x14ac:dyDescent="0.2">
      <c r="A108" s="254"/>
      <c r="B108" s="255"/>
      <c r="C108" s="256"/>
      <c r="D108" s="313" t="s">
        <v>273</v>
      </c>
      <c r="E108" s="258"/>
      <c r="G108" s="239"/>
    </row>
    <row r="109" spans="1:7" s="218" customFormat="1" ht="15" customHeight="1" x14ac:dyDescent="0.2">
      <c r="A109" s="259"/>
      <c r="B109" s="260"/>
      <c r="C109" s="261"/>
      <c r="D109" s="297" t="s">
        <v>274</v>
      </c>
      <c r="E109" s="263"/>
      <c r="G109" s="239"/>
    </row>
    <row r="110" spans="1:7" s="218" customFormat="1" ht="25.5" customHeight="1" x14ac:dyDescent="0.2">
      <c r="A110" s="259"/>
      <c r="B110" s="260"/>
      <c r="C110" s="261"/>
      <c r="D110" s="297" t="s">
        <v>275</v>
      </c>
      <c r="E110" s="263"/>
      <c r="G110" s="239"/>
    </row>
    <row r="111" spans="1:7" s="218" customFormat="1" ht="24.75" customHeight="1" x14ac:dyDescent="0.2">
      <c r="A111" s="259"/>
      <c r="B111" s="260"/>
      <c r="C111" s="261"/>
      <c r="D111" s="314" t="s">
        <v>276</v>
      </c>
      <c r="E111" s="268"/>
      <c r="G111" s="239"/>
    </row>
    <row r="112" spans="1:7" s="218" customFormat="1" ht="25.5" customHeight="1" x14ac:dyDescent="0.2">
      <c r="A112" s="259"/>
      <c r="B112" s="260"/>
      <c r="C112" s="261"/>
      <c r="D112" s="301" t="s">
        <v>277</v>
      </c>
      <c r="E112" s="315"/>
      <c r="G112" s="239"/>
    </row>
    <row r="113" spans="1:7" s="218" customFormat="1" ht="15.75" customHeight="1" x14ac:dyDescent="0.2">
      <c r="A113" s="230">
        <v>8</v>
      </c>
      <c r="B113" s="230">
        <v>801</v>
      </c>
      <c r="C113" s="230">
        <v>80120</v>
      </c>
      <c r="D113" s="253" t="s">
        <v>132</v>
      </c>
      <c r="E113" s="231">
        <f>6769589+14576.58+11167.36-450000-100000</f>
        <v>6245332.9400000004</v>
      </c>
      <c r="G113" s="239"/>
    </row>
    <row r="114" spans="1:7" s="218" customFormat="1" ht="13.5" customHeight="1" x14ac:dyDescent="0.2">
      <c r="A114" s="259"/>
      <c r="B114" s="260"/>
      <c r="C114" s="261"/>
      <c r="D114" s="295" t="s">
        <v>278</v>
      </c>
      <c r="E114" s="268"/>
      <c r="G114" s="239"/>
    </row>
    <row r="115" spans="1:7" s="218" customFormat="1" ht="13.5" customHeight="1" x14ac:dyDescent="0.2">
      <c r="A115" s="259"/>
      <c r="B115" s="260"/>
      <c r="C115" s="261"/>
      <c r="D115" s="295" t="s">
        <v>279</v>
      </c>
      <c r="E115" s="268"/>
      <c r="G115" s="239"/>
    </row>
    <row r="116" spans="1:7" s="218" customFormat="1" ht="13.5" customHeight="1" x14ac:dyDescent="0.2">
      <c r="A116" s="232"/>
      <c r="B116" s="233"/>
      <c r="C116" s="264"/>
      <c r="D116" s="502" t="s">
        <v>280</v>
      </c>
      <c r="E116" s="305"/>
      <c r="G116" s="239"/>
    </row>
    <row r="117" spans="1:7" s="218" customFormat="1" ht="24.75" customHeight="1" x14ac:dyDescent="0.2">
      <c r="A117" s="259"/>
      <c r="B117" s="260"/>
      <c r="C117" s="261"/>
      <c r="D117" s="297" t="s">
        <v>281</v>
      </c>
      <c r="E117" s="263"/>
      <c r="G117" s="239"/>
    </row>
    <row r="118" spans="1:7" s="218" customFormat="1" ht="13.5" customHeight="1" x14ac:dyDescent="0.2">
      <c r="A118" s="259"/>
      <c r="B118" s="260"/>
      <c r="C118" s="261"/>
      <c r="D118" s="300" t="s">
        <v>282</v>
      </c>
      <c r="E118" s="268"/>
      <c r="G118" s="239"/>
    </row>
    <row r="119" spans="1:7" s="218" customFormat="1" ht="15" customHeight="1" x14ac:dyDescent="0.2">
      <c r="A119" s="259"/>
      <c r="B119" s="260"/>
      <c r="C119" s="261"/>
      <c r="D119" s="295" t="s">
        <v>283</v>
      </c>
      <c r="E119" s="268"/>
      <c r="G119" s="239"/>
    </row>
    <row r="120" spans="1:7" s="218" customFormat="1" ht="25.5" customHeight="1" x14ac:dyDescent="0.2">
      <c r="A120" s="259"/>
      <c r="B120" s="260"/>
      <c r="C120" s="261"/>
      <c r="D120" s="303" t="s">
        <v>284</v>
      </c>
      <c r="E120" s="263"/>
      <c r="G120" s="239"/>
    </row>
    <row r="121" spans="1:7" s="218" customFormat="1" ht="25.5" customHeight="1" x14ac:dyDescent="0.2">
      <c r="A121" s="259"/>
      <c r="B121" s="260"/>
      <c r="C121" s="261"/>
      <c r="D121" s="299" t="s">
        <v>285</v>
      </c>
      <c r="E121" s="263"/>
      <c r="G121" s="239"/>
    </row>
    <row r="122" spans="1:7" s="218" customFormat="1" ht="25.5" customHeight="1" x14ac:dyDescent="0.2">
      <c r="A122" s="259"/>
      <c r="B122" s="260"/>
      <c r="C122" s="261"/>
      <c r="D122" s="298" t="s">
        <v>286</v>
      </c>
      <c r="E122" s="268"/>
      <c r="G122" s="239"/>
    </row>
    <row r="123" spans="1:7" s="218" customFormat="1" ht="13.5" customHeight="1" x14ac:dyDescent="0.2">
      <c r="A123" s="259"/>
      <c r="B123" s="260"/>
      <c r="C123" s="261"/>
      <c r="D123" s="270" t="s">
        <v>287</v>
      </c>
      <c r="E123" s="263"/>
      <c r="G123" s="239"/>
    </row>
    <row r="124" spans="1:7" s="218" customFormat="1" ht="13.5" customHeight="1" x14ac:dyDescent="0.2">
      <c r="A124" s="232"/>
      <c r="B124" s="233"/>
      <c r="C124" s="264"/>
      <c r="D124" s="265" t="s">
        <v>216</v>
      </c>
      <c r="E124" s="266"/>
      <c r="G124" s="239"/>
    </row>
    <row r="125" spans="1:7" s="218" customFormat="1" ht="51" customHeight="1" x14ac:dyDescent="0.2">
      <c r="A125" s="227">
        <v>9</v>
      </c>
      <c r="B125" s="227">
        <v>801</v>
      </c>
      <c r="C125" s="227">
        <v>80149</v>
      </c>
      <c r="D125" s="251" t="s">
        <v>288</v>
      </c>
      <c r="E125" s="228">
        <f>2707080-430000-7000</f>
        <v>2270080</v>
      </c>
      <c r="G125" s="239"/>
    </row>
    <row r="126" spans="1:7" s="218" customFormat="1" ht="25.5" customHeight="1" x14ac:dyDescent="0.2">
      <c r="A126" s="254"/>
      <c r="B126" s="255"/>
      <c r="C126" s="256"/>
      <c r="D126" s="302" t="s">
        <v>289</v>
      </c>
      <c r="E126" s="258"/>
      <c r="G126" s="239"/>
    </row>
    <row r="127" spans="1:7" s="218" customFormat="1" ht="13.5" customHeight="1" x14ac:dyDescent="0.2">
      <c r="A127" s="259"/>
      <c r="B127" s="260"/>
      <c r="C127" s="261"/>
      <c r="D127" s="299" t="s">
        <v>214</v>
      </c>
      <c r="E127" s="263"/>
      <c r="G127" s="239"/>
    </row>
    <row r="128" spans="1:7" s="218" customFormat="1" ht="13.5" customHeight="1" x14ac:dyDescent="0.2">
      <c r="A128" s="259"/>
      <c r="B128" s="260"/>
      <c r="C128" s="261"/>
      <c r="D128" s="298" t="s">
        <v>290</v>
      </c>
      <c r="E128" s="268"/>
      <c r="G128" s="239"/>
    </row>
    <row r="129" spans="1:7" s="218" customFormat="1" ht="13.5" customHeight="1" x14ac:dyDescent="0.2">
      <c r="A129" s="259"/>
      <c r="B129" s="260"/>
      <c r="C129" s="261"/>
      <c r="D129" s="303" t="s">
        <v>245</v>
      </c>
      <c r="E129" s="263"/>
      <c r="G129" s="239"/>
    </row>
    <row r="130" spans="1:7" s="218" customFormat="1" ht="13.5" customHeight="1" x14ac:dyDescent="0.2">
      <c r="A130" s="259"/>
      <c r="B130" s="260"/>
      <c r="C130" s="261"/>
      <c r="D130" s="267" t="s">
        <v>213</v>
      </c>
      <c r="E130" s="268"/>
      <c r="G130" s="239"/>
    </row>
    <row r="131" spans="1:7" s="218" customFormat="1" ht="13.5" customHeight="1" x14ac:dyDescent="0.2">
      <c r="A131" s="259"/>
      <c r="B131" s="260"/>
      <c r="C131" s="261"/>
      <c r="D131" s="298" t="s">
        <v>291</v>
      </c>
      <c r="E131" s="268"/>
      <c r="G131" s="239"/>
    </row>
    <row r="132" spans="1:7" s="218" customFormat="1" ht="13.5" customHeight="1" x14ac:dyDescent="0.2">
      <c r="A132" s="259"/>
      <c r="B132" s="260"/>
      <c r="C132" s="261"/>
      <c r="D132" s="298" t="s">
        <v>292</v>
      </c>
      <c r="E132" s="268"/>
      <c r="G132" s="239"/>
    </row>
    <row r="133" spans="1:7" s="218" customFormat="1" ht="13.5" customHeight="1" x14ac:dyDescent="0.2">
      <c r="A133" s="259"/>
      <c r="B133" s="260"/>
      <c r="C133" s="261"/>
      <c r="D133" s="298" t="s">
        <v>211</v>
      </c>
      <c r="E133" s="268"/>
      <c r="G133" s="239"/>
    </row>
    <row r="134" spans="1:7" s="218" customFormat="1" ht="13.5" customHeight="1" x14ac:dyDescent="0.2">
      <c r="A134" s="259"/>
      <c r="B134" s="260"/>
      <c r="C134" s="261"/>
      <c r="D134" s="298" t="s">
        <v>249</v>
      </c>
      <c r="E134" s="268"/>
      <c r="G134" s="239"/>
    </row>
    <row r="135" spans="1:7" s="218" customFormat="1" ht="13.5" customHeight="1" x14ac:dyDescent="0.2">
      <c r="A135" s="259"/>
      <c r="B135" s="260"/>
      <c r="C135" s="261"/>
      <c r="D135" s="267" t="s">
        <v>212</v>
      </c>
      <c r="E135" s="268"/>
      <c r="G135" s="239"/>
    </row>
    <row r="136" spans="1:7" s="218" customFormat="1" ht="13.5" customHeight="1" x14ac:dyDescent="0.2">
      <c r="A136" s="259"/>
      <c r="B136" s="260"/>
      <c r="C136" s="261"/>
      <c r="D136" s="298" t="s">
        <v>255</v>
      </c>
      <c r="E136" s="268"/>
      <c r="G136" s="239"/>
    </row>
    <row r="137" spans="1:7" s="218" customFormat="1" ht="15" customHeight="1" x14ac:dyDescent="0.2">
      <c r="A137" s="232"/>
      <c r="B137" s="233"/>
      <c r="C137" s="264"/>
      <c r="D137" s="316" t="s">
        <v>253</v>
      </c>
      <c r="E137" s="266"/>
      <c r="G137" s="239"/>
    </row>
    <row r="138" spans="1:7" s="218" customFormat="1" ht="39" customHeight="1" x14ac:dyDescent="0.2">
      <c r="A138" s="227">
        <v>10</v>
      </c>
      <c r="B138" s="227">
        <v>801</v>
      </c>
      <c r="C138" s="227">
        <v>80150</v>
      </c>
      <c r="D138" s="251" t="s">
        <v>293</v>
      </c>
      <c r="E138" s="228">
        <f>165299+20000+40000</f>
        <v>225299</v>
      </c>
      <c r="G138" s="239"/>
    </row>
    <row r="139" spans="1:7" s="218" customFormat="1" ht="13.5" customHeight="1" x14ac:dyDescent="0.2">
      <c r="A139" s="254"/>
      <c r="B139" s="255"/>
      <c r="C139" s="256"/>
      <c r="D139" s="302" t="s">
        <v>209</v>
      </c>
      <c r="E139" s="258"/>
      <c r="G139" s="239"/>
    </row>
    <row r="140" spans="1:7" s="239" customFormat="1" ht="25.5" customHeight="1" x14ac:dyDescent="0.2">
      <c r="A140" s="259"/>
      <c r="B140" s="260"/>
      <c r="C140" s="261"/>
      <c r="D140" s="295" t="s">
        <v>294</v>
      </c>
      <c r="E140" s="268"/>
      <c r="F140" s="218"/>
    </row>
    <row r="141" spans="1:7" s="239" customFormat="1" ht="15.75" customHeight="1" x14ac:dyDescent="0.2">
      <c r="A141" s="232"/>
      <c r="B141" s="233"/>
      <c r="C141" s="264"/>
      <c r="D141" s="301" t="s">
        <v>239</v>
      </c>
      <c r="E141" s="266"/>
      <c r="F141" s="296"/>
    </row>
    <row r="142" spans="1:7" s="239" customFormat="1" ht="13.5" customHeight="1" x14ac:dyDescent="0.2">
      <c r="A142" s="230">
        <v>11</v>
      </c>
      <c r="B142" s="230">
        <v>801</v>
      </c>
      <c r="C142" s="230">
        <v>80151</v>
      </c>
      <c r="D142" s="271" t="s">
        <v>147</v>
      </c>
      <c r="E142" s="231">
        <f>108410-52000-50000</f>
        <v>6410</v>
      </c>
      <c r="F142" s="218"/>
    </row>
    <row r="143" spans="1:7" s="239" customFormat="1" ht="13.5" customHeight="1" x14ac:dyDescent="0.2">
      <c r="A143" s="253"/>
      <c r="B143" s="271"/>
      <c r="C143" s="234"/>
      <c r="D143" s="317" t="s">
        <v>295</v>
      </c>
      <c r="E143" s="231"/>
      <c r="F143" s="218"/>
    </row>
    <row r="144" spans="1:7" s="239" customFormat="1" ht="13.5" customHeight="1" x14ac:dyDescent="0.2">
      <c r="A144" s="232"/>
      <c r="B144" s="233"/>
      <c r="C144" s="264"/>
      <c r="D144" s="318" t="s">
        <v>268</v>
      </c>
      <c r="E144" s="266"/>
      <c r="F144" s="218"/>
    </row>
    <row r="145" spans="1:7" s="239" customFormat="1" ht="114" customHeight="1" x14ac:dyDescent="0.2">
      <c r="A145" s="227">
        <v>12</v>
      </c>
      <c r="B145" s="227">
        <v>801</v>
      </c>
      <c r="C145" s="227">
        <v>80152</v>
      </c>
      <c r="D145" s="251" t="s">
        <v>296</v>
      </c>
      <c r="E145" s="228">
        <f>413835+30000+100000</f>
        <v>543835</v>
      </c>
      <c r="F145" s="218"/>
    </row>
    <row r="146" spans="1:7" s="239" customFormat="1" ht="12.75" customHeight="1" x14ac:dyDescent="0.2">
      <c r="A146" s="254"/>
      <c r="B146" s="255"/>
      <c r="C146" s="256"/>
      <c r="D146" s="319" t="s">
        <v>273</v>
      </c>
      <c r="E146" s="258"/>
      <c r="F146" s="218"/>
    </row>
    <row r="147" spans="1:7" s="239" customFormat="1" ht="15" customHeight="1" x14ac:dyDescent="0.2">
      <c r="A147" s="259"/>
      <c r="B147" s="260"/>
      <c r="C147" s="261"/>
      <c r="D147" s="267" t="s">
        <v>216</v>
      </c>
      <c r="E147" s="268"/>
      <c r="F147" s="218"/>
    </row>
    <row r="148" spans="1:7" s="239" customFormat="1" ht="22.9" customHeight="1" x14ac:dyDescent="0.2">
      <c r="A148" s="259"/>
      <c r="B148" s="260"/>
      <c r="C148" s="261"/>
      <c r="D148" s="320" t="s">
        <v>258</v>
      </c>
      <c r="E148" s="268"/>
      <c r="F148" s="218"/>
    </row>
    <row r="149" spans="1:7" s="239" customFormat="1" ht="23.25" customHeight="1" x14ac:dyDescent="0.2">
      <c r="A149" s="232"/>
      <c r="B149" s="233"/>
      <c r="C149" s="264"/>
      <c r="D149" s="316" t="s">
        <v>286</v>
      </c>
      <c r="E149" s="266"/>
      <c r="F149" s="218"/>
    </row>
    <row r="150" spans="1:7" s="239" customFormat="1" ht="15.75" customHeight="1" x14ac:dyDescent="0.2">
      <c r="A150" s="321">
        <v>13</v>
      </c>
      <c r="B150" s="321">
        <v>853</v>
      </c>
      <c r="C150" s="321">
        <v>85311</v>
      </c>
      <c r="D150" s="233" t="s">
        <v>297</v>
      </c>
      <c r="E150" s="266">
        <f>190800+10005</f>
        <v>200805</v>
      </c>
      <c r="F150" s="218"/>
    </row>
    <row r="151" spans="1:7" s="239" customFormat="1" ht="15" customHeight="1" x14ac:dyDescent="0.2">
      <c r="A151" s="253"/>
      <c r="B151" s="271"/>
      <c r="C151" s="264"/>
      <c r="D151" s="235" t="s">
        <v>298</v>
      </c>
      <c r="E151" s="266"/>
      <c r="F151" s="218"/>
    </row>
    <row r="152" spans="1:7" s="239" customFormat="1" ht="15.75" customHeight="1" x14ac:dyDescent="0.2">
      <c r="A152" s="230">
        <v>14</v>
      </c>
      <c r="B152" s="230">
        <v>854</v>
      </c>
      <c r="C152" s="230">
        <v>85402</v>
      </c>
      <c r="D152" s="271" t="s">
        <v>299</v>
      </c>
      <c r="E152" s="231">
        <f>706538+70000+160000+3574.51</f>
        <v>940112.51</v>
      </c>
      <c r="F152" s="218"/>
    </row>
    <row r="153" spans="1:7" s="239" customFormat="1" ht="13.5" customHeight="1" x14ac:dyDescent="0.2">
      <c r="A153" s="253"/>
      <c r="B153" s="271"/>
      <c r="C153" s="234"/>
      <c r="D153" s="322" t="s">
        <v>300</v>
      </c>
      <c r="E153" s="231"/>
      <c r="F153" s="218"/>
    </row>
    <row r="154" spans="1:7" s="239" customFormat="1" ht="15.75" customHeight="1" x14ac:dyDescent="0.2">
      <c r="A154" s="230">
        <v>15</v>
      </c>
      <c r="B154" s="230">
        <v>854</v>
      </c>
      <c r="C154" s="230">
        <v>85404</v>
      </c>
      <c r="D154" s="271" t="s">
        <v>301</v>
      </c>
      <c r="E154" s="231">
        <v>500188</v>
      </c>
      <c r="F154" s="218"/>
    </row>
    <row r="155" spans="1:7" s="239" customFormat="1" ht="13.5" customHeight="1" x14ac:dyDescent="0.2">
      <c r="A155" s="254"/>
      <c r="B155" s="255"/>
      <c r="C155" s="256"/>
      <c r="D155" s="323" t="s">
        <v>253</v>
      </c>
      <c r="E155" s="258"/>
      <c r="F155" s="218"/>
    </row>
    <row r="156" spans="1:7" s="218" customFormat="1" ht="13.5" customHeight="1" x14ac:dyDescent="0.2">
      <c r="A156" s="259"/>
      <c r="B156" s="260"/>
      <c r="C156" s="261"/>
      <c r="D156" s="267" t="s">
        <v>213</v>
      </c>
      <c r="E156" s="268"/>
      <c r="G156" s="239"/>
    </row>
    <row r="157" spans="1:7" s="218" customFormat="1" ht="24.75" customHeight="1" x14ac:dyDescent="0.2">
      <c r="A157" s="259"/>
      <c r="B157" s="260"/>
      <c r="C157" s="261"/>
      <c r="D157" s="299" t="s">
        <v>289</v>
      </c>
      <c r="E157" s="263"/>
      <c r="G157" s="239"/>
    </row>
    <row r="158" spans="1:7" s="218" customFormat="1" ht="13.5" customHeight="1" x14ac:dyDescent="0.2">
      <c r="A158" s="259"/>
      <c r="B158" s="260"/>
      <c r="C158" s="261"/>
      <c r="D158" s="298" t="s">
        <v>290</v>
      </c>
      <c r="E158" s="268"/>
      <c r="G158" s="239"/>
    </row>
    <row r="159" spans="1:7" s="218" customFormat="1" ht="13.5" customHeight="1" x14ac:dyDescent="0.2">
      <c r="A159" s="259"/>
      <c r="B159" s="260"/>
      <c r="C159" s="261"/>
      <c r="D159" s="267" t="s">
        <v>250</v>
      </c>
      <c r="E159" s="268"/>
      <c r="G159" s="239"/>
    </row>
    <row r="160" spans="1:7" s="218" customFormat="1" ht="13.5" customHeight="1" x14ac:dyDescent="0.2">
      <c r="A160" s="259"/>
      <c r="B160" s="260"/>
      <c r="C160" s="261"/>
      <c r="D160" s="324" t="s">
        <v>291</v>
      </c>
      <c r="E160" s="315"/>
      <c r="G160" s="239"/>
    </row>
    <row r="161" spans="1:7" s="218" customFormat="1" ht="13.5" customHeight="1" x14ac:dyDescent="0.2">
      <c r="A161" s="259"/>
      <c r="B161" s="260"/>
      <c r="C161" s="261"/>
      <c r="D161" s="299" t="s">
        <v>249</v>
      </c>
      <c r="E161" s="263"/>
      <c r="G161" s="239"/>
    </row>
    <row r="162" spans="1:7" s="218" customFormat="1" ht="13.5" customHeight="1" x14ac:dyDescent="0.2">
      <c r="A162" s="259"/>
      <c r="B162" s="260"/>
      <c r="C162" s="261"/>
      <c r="D162" s="303" t="s">
        <v>245</v>
      </c>
      <c r="E162" s="263"/>
      <c r="G162" s="239"/>
    </row>
    <row r="163" spans="1:7" s="218" customFormat="1" ht="14.25" customHeight="1" x14ac:dyDescent="0.2">
      <c r="A163" s="232"/>
      <c r="B163" s="233"/>
      <c r="C163" s="264"/>
      <c r="D163" s="316" t="s">
        <v>292</v>
      </c>
      <c r="E163" s="266"/>
      <c r="G163" s="239"/>
    </row>
    <row r="164" spans="1:7" s="218" customFormat="1" ht="25.5" customHeight="1" x14ac:dyDescent="0.2">
      <c r="A164" s="227">
        <v>16</v>
      </c>
      <c r="B164" s="227">
        <v>854</v>
      </c>
      <c r="C164" s="227">
        <v>85406</v>
      </c>
      <c r="D164" s="325" t="s">
        <v>302</v>
      </c>
      <c r="E164" s="231">
        <f>217601-70000-90000+135.86</f>
        <v>57736.86</v>
      </c>
      <c r="G164" s="239"/>
    </row>
    <row r="165" spans="1:7" s="218" customFormat="1" ht="12.75" customHeight="1" x14ac:dyDescent="0.2">
      <c r="A165" s="254"/>
      <c r="B165" s="255"/>
      <c r="C165" s="256"/>
      <c r="D165" s="503" t="s">
        <v>303</v>
      </c>
      <c r="E165" s="258"/>
      <c r="G165" s="239"/>
    </row>
    <row r="166" spans="1:7" s="218" customFormat="1" ht="37.5" customHeight="1" x14ac:dyDescent="0.2">
      <c r="A166" s="232"/>
      <c r="B166" s="233"/>
      <c r="C166" s="264"/>
      <c r="D166" s="326" t="s">
        <v>304</v>
      </c>
      <c r="E166" s="266"/>
      <c r="G166" s="239"/>
    </row>
    <row r="167" spans="1:7" s="218" customFormat="1" ht="13.5" customHeight="1" x14ac:dyDescent="0.2">
      <c r="A167" s="230">
        <v>17</v>
      </c>
      <c r="B167" s="230">
        <v>854</v>
      </c>
      <c r="C167" s="230">
        <v>85410</v>
      </c>
      <c r="D167" s="271" t="s">
        <v>165</v>
      </c>
      <c r="E167" s="231">
        <f>952007-70000+100000</f>
        <v>982007</v>
      </c>
      <c r="G167" s="239"/>
    </row>
    <row r="168" spans="1:7" s="218" customFormat="1" ht="12.75" customHeight="1" x14ac:dyDescent="0.2">
      <c r="A168" s="253"/>
      <c r="B168" s="271"/>
      <c r="C168" s="234"/>
      <c r="D168" s="235" t="s">
        <v>305</v>
      </c>
      <c r="E168" s="231"/>
      <c r="G168" s="239"/>
    </row>
    <row r="169" spans="1:7" s="218" customFormat="1" ht="14.25" customHeight="1" x14ac:dyDescent="0.2">
      <c r="A169" s="293"/>
      <c r="B169" s="294"/>
      <c r="C169" s="294"/>
      <c r="D169" s="294" t="s">
        <v>202</v>
      </c>
      <c r="E169" s="236">
        <f>SUM(E59:E168)</f>
        <v>41400156.029999994</v>
      </c>
      <c r="G169" s="239"/>
    </row>
    <row r="170" spans="1:7" s="218" customFormat="1" ht="15.75" customHeight="1" x14ac:dyDescent="0.2">
      <c r="A170" s="327"/>
      <c r="B170" s="328"/>
      <c r="C170" s="328"/>
      <c r="D170" s="328" t="s">
        <v>34</v>
      </c>
      <c r="E170" s="237">
        <f>SUM(E56,E169)</f>
        <v>61867999.109999999</v>
      </c>
      <c r="G170" s="239"/>
    </row>
    <row r="172" spans="1:7" s="218" customFormat="1" ht="12.6" customHeight="1" x14ac:dyDescent="0.2">
      <c r="A172" s="238"/>
      <c r="B172" s="219"/>
      <c r="C172" s="219"/>
      <c r="D172" s="219"/>
      <c r="E172" s="329"/>
      <c r="G172" s="239"/>
    </row>
    <row r="174" spans="1:7" s="218" customFormat="1" x14ac:dyDescent="0.2">
      <c r="A174" s="219"/>
      <c r="B174" s="219"/>
      <c r="C174" s="219"/>
      <c r="D174" s="219"/>
      <c r="E174" s="329"/>
      <c r="G174" s="239"/>
    </row>
    <row r="176" spans="1:7" s="218" customFormat="1" x14ac:dyDescent="0.2">
      <c r="A176" s="219"/>
      <c r="B176" s="219"/>
      <c r="C176" s="219"/>
      <c r="D176" s="219"/>
      <c r="E176" s="330"/>
      <c r="G176" s="239"/>
    </row>
  </sheetData>
  <pageMargins left="0.51181102362204722" right="0.51181102362204722" top="0.74803149606299213" bottom="0.59055118110236227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9CA4-3E69-4C20-AF40-057D0FDCED52}">
  <dimension ref="A1:K36"/>
  <sheetViews>
    <sheetView zoomScale="110" zoomScaleNormal="110" workbookViewId="0"/>
  </sheetViews>
  <sheetFormatPr defaultRowHeight="15" x14ac:dyDescent="0.25"/>
  <cols>
    <col min="1" max="1" width="4.42578125" customWidth="1"/>
    <col min="2" max="2" width="7.5703125" customWidth="1"/>
    <col min="3" max="3" width="49" customWidth="1"/>
    <col min="4" max="4" width="14.85546875" customWidth="1"/>
    <col min="5" max="5" width="14" customWidth="1"/>
    <col min="6" max="6" width="14.140625" customWidth="1"/>
    <col min="7" max="7" width="17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ht="13.5" customHeight="1" x14ac:dyDescent="0.3">
      <c r="F1" s="379" t="s">
        <v>306</v>
      </c>
      <c r="G1" s="331"/>
    </row>
    <row r="2" spans="1:7" ht="13.5" customHeight="1" x14ac:dyDescent="0.3">
      <c r="F2" s="3" t="s">
        <v>469</v>
      </c>
      <c r="G2" s="331"/>
    </row>
    <row r="3" spans="1:7" ht="13.5" customHeight="1" x14ac:dyDescent="0.3">
      <c r="F3" s="3" t="s">
        <v>40</v>
      </c>
      <c r="G3" s="331"/>
    </row>
    <row r="4" spans="1:7" ht="13.5" customHeight="1" x14ac:dyDescent="0.3">
      <c r="F4" s="3" t="s">
        <v>470</v>
      </c>
      <c r="G4" s="331"/>
    </row>
    <row r="5" spans="1:7" s="333" customFormat="1" ht="12.75" x14ac:dyDescent="0.2">
      <c r="A5" s="58" t="s">
        <v>307</v>
      </c>
      <c r="B5" s="332"/>
      <c r="C5" s="332"/>
      <c r="D5" s="332"/>
      <c r="E5" s="332"/>
      <c r="F5" s="332"/>
      <c r="G5" s="332"/>
    </row>
    <row r="6" spans="1:7" s="333" customFormat="1" ht="12.75" x14ac:dyDescent="0.2">
      <c r="A6" s="58" t="s">
        <v>308</v>
      </c>
      <c r="B6" s="332"/>
      <c r="C6" s="332"/>
      <c r="D6" s="332"/>
      <c r="E6" s="332"/>
      <c r="F6" s="332"/>
      <c r="G6" s="332"/>
    </row>
    <row r="7" spans="1:7" x14ac:dyDescent="0.25">
      <c r="A7" s="334" t="s">
        <v>309</v>
      </c>
      <c r="B7" s="332"/>
      <c r="C7" s="332"/>
      <c r="D7" s="332"/>
      <c r="E7" s="332"/>
      <c r="F7" s="332"/>
      <c r="G7" s="332"/>
    </row>
    <row r="8" spans="1:7" x14ac:dyDescent="0.25">
      <c r="A8" s="11"/>
      <c r="B8" s="11"/>
      <c r="C8" s="11"/>
      <c r="D8" s="11"/>
      <c r="E8" s="11"/>
      <c r="F8" s="11"/>
      <c r="G8" s="335" t="s">
        <v>1</v>
      </c>
    </row>
    <row r="9" spans="1:7" ht="15" customHeight="1" x14ac:dyDescent="0.25">
      <c r="A9" s="336"/>
      <c r="B9" s="336"/>
      <c r="C9" s="336"/>
      <c r="D9" s="337" t="s">
        <v>310</v>
      </c>
      <c r="E9" s="338"/>
      <c r="F9" s="339"/>
      <c r="G9" s="337" t="s">
        <v>310</v>
      </c>
    </row>
    <row r="10" spans="1:7" x14ac:dyDescent="0.25">
      <c r="A10" s="340"/>
      <c r="B10" s="340" t="s">
        <v>3</v>
      </c>
      <c r="C10" s="340"/>
      <c r="D10" s="341" t="s">
        <v>311</v>
      </c>
      <c r="E10" s="341"/>
      <c r="F10" s="341"/>
      <c r="G10" s="341" t="s">
        <v>312</v>
      </c>
    </row>
    <row r="11" spans="1:7" x14ac:dyDescent="0.25">
      <c r="A11" s="340" t="s">
        <v>25</v>
      </c>
      <c r="B11" s="342"/>
      <c r="C11" s="340" t="s">
        <v>313</v>
      </c>
      <c r="D11" s="341" t="s">
        <v>314</v>
      </c>
      <c r="E11" s="341" t="s">
        <v>315</v>
      </c>
      <c r="F11" s="341" t="s">
        <v>316</v>
      </c>
      <c r="G11" s="341" t="s">
        <v>317</v>
      </c>
    </row>
    <row r="12" spans="1:7" ht="9.75" customHeight="1" x14ac:dyDescent="0.25">
      <c r="A12" s="342"/>
      <c r="B12" s="342" t="s">
        <v>4</v>
      </c>
      <c r="C12" s="342"/>
      <c r="D12" s="343" t="s">
        <v>318</v>
      </c>
      <c r="E12" s="343"/>
      <c r="F12" s="343"/>
      <c r="G12" s="343" t="s">
        <v>318</v>
      </c>
    </row>
    <row r="13" spans="1:7" x14ac:dyDescent="0.25">
      <c r="A13" s="344">
        <v>1</v>
      </c>
      <c r="B13" s="344">
        <v>2</v>
      </c>
      <c r="C13" s="344">
        <v>3</v>
      </c>
      <c r="D13" s="344">
        <v>4</v>
      </c>
      <c r="E13" s="344">
        <v>5</v>
      </c>
      <c r="F13" s="344">
        <v>6</v>
      </c>
      <c r="G13" s="344">
        <v>7</v>
      </c>
    </row>
    <row r="14" spans="1:7" s="11" customFormat="1" ht="12" customHeight="1" x14ac:dyDescent="0.25">
      <c r="A14" s="345"/>
      <c r="B14" s="346">
        <v>801</v>
      </c>
      <c r="C14" s="347"/>
      <c r="D14" s="348"/>
      <c r="E14" s="348"/>
      <c r="F14" s="348"/>
      <c r="G14" s="348"/>
    </row>
    <row r="15" spans="1:7" x14ac:dyDescent="0.25">
      <c r="A15" s="349" t="s">
        <v>26</v>
      </c>
      <c r="B15" s="350">
        <v>80101</v>
      </c>
      <c r="C15" s="351" t="s">
        <v>101</v>
      </c>
      <c r="D15" s="352">
        <v>170.99</v>
      </c>
      <c r="E15" s="352">
        <v>843627.21</v>
      </c>
      <c r="F15" s="352">
        <v>843798.2</v>
      </c>
      <c r="G15" s="352">
        <v>0</v>
      </c>
    </row>
    <row r="16" spans="1:7" x14ac:dyDescent="0.25">
      <c r="A16" s="349" t="s">
        <v>27</v>
      </c>
      <c r="B16" s="350">
        <v>80102</v>
      </c>
      <c r="C16" s="353" t="s">
        <v>115</v>
      </c>
      <c r="D16" s="354">
        <v>0</v>
      </c>
      <c r="E16" s="354">
        <v>7490</v>
      </c>
      <c r="F16" s="354">
        <v>7490</v>
      </c>
      <c r="G16" s="354">
        <v>0</v>
      </c>
    </row>
    <row r="17" spans="1:11" x14ac:dyDescent="0.25">
      <c r="A17" s="349" t="s">
        <v>28</v>
      </c>
      <c r="B17" s="350">
        <v>80104</v>
      </c>
      <c r="C17" s="353" t="s">
        <v>120</v>
      </c>
      <c r="D17" s="354">
        <v>5123.59</v>
      </c>
      <c r="E17" s="354">
        <v>3589615.59</v>
      </c>
      <c r="F17" s="354">
        <v>3594739.18</v>
      </c>
      <c r="G17" s="354">
        <v>0</v>
      </c>
    </row>
    <row r="18" spans="1:11" x14ac:dyDescent="0.25">
      <c r="A18" s="349" t="s">
        <v>29</v>
      </c>
      <c r="B18" s="350">
        <v>80115</v>
      </c>
      <c r="C18" s="353" t="s">
        <v>129</v>
      </c>
      <c r="D18" s="354">
        <v>3153.5</v>
      </c>
      <c r="E18" s="354">
        <v>1143508</v>
      </c>
      <c r="F18" s="354">
        <v>1146661.5</v>
      </c>
      <c r="G18" s="354">
        <v>0</v>
      </c>
    </row>
    <row r="19" spans="1:11" x14ac:dyDescent="0.25">
      <c r="A19" s="349" t="s">
        <v>319</v>
      </c>
      <c r="B19" s="350">
        <v>80120</v>
      </c>
      <c r="C19" s="353" t="s">
        <v>132</v>
      </c>
      <c r="D19" s="355">
        <v>68.55</v>
      </c>
      <c r="E19" s="354">
        <v>268036.99</v>
      </c>
      <c r="F19" s="354">
        <v>268105.53999999998</v>
      </c>
      <c r="G19" s="354">
        <v>0</v>
      </c>
    </row>
    <row r="20" spans="1:11" x14ac:dyDescent="0.25">
      <c r="A20" s="349" t="s">
        <v>320</v>
      </c>
      <c r="B20" s="350">
        <v>80132</v>
      </c>
      <c r="C20" s="353" t="s">
        <v>321</v>
      </c>
      <c r="D20" s="354">
        <v>2.87</v>
      </c>
      <c r="E20" s="354">
        <v>40992</v>
      </c>
      <c r="F20" s="354">
        <v>40994.870000000003</v>
      </c>
      <c r="G20" s="356">
        <v>0</v>
      </c>
    </row>
    <row r="21" spans="1:11" ht="14.25" customHeight="1" x14ac:dyDescent="0.25">
      <c r="A21" s="349" t="s">
        <v>322</v>
      </c>
      <c r="B21" s="350">
        <v>80134</v>
      </c>
      <c r="C21" s="353" t="s">
        <v>134</v>
      </c>
      <c r="D21" s="354">
        <v>0</v>
      </c>
      <c r="E21" s="354">
        <v>1300</v>
      </c>
      <c r="F21" s="354">
        <v>1300</v>
      </c>
      <c r="G21" s="354">
        <v>0</v>
      </c>
    </row>
    <row r="22" spans="1:11" ht="14.25" customHeight="1" x14ac:dyDescent="0.25">
      <c r="A22" s="357" t="s">
        <v>323</v>
      </c>
      <c r="B22" s="358">
        <v>80140</v>
      </c>
      <c r="C22" s="359" t="s">
        <v>324</v>
      </c>
      <c r="D22" s="354">
        <v>0</v>
      </c>
      <c r="E22" s="354">
        <v>101038</v>
      </c>
      <c r="F22" s="354">
        <v>101038</v>
      </c>
      <c r="G22" s="354">
        <v>0</v>
      </c>
    </row>
    <row r="23" spans="1:11" x14ac:dyDescent="0.25">
      <c r="A23" s="357" t="s">
        <v>325</v>
      </c>
      <c r="B23" s="358">
        <v>80142</v>
      </c>
      <c r="C23" s="359" t="s">
        <v>137</v>
      </c>
      <c r="D23" s="354">
        <v>0</v>
      </c>
      <c r="E23" s="354">
        <v>281040</v>
      </c>
      <c r="F23" s="354">
        <v>281040</v>
      </c>
      <c r="G23" s="354">
        <v>0</v>
      </c>
    </row>
    <row r="24" spans="1:11" x14ac:dyDescent="0.25">
      <c r="A24" s="357" t="s">
        <v>326</v>
      </c>
      <c r="B24" s="358">
        <v>80144</v>
      </c>
      <c r="C24" s="359" t="s">
        <v>327</v>
      </c>
      <c r="D24" s="354">
        <v>0</v>
      </c>
      <c r="E24" s="354">
        <v>63532</v>
      </c>
      <c r="F24" s="354">
        <v>63532</v>
      </c>
      <c r="G24" s="354">
        <v>0</v>
      </c>
      <c r="K24" t="s">
        <v>500</v>
      </c>
    </row>
    <row r="25" spans="1:11" x14ac:dyDescent="0.25">
      <c r="A25" s="360" t="s">
        <v>328</v>
      </c>
      <c r="B25" s="361">
        <v>80148</v>
      </c>
      <c r="C25" s="353" t="s">
        <v>139</v>
      </c>
      <c r="D25" s="362">
        <v>304.12</v>
      </c>
      <c r="E25" s="362">
        <v>2783291</v>
      </c>
      <c r="F25" s="362">
        <v>2783595.12</v>
      </c>
      <c r="G25" s="362">
        <v>0</v>
      </c>
    </row>
    <row r="26" spans="1:11" ht="12.75" customHeight="1" x14ac:dyDescent="0.25">
      <c r="A26" s="363"/>
      <c r="B26" s="364">
        <v>854</v>
      </c>
      <c r="C26" s="365"/>
      <c r="D26" s="366"/>
      <c r="E26" s="366"/>
      <c r="F26" s="366"/>
      <c r="G26" s="366"/>
    </row>
    <row r="27" spans="1:11" x14ac:dyDescent="0.25">
      <c r="A27" s="349" t="s">
        <v>26</v>
      </c>
      <c r="B27" s="350">
        <v>85410</v>
      </c>
      <c r="C27" s="353" t="s">
        <v>165</v>
      </c>
      <c r="D27" s="354">
        <v>20.57</v>
      </c>
      <c r="E27" s="354">
        <v>491700</v>
      </c>
      <c r="F27" s="354">
        <v>491720.57</v>
      </c>
      <c r="G27" s="354">
        <v>0</v>
      </c>
    </row>
    <row r="28" spans="1:11" x14ac:dyDescent="0.25">
      <c r="A28" s="349" t="s">
        <v>27</v>
      </c>
      <c r="B28" s="350">
        <v>85412</v>
      </c>
      <c r="C28" s="353" t="s">
        <v>329</v>
      </c>
      <c r="D28" s="354"/>
      <c r="E28" s="354"/>
      <c r="F28" s="354"/>
      <c r="G28" s="354"/>
    </row>
    <row r="29" spans="1:11" x14ac:dyDescent="0.25">
      <c r="A29" s="349"/>
      <c r="B29" s="350"/>
      <c r="C29" s="353" t="s">
        <v>330</v>
      </c>
      <c r="D29" s="354">
        <v>0</v>
      </c>
      <c r="E29" s="354">
        <v>9850</v>
      </c>
      <c r="F29" s="354">
        <v>9850</v>
      </c>
      <c r="G29" s="354">
        <v>0</v>
      </c>
    </row>
    <row r="30" spans="1:11" x14ac:dyDescent="0.25">
      <c r="A30" s="349" t="s">
        <v>28</v>
      </c>
      <c r="B30" s="350">
        <v>85417</v>
      </c>
      <c r="C30" s="367" t="s">
        <v>331</v>
      </c>
      <c r="D30" s="354">
        <v>0</v>
      </c>
      <c r="E30" s="354">
        <v>80400</v>
      </c>
      <c r="F30" s="354">
        <v>80400</v>
      </c>
      <c r="G30" s="354">
        <v>0</v>
      </c>
    </row>
    <row r="31" spans="1:11" x14ac:dyDescent="0.25">
      <c r="A31" s="368" t="s">
        <v>29</v>
      </c>
      <c r="B31" s="369">
        <v>85420</v>
      </c>
      <c r="C31" s="370" t="s">
        <v>166</v>
      </c>
      <c r="D31" s="371">
        <v>0</v>
      </c>
      <c r="E31" s="371">
        <v>19502</v>
      </c>
      <c r="F31" s="371">
        <v>19502</v>
      </c>
      <c r="G31" s="372">
        <v>0</v>
      </c>
    </row>
    <row r="32" spans="1:11" s="377" customFormat="1" ht="16.5" customHeight="1" x14ac:dyDescent="0.25">
      <c r="A32" s="373"/>
      <c r="B32" s="374"/>
      <c r="C32" s="375" t="s">
        <v>332</v>
      </c>
      <c r="D32" s="376">
        <f>SUM(D15:D31)</f>
        <v>8844.19</v>
      </c>
      <c r="E32" s="376">
        <f>SUM(E15:E31)</f>
        <v>9724922.7899999991</v>
      </c>
      <c r="F32" s="376">
        <f>SUM(F15:F31)</f>
        <v>9733766.9800000004</v>
      </c>
      <c r="G32" s="376">
        <f>SUM(G15:G31)</f>
        <v>0</v>
      </c>
    </row>
    <row r="34" spans="1:3" x14ac:dyDescent="0.25">
      <c r="A34" s="378"/>
      <c r="B34" s="378"/>
      <c r="C34" s="54"/>
    </row>
    <row r="35" spans="1:3" x14ac:dyDescent="0.25">
      <c r="A35" s="378"/>
      <c r="B35" s="378"/>
      <c r="C35" s="54"/>
    </row>
    <row r="36" spans="1:3" x14ac:dyDescent="0.25">
      <c r="A36" s="378"/>
      <c r="B36" s="378"/>
      <c r="C36" s="54"/>
    </row>
  </sheetData>
  <pageMargins left="0.78740157480314965" right="0.78740157480314965" top="0.74803149606299213" bottom="0.74803149606299213" header="0.31496062992125984" footer="0.31496062992125984"/>
  <pageSetup paperSize="9" firstPageNumber="5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0D65-ECAE-4A29-AB2C-E5F7D583E3D8}">
  <dimension ref="A1:BX190"/>
  <sheetViews>
    <sheetView zoomScale="140" zoomScaleNormal="140" workbookViewId="0"/>
  </sheetViews>
  <sheetFormatPr defaultRowHeight="15" x14ac:dyDescent="0.25"/>
  <cols>
    <col min="1" max="1" width="4.85546875" style="11" customWidth="1"/>
    <col min="2" max="2" width="33.42578125" style="11" customWidth="1"/>
    <col min="3" max="3" width="8.5703125" style="11" customWidth="1"/>
    <col min="4" max="4" width="9.42578125" style="11" customWidth="1"/>
    <col min="5" max="5" width="8.140625" style="11" customWidth="1"/>
    <col min="6" max="6" width="13" customWidth="1"/>
    <col min="7" max="7" width="12.85546875" customWidth="1"/>
    <col min="9" max="9" width="12.42578125" customWidth="1"/>
    <col min="77" max="253" width="9.140625" style="11"/>
    <col min="254" max="254" width="5.28515625" style="11" customWidth="1"/>
    <col min="255" max="255" width="8" style="11" customWidth="1"/>
    <col min="256" max="256" width="5.85546875" style="11" customWidth="1"/>
    <col min="257" max="257" width="9.42578125" style="11" customWidth="1"/>
    <col min="258" max="258" width="11.28515625" style="11" customWidth="1"/>
    <col min="259" max="259" width="11" style="11" customWidth="1"/>
    <col min="260" max="260" width="13.140625" style="11" customWidth="1"/>
    <col min="261" max="261" width="11.7109375" style="11" customWidth="1"/>
    <col min="262" max="262" width="11.140625" style="11" customWidth="1"/>
    <col min="263" max="263" width="11.7109375" style="11" customWidth="1"/>
    <col min="264" max="509" width="9.140625" style="11"/>
    <col min="510" max="510" width="5.28515625" style="11" customWidth="1"/>
    <col min="511" max="511" width="8" style="11" customWidth="1"/>
    <col min="512" max="512" width="5.85546875" style="11" customWidth="1"/>
    <col min="513" max="513" width="9.42578125" style="11" customWidth="1"/>
    <col min="514" max="514" width="11.28515625" style="11" customWidth="1"/>
    <col min="515" max="515" width="11" style="11" customWidth="1"/>
    <col min="516" max="516" width="13.140625" style="11" customWidth="1"/>
    <col min="517" max="517" width="11.7109375" style="11" customWidth="1"/>
    <col min="518" max="518" width="11.140625" style="11" customWidth="1"/>
    <col min="519" max="519" width="11.7109375" style="11" customWidth="1"/>
    <col min="520" max="765" width="9.140625" style="11"/>
    <col min="766" max="766" width="5.28515625" style="11" customWidth="1"/>
    <col min="767" max="767" width="8" style="11" customWidth="1"/>
    <col min="768" max="768" width="5.85546875" style="11" customWidth="1"/>
    <col min="769" max="769" width="9.42578125" style="11" customWidth="1"/>
    <col min="770" max="770" width="11.28515625" style="11" customWidth="1"/>
    <col min="771" max="771" width="11" style="11" customWidth="1"/>
    <col min="772" max="772" width="13.140625" style="11" customWidth="1"/>
    <col min="773" max="773" width="11.7109375" style="11" customWidth="1"/>
    <col min="774" max="774" width="11.140625" style="11" customWidth="1"/>
    <col min="775" max="775" width="11.7109375" style="11" customWidth="1"/>
    <col min="776" max="1021" width="9.140625" style="11"/>
    <col min="1022" max="1022" width="5.28515625" style="11" customWidth="1"/>
    <col min="1023" max="1023" width="8" style="11" customWidth="1"/>
    <col min="1024" max="1024" width="5.85546875" style="11" customWidth="1"/>
    <col min="1025" max="1025" width="9.42578125" style="11" customWidth="1"/>
    <col min="1026" max="1026" width="11.28515625" style="11" customWidth="1"/>
    <col min="1027" max="1027" width="11" style="11" customWidth="1"/>
    <col min="1028" max="1028" width="13.140625" style="11" customWidth="1"/>
    <col min="1029" max="1029" width="11.7109375" style="11" customWidth="1"/>
    <col min="1030" max="1030" width="11.140625" style="11" customWidth="1"/>
    <col min="1031" max="1031" width="11.7109375" style="11" customWidth="1"/>
    <col min="1032" max="1277" width="9.140625" style="11"/>
    <col min="1278" max="1278" width="5.28515625" style="11" customWidth="1"/>
    <col min="1279" max="1279" width="8" style="11" customWidth="1"/>
    <col min="1280" max="1280" width="5.85546875" style="11" customWidth="1"/>
    <col min="1281" max="1281" width="9.42578125" style="11" customWidth="1"/>
    <col min="1282" max="1282" width="11.28515625" style="11" customWidth="1"/>
    <col min="1283" max="1283" width="11" style="11" customWidth="1"/>
    <col min="1284" max="1284" width="13.140625" style="11" customWidth="1"/>
    <col min="1285" max="1285" width="11.7109375" style="11" customWidth="1"/>
    <col min="1286" max="1286" width="11.140625" style="11" customWidth="1"/>
    <col min="1287" max="1287" width="11.7109375" style="11" customWidth="1"/>
    <col min="1288" max="1533" width="9.140625" style="11"/>
    <col min="1534" max="1534" width="5.28515625" style="11" customWidth="1"/>
    <col min="1535" max="1535" width="8" style="11" customWidth="1"/>
    <col min="1536" max="1536" width="5.85546875" style="11" customWidth="1"/>
    <col min="1537" max="1537" width="9.42578125" style="11" customWidth="1"/>
    <col min="1538" max="1538" width="11.28515625" style="11" customWidth="1"/>
    <col min="1539" max="1539" width="11" style="11" customWidth="1"/>
    <col min="1540" max="1540" width="13.140625" style="11" customWidth="1"/>
    <col min="1541" max="1541" width="11.7109375" style="11" customWidth="1"/>
    <col min="1542" max="1542" width="11.140625" style="11" customWidth="1"/>
    <col min="1543" max="1543" width="11.7109375" style="11" customWidth="1"/>
    <col min="1544" max="1789" width="9.140625" style="11"/>
    <col min="1790" max="1790" width="5.28515625" style="11" customWidth="1"/>
    <col min="1791" max="1791" width="8" style="11" customWidth="1"/>
    <col min="1792" max="1792" width="5.85546875" style="11" customWidth="1"/>
    <col min="1793" max="1793" width="9.42578125" style="11" customWidth="1"/>
    <col min="1794" max="1794" width="11.28515625" style="11" customWidth="1"/>
    <col min="1795" max="1795" width="11" style="11" customWidth="1"/>
    <col min="1796" max="1796" width="13.140625" style="11" customWidth="1"/>
    <col min="1797" max="1797" width="11.7109375" style="11" customWidth="1"/>
    <col min="1798" max="1798" width="11.140625" style="11" customWidth="1"/>
    <col min="1799" max="1799" width="11.7109375" style="11" customWidth="1"/>
    <col min="1800" max="2045" width="9.140625" style="11"/>
    <col min="2046" max="2046" width="5.28515625" style="11" customWidth="1"/>
    <col min="2047" max="2047" width="8" style="11" customWidth="1"/>
    <col min="2048" max="2048" width="5.85546875" style="11" customWidth="1"/>
    <col min="2049" max="2049" width="9.42578125" style="11" customWidth="1"/>
    <col min="2050" max="2050" width="11.28515625" style="11" customWidth="1"/>
    <col min="2051" max="2051" width="11" style="11" customWidth="1"/>
    <col min="2052" max="2052" width="13.140625" style="11" customWidth="1"/>
    <col min="2053" max="2053" width="11.7109375" style="11" customWidth="1"/>
    <col min="2054" max="2054" width="11.140625" style="11" customWidth="1"/>
    <col min="2055" max="2055" width="11.7109375" style="11" customWidth="1"/>
    <col min="2056" max="2301" width="9.140625" style="11"/>
    <col min="2302" max="2302" width="5.28515625" style="11" customWidth="1"/>
    <col min="2303" max="2303" width="8" style="11" customWidth="1"/>
    <col min="2304" max="2304" width="5.85546875" style="11" customWidth="1"/>
    <col min="2305" max="2305" width="9.42578125" style="11" customWidth="1"/>
    <col min="2306" max="2306" width="11.28515625" style="11" customWidth="1"/>
    <col min="2307" max="2307" width="11" style="11" customWidth="1"/>
    <col min="2308" max="2308" width="13.140625" style="11" customWidth="1"/>
    <col min="2309" max="2309" width="11.7109375" style="11" customWidth="1"/>
    <col min="2310" max="2310" width="11.140625" style="11" customWidth="1"/>
    <col min="2311" max="2311" width="11.7109375" style="11" customWidth="1"/>
    <col min="2312" max="2557" width="9.140625" style="11"/>
    <col min="2558" max="2558" width="5.28515625" style="11" customWidth="1"/>
    <col min="2559" max="2559" width="8" style="11" customWidth="1"/>
    <col min="2560" max="2560" width="5.85546875" style="11" customWidth="1"/>
    <col min="2561" max="2561" width="9.42578125" style="11" customWidth="1"/>
    <col min="2562" max="2562" width="11.28515625" style="11" customWidth="1"/>
    <col min="2563" max="2563" width="11" style="11" customWidth="1"/>
    <col min="2564" max="2564" width="13.140625" style="11" customWidth="1"/>
    <col min="2565" max="2565" width="11.7109375" style="11" customWidth="1"/>
    <col min="2566" max="2566" width="11.140625" style="11" customWidth="1"/>
    <col min="2567" max="2567" width="11.7109375" style="11" customWidth="1"/>
    <col min="2568" max="2813" width="9.140625" style="11"/>
    <col min="2814" max="2814" width="5.28515625" style="11" customWidth="1"/>
    <col min="2815" max="2815" width="8" style="11" customWidth="1"/>
    <col min="2816" max="2816" width="5.85546875" style="11" customWidth="1"/>
    <col min="2817" max="2817" width="9.42578125" style="11" customWidth="1"/>
    <col min="2818" max="2818" width="11.28515625" style="11" customWidth="1"/>
    <col min="2819" max="2819" width="11" style="11" customWidth="1"/>
    <col min="2820" max="2820" width="13.140625" style="11" customWidth="1"/>
    <col min="2821" max="2821" width="11.7109375" style="11" customWidth="1"/>
    <col min="2822" max="2822" width="11.140625" style="11" customWidth="1"/>
    <col min="2823" max="2823" width="11.7109375" style="11" customWidth="1"/>
    <col min="2824" max="3069" width="9.140625" style="11"/>
    <col min="3070" max="3070" width="5.28515625" style="11" customWidth="1"/>
    <col min="3071" max="3071" width="8" style="11" customWidth="1"/>
    <col min="3072" max="3072" width="5.85546875" style="11" customWidth="1"/>
    <col min="3073" max="3073" width="9.42578125" style="11" customWidth="1"/>
    <col min="3074" max="3074" width="11.28515625" style="11" customWidth="1"/>
    <col min="3075" max="3075" width="11" style="11" customWidth="1"/>
    <col min="3076" max="3076" width="13.140625" style="11" customWidth="1"/>
    <col min="3077" max="3077" width="11.7109375" style="11" customWidth="1"/>
    <col min="3078" max="3078" width="11.140625" style="11" customWidth="1"/>
    <col min="3079" max="3079" width="11.7109375" style="11" customWidth="1"/>
    <col min="3080" max="3325" width="9.140625" style="11"/>
    <col min="3326" max="3326" width="5.28515625" style="11" customWidth="1"/>
    <col min="3327" max="3327" width="8" style="11" customWidth="1"/>
    <col min="3328" max="3328" width="5.85546875" style="11" customWidth="1"/>
    <col min="3329" max="3329" width="9.42578125" style="11" customWidth="1"/>
    <col min="3330" max="3330" width="11.28515625" style="11" customWidth="1"/>
    <col min="3331" max="3331" width="11" style="11" customWidth="1"/>
    <col min="3332" max="3332" width="13.140625" style="11" customWidth="1"/>
    <col min="3333" max="3333" width="11.7109375" style="11" customWidth="1"/>
    <col min="3334" max="3334" width="11.140625" style="11" customWidth="1"/>
    <col min="3335" max="3335" width="11.7109375" style="11" customWidth="1"/>
    <col min="3336" max="3581" width="9.140625" style="11"/>
    <col min="3582" max="3582" width="5.28515625" style="11" customWidth="1"/>
    <col min="3583" max="3583" width="8" style="11" customWidth="1"/>
    <col min="3584" max="3584" width="5.85546875" style="11" customWidth="1"/>
    <col min="3585" max="3585" width="9.42578125" style="11" customWidth="1"/>
    <col min="3586" max="3586" width="11.28515625" style="11" customWidth="1"/>
    <col min="3587" max="3587" width="11" style="11" customWidth="1"/>
    <col min="3588" max="3588" width="13.140625" style="11" customWidth="1"/>
    <col min="3589" max="3589" width="11.7109375" style="11" customWidth="1"/>
    <col min="3590" max="3590" width="11.140625" style="11" customWidth="1"/>
    <col min="3591" max="3591" width="11.7109375" style="11" customWidth="1"/>
    <col min="3592" max="3837" width="9.140625" style="11"/>
    <col min="3838" max="3838" width="5.28515625" style="11" customWidth="1"/>
    <col min="3839" max="3839" width="8" style="11" customWidth="1"/>
    <col min="3840" max="3840" width="5.85546875" style="11" customWidth="1"/>
    <col min="3841" max="3841" width="9.42578125" style="11" customWidth="1"/>
    <col min="3842" max="3842" width="11.28515625" style="11" customWidth="1"/>
    <col min="3843" max="3843" width="11" style="11" customWidth="1"/>
    <col min="3844" max="3844" width="13.140625" style="11" customWidth="1"/>
    <col min="3845" max="3845" width="11.7109375" style="11" customWidth="1"/>
    <col min="3846" max="3846" width="11.140625" style="11" customWidth="1"/>
    <col min="3847" max="3847" width="11.7109375" style="11" customWidth="1"/>
    <col min="3848" max="4093" width="9.140625" style="11"/>
    <col min="4094" max="4094" width="5.28515625" style="11" customWidth="1"/>
    <col min="4095" max="4095" width="8" style="11" customWidth="1"/>
    <col min="4096" max="4096" width="5.85546875" style="11" customWidth="1"/>
    <col min="4097" max="4097" width="9.42578125" style="11" customWidth="1"/>
    <col min="4098" max="4098" width="11.28515625" style="11" customWidth="1"/>
    <col min="4099" max="4099" width="11" style="11" customWidth="1"/>
    <col min="4100" max="4100" width="13.140625" style="11" customWidth="1"/>
    <col min="4101" max="4101" width="11.7109375" style="11" customWidth="1"/>
    <col min="4102" max="4102" width="11.140625" style="11" customWidth="1"/>
    <col min="4103" max="4103" width="11.7109375" style="11" customWidth="1"/>
    <col min="4104" max="4349" width="9.140625" style="11"/>
    <col min="4350" max="4350" width="5.28515625" style="11" customWidth="1"/>
    <col min="4351" max="4351" width="8" style="11" customWidth="1"/>
    <col min="4352" max="4352" width="5.85546875" style="11" customWidth="1"/>
    <col min="4353" max="4353" width="9.42578125" style="11" customWidth="1"/>
    <col min="4354" max="4354" width="11.28515625" style="11" customWidth="1"/>
    <col min="4355" max="4355" width="11" style="11" customWidth="1"/>
    <col min="4356" max="4356" width="13.140625" style="11" customWidth="1"/>
    <col min="4357" max="4357" width="11.7109375" style="11" customWidth="1"/>
    <col min="4358" max="4358" width="11.140625" style="11" customWidth="1"/>
    <col min="4359" max="4359" width="11.7109375" style="11" customWidth="1"/>
    <col min="4360" max="4605" width="9.140625" style="11"/>
    <col min="4606" max="4606" width="5.28515625" style="11" customWidth="1"/>
    <col min="4607" max="4607" width="8" style="11" customWidth="1"/>
    <col min="4608" max="4608" width="5.85546875" style="11" customWidth="1"/>
    <col min="4609" max="4609" width="9.42578125" style="11" customWidth="1"/>
    <col min="4610" max="4610" width="11.28515625" style="11" customWidth="1"/>
    <col min="4611" max="4611" width="11" style="11" customWidth="1"/>
    <col min="4612" max="4612" width="13.140625" style="11" customWidth="1"/>
    <col min="4613" max="4613" width="11.7109375" style="11" customWidth="1"/>
    <col min="4614" max="4614" width="11.140625" style="11" customWidth="1"/>
    <col min="4615" max="4615" width="11.7109375" style="11" customWidth="1"/>
    <col min="4616" max="4861" width="9.140625" style="11"/>
    <col min="4862" max="4862" width="5.28515625" style="11" customWidth="1"/>
    <col min="4863" max="4863" width="8" style="11" customWidth="1"/>
    <col min="4864" max="4864" width="5.85546875" style="11" customWidth="1"/>
    <col min="4865" max="4865" width="9.42578125" style="11" customWidth="1"/>
    <col min="4866" max="4866" width="11.28515625" style="11" customWidth="1"/>
    <col min="4867" max="4867" width="11" style="11" customWidth="1"/>
    <col min="4868" max="4868" width="13.140625" style="11" customWidth="1"/>
    <col min="4869" max="4869" width="11.7109375" style="11" customWidth="1"/>
    <col min="4870" max="4870" width="11.140625" style="11" customWidth="1"/>
    <col min="4871" max="4871" width="11.7109375" style="11" customWidth="1"/>
    <col min="4872" max="5117" width="9.140625" style="11"/>
    <col min="5118" max="5118" width="5.28515625" style="11" customWidth="1"/>
    <col min="5119" max="5119" width="8" style="11" customWidth="1"/>
    <col min="5120" max="5120" width="5.85546875" style="11" customWidth="1"/>
    <col min="5121" max="5121" width="9.42578125" style="11" customWidth="1"/>
    <col min="5122" max="5122" width="11.28515625" style="11" customWidth="1"/>
    <col min="5123" max="5123" width="11" style="11" customWidth="1"/>
    <col min="5124" max="5124" width="13.140625" style="11" customWidth="1"/>
    <col min="5125" max="5125" width="11.7109375" style="11" customWidth="1"/>
    <col min="5126" max="5126" width="11.140625" style="11" customWidth="1"/>
    <col min="5127" max="5127" width="11.7109375" style="11" customWidth="1"/>
    <col min="5128" max="5373" width="9.140625" style="11"/>
    <col min="5374" max="5374" width="5.28515625" style="11" customWidth="1"/>
    <col min="5375" max="5375" width="8" style="11" customWidth="1"/>
    <col min="5376" max="5376" width="5.85546875" style="11" customWidth="1"/>
    <col min="5377" max="5377" width="9.42578125" style="11" customWidth="1"/>
    <col min="5378" max="5378" width="11.28515625" style="11" customWidth="1"/>
    <col min="5379" max="5379" width="11" style="11" customWidth="1"/>
    <col min="5380" max="5380" width="13.140625" style="11" customWidth="1"/>
    <col min="5381" max="5381" width="11.7109375" style="11" customWidth="1"/>
    <col min="5382" max="5382" width="11.140625" style="11" customWidth="1"/>
    <col min="5383" max="5383" width="11.7109375" style="11" customWidth="1"/>
    <col min="5384" max="5629" width="9.140625" style="11"/>
    <col min="5630" max="5630" width="5.28515625" style="11" customWidth="1"/>
    <col min="5631" max="5631" width="8" style="11" customWidth="1"/>
    <col min="5632" max="5632" width="5.85546875" style="11" customWidth="1"/>
    <col min="5633" max="5633" width="9.42578125" style="11" customWidth="1"/>
    <col min="5634" max="5634" width="11.28515625" style="11" customWidth="1"/>
    <col min="5635" max="5635" width="11" style="11" customWidth="1"/>
    <col min="5636" max="5636" width="13.140625" style="11" customWidth="1"/>
    <col min="5637" max="5637" width="11.7109375" style="11" customWidth="1"/>
    <col min="5638" max="5638" width="11.140625" style="11" customWidth="1"/>
    <col min="5639" max="5639" width="11.7109375" style="11" customWidth="1"/>
    <col min="5640" max="5885" width="9.140625" style="11"/>
    <col min="5886" max="5886" width="5.28515625" style="11" customWidth="1"/>
    <col min="5887" max="5887" width="8" style="11" customWidth="1"/>
    <col min="5888" max="5888" width="5.85546875" style="11" customWidth="1"/>
    <col min="5889" max="5889" width="9.42578125" style="11" customWidth="1"/>
    <col min="5890" max="5890" width="11.28515625" style="11" customWidth="1"/>
    <col min="5891" max="5891" width="11" style="11" customWidth="1"/>
    <col min="5892" max="5892" width="13.140625" style="11" customWidth="1"/>
    <col min="5893" max="5893" width="11.7109375" style="11" customWidth="1"/>
    <col min="5894" max="5894" width="11.140625" style="11" customWidth="1"/>
    <col min="5895" max="5895" width="11.7109375" style="11" customWidth="1"/>
    <col min="5896" max="6141" width="9.140625" style="11"/>
    <col min="6142" max="6142" width="5.28515625" style="11" customWidth="1"/>
    <col min="6143" max="6143" width="8" style="11" customWidth="1"/>
    <col min="6144" max="6144" width="5.85546875" style="11" customWidth="1"/>
    <col min="6145" max="6145" width="9.42578125" style="11" customWidth="1"/>
    <col min="6146" max="6146" width="11.28515625" style="11" customWidth="1"/>
    <col min="6147" max="6147" width="11" style="11" customWidth="1"/>
    <col min="6148" max="6148" width="13.140625" style="11" customWidth="1"/>
    <col min="6149" max="6149" width="11.7109375" style="11" customWidth="1"/>
    <col min="6150" max="6150" width="11.140625" style="11" customWidth="1"/>
    <col min="6151" max="6151" width="11.7109375" style="11" customWidth="1"/>
    <col min="6152" max="6397" width="9.140625" style="11"/>
    <col min="6398" max="6398" width="5.28515625" style="11" customWidth="1"/>
    <col min="6399" max="6399" width="8" style="11" customWidth="1"/>
    <col min="6400" max="6400" width="5.85546875" style="11" customWidth="1"/>
    <col min="6401" max="6401" width="9.42578125" style="11" customWidth="1"/>
    <col min="6402" max="6402" width="11.28515625" style="11" customWidth="1"/>
    <col min="6403" max="6403" width="11" style="11" customWidth="1"/>
    <col min="6404" max="6404" width="13.140625" style="11" customWidth="1"/>
    <col min="6405" max="6405" width="11.7109375" style="11" customWidth="1"/>
    <col min="6406" max="6406" width="11.140625" style="11" customWidth="1"/>
    <col min="6407" max="6407" width="11.7109375" style="11" customWidth="1"/>
    <col min="6408" max="6653" width="9.140625" style="11"/>
    <col min="6654" max="6654" width="5.28515625" style="11" customWidth="1"/>
    <col min="6655" max="6655" width="8" style="11" customWidth="1"/>
    <col min="6656" max="6656" width="5.85546875" style="11" customWidth="1"/>
    <col min="6657" max="6657" width="9.42578125" style="11" customWidth="1"/>
    <col min="6658" max="6658" width="11.28515625" style="11" customWidth="1"/>
    <col min="6659" max="6659" width="11" style="11" customWidth="1"/>
    <col min="6660" max="6660" width="13.140625" style="11" customWidth="1"/>
    <col min="6661" max="6661" width="11.7109375" style="11" customWidth="1"/>
    <col min="6662" max="6662" width="11.140625" style="11" customWidth="1"/>
    <col min="6663" max="6663" width="11.7109375" style="11" customWidth="1"/>
    <col min="6664" max="6909" width="9.140625" style="11"/>
    <col min="6910" max="6910" width="5.28515625" style="11" customWidth="1"/>
    <col min="6911" max="6911" width="8" style="11" customWidth="1"/>
    <col min="6912" max="6912" width="5.85546875" style="11" customWidth="1"/>
    <col min="6913" max="6913" width="9.42578125" style="11" customWidth="1"/>
    <col min="6914" max="6914" width="11.28515625" style="11" customWidth="1"/>
    <col min="6915" max="6915" width="11" style="11" customWidth="1"/>
    <col min="6916" max="6916" width="13.140625" style="11" customWidth="1"/>
    <col min="6917" max="6917" width="11.7109375" style="11" customWidth="1"/>
    <col min="6918" max="6918" width="11.140625" style="11" customWidth="1"/>
    <col min="6919" max="6919" width="11.7109375" style="11" customWidth="1"/>
    <col min="6920" max="7165" width="9.140625" style="11"/>
    <col min="7166" max="7166" width="5.28515625" style="11" customWidth="1"/>
    <col min="7167" max="7167" width="8" style="11" customWidth="1"/>
    <col min="7168" max="7168" width="5.85546875" style="11" customWidth="1"/>
    <col min="7169" max="7169" width="9.42578125" style="11" customWidth="1"/>
    <col min="7170" max="7170" width="11.28515625" style="11" customWidth="1"/>
    <col min="7171" max="7171" width="11" style="11" customWidth="1"/>
    <col min="7172" max="7172" width="13.140625" style="11" customWidth="1"/>
    <col min="7173" max="7173" width="11.7109375" style="11" customWidth="1"/>
    <col min="7174" max="7174" width="11.140625" style="11" customWidth="1"/>
    <col min="7175" max="7175" width="11.7109375" style="11" customWidth="1"/>
    <col min="7176" max="7421" width="9.140625" style="11"/>
    <col min="7422" max="7422" width="5.28515625" style="11" customWidth="1"/>
    <col min="7423" max="7423" width="8" style="11" customWidth="1"/>
    <col min="7424" max="7424" width="5.85546875" style="11" customWidth="1"/>
    <col min="7425" max="7425" width="9.42578125" style="11" customWidth="1"/>
    <col min="7426" max="7426" width="11.28515625" style="11" customWidth="1"/>
    <col min="7427" max="7427" width="11" style="11" customWidth="1"/>
    <col min="7428" max="7428" width="13.140625" style="11" customWidth="1"/>
    <col min="7429" max="7429" width="11.7109375" style="11" customWidth="1"/>
    <col min="7430" max="7430" width="11.140625" style="11" customWidth="1"/>
    <col min="7431" max="7431" width="11.7109375" style="11" customWidth="1"/>
    <col min="7432" max="7677" width="9.140625" style="11"/>
    <col min="7678" max="7678" width="5.28515625" style="11" customWidth="1"/>
    <col min="7679" max="7679" width="8" style="11" customWidth="1"/>
    <col min="7680" max="7680" width="5.85546875" style="11" customWidth="1"/>
    <col min="7681" max="7681" width="9.42578125" style="11" customWidth="1"/>
    <col min="7682" max="7682" width="11.28515625" style="11" customWidth="1"/>
    <col min="7683" max="7683" width="11" style="11" customWidth="1"/>
    <col min="7684" max="7684" width="13.140625" style="11" customWidth="1"/>
    <col min="7685" max="7685" width="11.7109375" style="11" customWidth="1"/>
    <col min="7686" max="7686" width="11.140625" style="11" customWidth="1"/>
    <col min="7687" max="7687" width="11.7109375" style="11" customWidth="1"/>
    <col min="7688" max="7933" width="9.140625" style="11"/>
    <col min="7934" max="7934" width="5.28515625" style="11" customWidth="1"/>
    <col min="7935" max="7935" width="8" style="11" customWidth="1"/>
    <col min="7936" max="7936" width="5.85546875" style="11" customWidth="1"/>
    <col min="7937" max="7937" width="9.42578125" style="11" customWidth="1"/>
    <col min="7938" max="7938" width="11.28515625" style="11" customWidth="1"/>
    <col min="7939" max="7939" width="11" style="11" customWidth="1"/>
    <col min="7940" max="7940" width="13.140625" style="11" customWidth="1"/>
    <col min="7941" max="7941" width="11.7109375" style="11" customWidth="1"/>
    <col min="7942" max="7942" width="11.140625" style="11" customWidth="1"/>
    <col min="7943" max="7943" width="11.7109375" style="11" customWidth="1"/>
    <col min="7944" max="8189" width="9.140625" style="11"/>
    <col min="8190" max="8190" width="5.28515625" style="11" customWidth="1"/>
    <col min="8191" max="8191" width="8" style="11" customWidth="1"/>
    <col min="8192" max="8192" width="5.85546875" style="11" customWidth="1"/>
    <col min="8193" max="8193" width="9.42578125" style="11" customWidth="1"/>
    <col min="8194" max="8194" width="11.28515625" style="11" customWidth="1"/>
    <col min="8195" max="8195" width="11" style="11" customWidth="1"/>
    <col min="8196" max="8196" width="13.140625" style="11" customWidth="1"/>
    <col min="8197" max="8197" width="11.7109375" style="11" customWidth="1"/>
    <col min="8198" max="8198" width="11.140625" style="11" customWidth="1"/>
    <col min="8199" max="8199" width="11.7109375" style="11" customWidth="1"/>
    <col min="8200" max="8445" width="9.140625" style="11"/>
    <col min="8446" max="8446" width="5.28515625" style="11" customWidth="1"/>
    <col min="8447" max="8447" width="8" style="11" customWidth="1"/>
    <col min="8448" max="8448" width="5.85546875" style="11" customWidth="1"/>
    <col min="8449" max="8449" width="9.42578125" style="11" customWidth="1"/>
    <col min="8450" max="8450" width="11.28515625" style="11" customWidth="1"/>
    <col min="8451" max="8451" width="11" style="11" customWidth="1"/>
    <col min="8452" max="8452" width="13.140625" style="11" customWidth="1"/>
    <col min="8453" max="8453" width="11.7109375" style="11" customWidth="1"/>
    <col min="8454" max="8454" width="11.140625" style="11" customWidth="1"/>
    <col min="8455" max="8455" width="11.7109375" style="11" customWidth="1"/>
    <col min="8456" max="8701" width="9.140625" style="11"/>
    <col min="8702" max="8702" width="5.28515625" style="11" customWidth="1"/>
    <col min="8703" max="8703" width="8" style="11" customWidth="1"/>
    <col min="8704" max="8704" width="5.85546875" style="11" customWidth="1"/>
    <col min="8705" max="8705" width="9.42578125" style="11" customWidth="1"/>
    <col min="8706" max="8706" width="11.28515625" style="11" customWidth="1"/>
    <col min="8707" max="8707" width="11" style="11" customWidth="1"/>
    <col min="8708" max="8708" width="13.140625" style="11" customWidth="1"/>
    <col min="8709" max="8709" width="11.7109375" style="11" customWidth="1"/>
    <col min="8710" max="8710" width="11.140625" style="11" customWidth="1"/>
    <col min="8711" max="8711" width="11.7109375" style="11" customWidth="1"/>
    <col min="8712" max="8957" width="9.140625" style="11"/>
    <col min="8958" max="8958" width="5.28515625" style="11" customWidth="1"/>
    <col min="8959" max="8959" width="8" style="11" customWidth="1"/>
    <col min="8960" max="8960" width="5.85546875" style="11" customWidth="1"/>
    <col min="8961" max="8961" width="9.42578125" style="11" customWidth="1"/>
    <col min="8962" max="8962" width="11.28515625" style="11" customWidth="1"/>
    <col min="8963" max="8963" width="11" style="11" customWidth="1"/>
    <col min="8964" max="8964" width="13.140625" style="11" customWidth="1"/>
    <col min="8965" max="8965" width="11.7109375" style="11" customWidth="1"/>
    <col min="8966" max="8966" width="11.140625" style="11" customWidth="1"/>
    <col min="8967" max="8967" width="11.7109375" style="11" customWidth="1"/>
    <col min="8968" max="9213" width="9.140625" style="11"/>
    <col min="9214" max="9214" width="5.28515625" style="11" customWidth="1"/>
    <col min="9215" max="9215" width="8" style="11" customWidth="1"/>
    <col min="9216" max="9216" width="5.85546875" style="11" customWidth="1"/>
    <col min="9217" max="9217" width="9.42578125" style="11" customWidth="1"/>
    <col min="9218" max="9218" width="11.28515625" style="11" customWidth="1"/>
    <col min="9219" max="9219" width="11" style="11" customWidth="1"/>
    <col min="9220" max="9220" width="13.140625" style="11" customWidth="1"/>
    <col min="9221" max="9221" width="11.7109375" style="11" customWidth="1"/>
    <col min="9222" max="9222" width="11.140625" style="11" customWidth="1"/>
    <col min="9223" max="9223" width="11.7109375" style="11" customWidth="1"/>
    <col min="9224" max="9469" width="9.140625" style="11"/>
    <col min="9470" max="9470" width="5.28515625" style="11" customWidth="1"/>
    <col min="9471" max="9471" width="8" style="11" customWidth="1"/>
    <col min="9472" max="9472" width="5.85546875" style="11" customWidth="1"/>
    <col min="9473" max="9473" width="9.42578125" style="11" customWidth="1"/>
    <col min="9474" max="9474" width="11.28515625" style="11" customWidth="1"/>
    <col min="9475" max="9475" width="11" style="11" customWidth="1"/>
    <col min="9476" max="9476" width="13.140625" style="11" customWidth="1"/>
    <col min="9477" max="9477" width="11.7109375" style="11" customWidth="1"/>
    <col min="9478" max="9478" width="11.140625" style="11" customWidth="1"/>
    <col min="9479" max="9479" width="11.7109375" style="11" customWidth="1"/>
    <col min="9480" max="9725" width="9.140625" style="11"/>
    <col min="9726" max="9726" width="5.28515625" style="11" customWidth="1"/>
    <col min="9727" max="9727" width="8" style="11" customWidth="1"/>
    <col min="9728" max="9728" width="5.85546875" style="11" customWidth="1"/>
    <col min="9729" max="9729" width="9.42578125" style="11" customWidth="1"/>
    <col min="9730" max="9730" width="11.28515625" style="11" customWidth="1"/>
    <col min="9731" max="9731" width="11" style="11" customWidth="1"/>
    <col min="9732" max="9732" width="13.140625" style="11" customWidth="1"/>
    <col min="9733" max="9733" width="11.7109375" style="11" customWidth="1"/>
    <col min="9734" max="9734" width="11.140625" style="11" customWidth="1"/>
    <col min="9735" max="9735" width="11.7109375" style="11" customWidth="1"/>
    <col min="9736" max="9981" width="9.140625" style="11"/>
    <col min="9982" max="9982" width="5.28515625" style="11" customWidth="1"/>
    <col min="9983" max="9983" width="8" style="11" customWidth="1"/>
    <col min="9984" max="9984" width="5.85546875" style="11" customWidth="1"/>
    <col min="9985" max="9985" width="9.42578125" style="11" customWidth="1"/>
    <col min="9986" max="9986" width="11.28515625" style="11" customWidth="1"/>
    <col min="9987" max="9987" width="11" style="11" customWidth="1"/>
    <col min="9988" max="9988" width="13.140625" style="11" customWidth="1"/>
    <col min="9989" max="9989" width="11.7109375" style="11" customWidth="1"/>
    <col min="9990" max="9990" width="11.140625" style="11" customWidth="1"/>
    <col min="9991" max="9991" width="11.7109375" style="11" customWidth="1"/>
    <col min="9992" max="10237" width="9.140625" style="11"/>
    <col min="10238" max="10238" width="5.28515625" style="11" customWidth="1"/>
    <col min="10239" max="10239" width="8" style="11" customWidth="1"/>
    <col min="10240" max="10240" width="5.85546875" style="11" customWidth="1"/>
    <col min="10241" max="10241" width="9.42578125" style="11" customWidth="1"/>
    <col min="10242" max="10242" width="11.28515625" style="11" customWidth="1"/>
    <col min="10243" max="10243" width="11" style="11" customWidth="1"/>
    <col min="10244" max="10244" width="13.140625" style="11" customWidth="1"/>
    <col min="10245" max="10245" width="11.7109375" style="11" customWidth="1"/>
    <col min="10246" max="10246" width="11.140625" style="11" customWidth="1"/>
    <col min="10247" max="10247" width="11.7109375" style="11" customWidth="1"/>
    <col min="10248" max="10493" width="9.140625" style="11"/>
    <col min="10494" max="10494" width="5.28515625" style="11" customWidth="1"/>
    <col min="10495" max="10495" width="8" style="11" customWidth="1"/>
    <col min="10496" max="10496" width="5.85546875" style="11" customWidth="1"/>
    <col min="10497" max="10497" width="9.42578125" style="11" customWidth="1"/>
    <col min="10498" max="10498" width="11.28515625" style="11" customWidth="1"/>
    <col min="10499" max="10499" width="11" style="11" customWidth="1"/>
    <col min="10500" max="10500" width="13.140625" style="11" customWidth="1"/>
    <col min="10501" max="10501" width="11.7109375" style="11" customWidth="1"/>
    <col min="10502" max="10502" width="11.140625" style="11" customWidth="1"/>
    <col min="10503" max="10503" width="11.7109375" style="11" customWidth="1"/>
    <col min="10504" max="10749" width="9.140625" style="11"/>
    <col min="10750" max="10750" width="5.28515625" style="11" customWidth="1"/>
    <col min="10751" max="10751" width="8" style="11" customWidth="1"/>
    <col min="10752" max="10752" width="5.85546875" style="11" customWidth="1"/>
    <col min="10753" max="10753" width="9.42578125" style="11" customWidth="1"/>
    <col min="10754" max="10754" width="11.28515625" style="11" customWidth="1"/>
    <col min="10755" max="10755" width="11" style="11" customWidth="1"/>
    <col min="10756" max="10756" width="13.140625" style="11" customWidth="1"/>
    <col min="10757" max="10757" width="11.7109375" style="11" customWidth="1"/>
    <col min="10758" max="10758" width="11.140625" style="11" customWidth="1"/>
    <col min="10759" max="10759" width="11.7109375" style="11" customWidth="1"/>
    <col min="10760" max="11005" width="9.140625" style="11"/>
    <col min="11006" max="11006" width="5.28515625" style="11" customWidth="1"/>
    <col min="11007" max="11007" width="8" style="11" customWidth="1"/>
    <col min="11008" max="11008" width="5.85546875" style="11" customWidth="1"/>
    <col min="11009" max="11009" width="9.42578125" style="11" customWidth="1"/>
    <col min="11010" max="11010" width="11.28515625" style="11" customWidth="1"/>
    <col min="11011" max="11011" width="11" style="11" customWidth="1"/>
    <col min="11012" max="11012" width="13.140625" style="11" customWidth="1"/>
    <col min="11013" max="11013" width="11.7109375" style="11" customWidth="1"/>
    <col min="11014" max="11014" width="11.140625" style="11" customWidth="1"/>
    <col min="11015" max="11015" width="11.7109375" style="11" customWidth="1"/>
    <col min="11016" max="11261" width="9.140625" style="11"/>
    <col min="11262" max="11262" width="5.28515625" style="11" customWidth="1"/>
    <col min="11263" max="11263" width="8" style="11" customWidth="1"/>
    <col min="11264" max="11264" width="5.85546875" style="11" customWidth="1"/>
    <col min="11265" max="11265" width="9.42578125" style="11" customWidth="1"/>
    <col min="11266" max="11266" width="11.28515625" style="11" customWidth="1"/>
    <col min="11267" max="11267" width="11" style="11" customWidth="1"/>
    <col min="11268" max="11268" width="13.140625" style="11" customWidth="1"/>
    <col min="11269" max="11269" width="11.7109375" style="11" customWidth="1"/>
    <col min="11270" max="11270" width="11.140625" style="11" customWidth="1"/>
    <col min="11271" max="11271" width="11.7109375" style="11" customWidth="1"/>
    <col min="11272" max="11517" width="9.140625" style="11"/>
    <col min="11518" max="11518" width="5.28515625" style="11" customWidth="1"/>
    <col min="11519" max="11519" width="8" style="11" customWidth="1"/>
    <col min="11520" max="11520" width="5.85546875" style="11" customWidth="1"/>
    <col min="11521" max="11521" width="9.42578125" style="11" customWidth="1"/>
    <col min="11522" max="11522" width="11.28515625" style="11" customWidth="1"/>
    <col min="11523" max="11523" width="11" style="11" customWidth="1"/>
    <col min="11524" max="11524" width="13.140625" style="11" customWidth="1"/>
    <col min="11525" max="11525" width="11.7109375" style="11" customWidth="1"/>
    <col min="11526" max="11526" width="11.140625" style="11" customWidth="1"/>
    <col min="11527" max="11527" width="11.7109375" style="11" customWidth="1"/>
    <col min="11528" max="11773" width="9.140625" style="11"/>
    <col min="11774" max="11774" width="5.28515625" style="11" customWidth="1"/>
    <col min="11775" max="11775" width="8" style="11" customWidth="1"/>
    <col min="11776" max="11776" width="5.85546875" style="11" customWidth="1"/>
    <col min="11777" max="11777" width="9.42578125" style="11" customWidth="1"/>
    <col min="11778" max="11778" width="11.28515625" style="11" customWidth="1"/>
    <col min="11779" max="11779" width="11" style="11" customWidth="1"/>
    <col min="11780" max="11780" width="13.140625" style="11" customWidth="1"/>
    <col min="11781" max="11781" width="11.7109375" style="11" customWidth="1"/>
    <col min="11782" max="11782" width="11.140625" style="11" customWidth="1"/>
    <col min="11783" max="11783" width="11.7109375" style="11" customWidth="1"/>
    <col min="11784" max="12029" width="9.140625" style="11"/>
    <col min="12030" max="12030" width="5.28515625" style="11" customWidth="1"/>
    <col min="12031" max="12031" width="8" style="11" customWidth="1"/>
    <col min="12032" max="12032" width="5.85546875" style="11" customWidth="1"/>
    <col min="12033" max="12033" width="9.42578125" style="11" customWidth="1"/>
    <col min="12034" max="12034" width="11.28515625" style="11" customWidth="1"/>
    <col min="12035" max="12035" width="11" style="11" customWidth="1"/>
    <col min="12036" max="12036" width="13.140625" style="11" customWidth="1"/>
    <col min="12037" max="12037" width="11.7109375" style="11" customWidth="1"/>
    <col min="12038" max="12038" width="11.140625" style="11" customWidth="1"/>
    <col min="12039" max="12039" width="11.7109375" style="11" customWidth="1"/>
    <col min="12040" max="12285" width="9.140625" style="11"/>
    <col min="12286" max="12286" width="5.28515625" style="11" customWidth="1"/>
    <col min="12287" max="12287" width="8" style="11" customWidth="1"/>
    <col min="12288" max="12288" width="5.85546875" style="11" customWidth="1"/>
    <col min="12289" max="12289" width="9.42578125" style="11" customWidth="1"/>
    <col min="12290" max="12290" width="11.28515625" style="11" customWidth="1"/>
    <col min="12291" max="12291" width="11" style="11" customWidth="1"/>
    <col min="12292" max="12292" width="13.140625" style="11" customWidth="1"/>
    <col min="12293" max="12293" width="11.7109375" style="11" customWidth="1"/>
    <col min="12294" max="12294" width="11.140625" style="11" customWidth="1"/>
    <col min="12295" max="12295" width="11.7109375" style="11" customWidth="1"/>
    <col min="12296" max="12541" width="9.140625" style="11"/>
    <col min="12542" max="12542" width="5.28515625" style="11" customWidth="1"/>
    <col min="12543" max="12543" width="8" style="11" customWidth="1"/>
    <col min="12544" max="12544" width="5.85546875" style="11" customWidth="1"/>
    <col min="12545" max="12545" width="9.42578125" style="11" customWidth="1"/>
    <col min="12546" max="12546" width="11.28515625" style="11" customWidth="1"/>
    <col min="12547" max="12547" width="11" style="11" customWidth="1"/>
    <col min="12548" max="12548" width="13.140625" style="11" customWidth="1"/>
    <col min="12549" max="12549" width="11.7109375" style="11" customWidth="1"/>
    <col min="12550" max="12550" width="11.140625" style="11" customWidth="1"/>
    <col min="12551" max="12551" width="11.7109375" style="11" customWidth="1"/>
    <col min="12552" max="12797" width="9.140625" style="11"/>
    <col min="12798" max="12798" width="5.28515625" style="11" customWidth="1"/>
    <col min="12799" max="12799" width="8" style="11" customWidth="1"/>
    <col min="12800" max="12800" width="5.85546875" style="11" customWidth="1"/>
    <col min="12801" max="12801" width="9.42578125" style="11" customWidth="1"/>
    <col min="12802" max="12802" width="11.28515625" style="11" customWidth="1"/>
    <col min="12803" max="12803" width="11" style="11" customWidth="1"/>
    <col min="12804" max="12804" width="13.140625" style="11" customWidth="1"/>
    <col min="12805" max="12805" width="11.7109375" style="11" customWidth="1"/>
    <col min="12806" max="12806" width="11.140625" style="11" customWidth="1"/>
    <col min="12807" max="12807" width="11.7109375" style="11" customWidth="1"/>
    <col min="12808" max="13053" width="9.140625" style="11"/>
    <col min="13054" max="13054" width="5.28515625" style="11" customWidth="1"/>
    <col min="13055" max="13055" width="8" style="11" customWidth="1"/>
    <col min="13056" max="13056" width="5.85546875" style="11" customWidth="1"/>
    <col min="13057" max="13057" width="9.42578125" style="11" customWidth="1"/>
    <col min="13058" max="13058" width="11.28515625" style="11" customWidth="1"/>
    <col min="13059" max="13059" width="11" style="11" customWidth="1"/>
    <col min="13060" max="13060" width="13.140625" style="11" customWidth="1"/>
    <col min="13061" max="13061" width="11.7109375" style="11" customWidth="1"/>
    <col min="13062" max="13062" width="11.140625" style="11" customWidth="1"/>
    <col min="13063" max="13063" width="11.7109375" style="11" customWidth="1"/>
    <col min="13064" max="13309" width="9.140625" style="11"/>
    <col min="13310" max="13310" width="5.28515625" style="11" customWidth="1"/>
    <col min="13311" max="13311" width="8" style="11" customWidth="1"/>
    <col min="13312" max="13312" width="5.85546875" style="11" customWidth="1"/>
    <col min="13313" max="13313" width="9.42578125" style="11" customWidth="1"/>
    <col min="13314" max="13314" width="11.28515625" style="11" customWidth="1"/>
    <col min="13315" max="13315" width="11" style="11" customWidth="1"/>
    <col min="13316" max="13316" width="13.140625" style="11" customWidth="1"/>
    <col min="13317" max="13317" width="11.7109375" style="11" customWidth="1"/>
    <col min="13318" max="13318" width="11.140625" style="11" customWidth="1"/>
    <col min="13319" max="13319" width="11.7109375" style="11" customWidth="1"/>
    <col min="13320" max="13565" width="9.140625" style="11"/>
    <col min="13566" max="13566" width="5.28515625" style="11" customWidth="1"/>
    <col min="13567" max="13567" width="8" style="11" customWidth="1"/>
    <col min="13568" max="13568" width="5.85546875" style="11" customWidth="1"/>
    <col min="13569" max="13569" width="9.42578125" style="11" customWidth="1"/>
    <col min="13570" max="13570" width="11.28515625" style="11" customWidth="1"/>
    <col min="13571" max="13571" width="11" style="11" customWidth="1"/>
    <col min="13572" max="13572" width="13.140625" style="11" customWidth="1"/>
    <col min="13573" max="13573" width="11.7109375" style="11" customWidth="1"/>
    <col min="13574" max="13574" width="11.140625" style="11" customWidth="1"/>
    <col min="13575" max="13575" width="11.7109375" style="11" customWidth="1"/>
    <col min="13576" max="13821" width="9.140625" style="11"/>
    <col min="13822" max="13822" width="5.28515625" style="11" customWidth="1"/>
    <col min="13823" max="13823" width="8" style="11" customWidth="1"/>
    <col min="13824" max="13824" width="5.85546875" style="11" customWidth="1"/>
    <col min="13825" max="13825" width="9.42578125" style="11" customWidth="1"/>
    <col min="13826" max="13826" width="11.28515625" style="11" customWidth="1"/>
    <col min="13827" max="13827" width="11" style="11" customWidth="1"/>
    <col min="13828" max="13828" width="13.140625" style="11" customWidth="1"/>
    <col min="13829" max="13829" width="11.7109375" style="11" customWidth="1"/>
    <col min="13830" max="13830" width="11.140625" style="11" customWidth="1"/>
    <col min="13831" max="13831" width="11.7109375" style="11" customWidth="1"/>
    <col min="13832" max="14077" width="9.140625" style="11"/>
    <col min="14078" max="14078" width="5.28515625" style="11" customWidth="1"/>
    <col min="14079" max="14079" width="8" style="11" customWidth="1"/>
    <col min="14080" max="14080" width="5.85546875" style="11" customWidth="1"/>
    <col min="14081" max="14081" width="9.42578125" style="11" customWidth="1"/>
    <col min="14082" max="14082" width="11.28515625" style="11" customWidth="1"/>
    <col min="14083" max="14083" width="11" style="11" customWidth="1"/>
    <col min="14084" max="14084" width="13.140625" style="11" customWidth="1"/>
    <col min="14085" max="14085" width="11.7109375" style="11" customWidth="1"/>
    <col min="14086" max="14086" width="11.140625" style="11" customWidth="1"/>
    <col min="14087" max="14087" width="11.7109375" style="11" customWidth="1"/>
    <col min="14088" max="14333" width="9.140625" style="11"/>
    <col min="14334" max="14334" width="5.28515625" style="11" customWidth="1"/>
    <col min="14335" max="14335" width="8" style="11" customWidth="1"/>
    <col min="14336" max="14336" width="5.85546875" style="11" customWidth="1"/>
    <col min="14337" max="14337" width="9.42578125" style="11" customWidth="1"/>
    <col min="14338" max="14338" width="11.28515625" style="11" customWidth="1"/>
    <col min="14339" max="14339" width="11" style="11" customWidth="1"/>
    <col min="14340" max="14340" width="13.140625" style="11" customWidth="1"/>
    <col min="14341" max="14341" width="11.7109375" style="11" customWidth="1"/>
    <col min="14342" max="14342" width="11.140625" style="11" customWidth="1"/>
    <col min="14343" max="14343" width="11.7109375" style="11" customWidth="1"/>
    <col min="14344" max="14589" width="9.140625" style="11"/>
    <col min="14590" max="14590" width="5.28515625" style="11" customWidth="1"/>
    <col min="14591" max="14591" width="8" style="11" customWidth="1"/>
    <col min="14592" max="14592" width="5.85546875" style="11" customWidth="1"/>
    <col min="14593" max="14593" width="9.42578125" style="11" customWidth="1"/>
    <col min="14594" max="14594" width="11.28515625" style="11" customWidth="1"/>
    <col min="14595" max="14595" width="11" style="11" customWidth="1"/>
    <col min="14596" max="14596" width="13.140625" style="11" customWidth="1"/>
    <col min="14597" max="14597" width="11.7109375" style="11" customWidth="1"/>
    <col min="14598" max="14598" width="11.140625" style="11" customWidth="1"/>
    <col min="14599" max="14599" width="11.7109375" style="11" customWidth="1"/>
    <col min="14600" max="14845" width="9.140625" style="11"/>
    <col min="14846" max="14846" width="5.28515625" style="11" customWidth="1"/>
    <col min="14847" max="14847" width="8" style="11" customWidth="1"/>
    <col min="14848" max="14848" width="5.85546875" style="11" customWidth="1"/>
    <col min="14849" max="14849" width="9.42578125" style="11" customWidth="1"/>
    <col min="14850" max="14850" width="11.28515625" style="11" customWidth="1"/>
    <col min="14851" max="14851" width="11" style="11" customWidth="1"/>
    <col min="14852" max="14852" width="13.140625" style="11" customWidth="1"/>
    <col min="14853" max="14853" width="11.7109375" style="11" customWidth="1"/>
    <col min="14854" max="14854" width="11.140625" style="11" customWidth="1"/>
    <col min="14855" max="14855" width="11.7109375" style="11" customWidth="1"/>
    <col min="14856" max="15101" width="9.140625" style="11"/>
    <col min="15102" max="15102" width="5.28515625" style="11" customWidth="1"/>
    <col min="15103" max="15103" width="8" style="11" customWidth="1"/>
    <col min="15104" max="15104" width="5.85546875" style="11" customWidth="1"/>
    <col min="15105" max="15105" width="9.42578125" style="11" customWidth="1"/>
    <col min="15106" max="15106" width="11.28515625" style="11" customWidth="1"/>
    <col min="15107" max="15107" width="11" style="11" customWidth="1"/>
    <col min="15108" max="15108" width="13.140625" style="11" customWidth="1"/>
    <col min="15109" max="15109" width="11.7109375" style="11" customWidth="1"/>
    <col min="15110" max="15110" width="11.140625" style="11" customWidth="1"/>
    <col min="15111" max="15111" width="11.7109375" style="11" customWidth="1"/>
    <col min="15112" max="15357" width="9.140625" style="11"/>
    <col min="15358" max="15358" width="5.28515625" style="11" customWidth="1"/>
    <col min="15359" max="15359" width="8" style="11" customWidth="1"/>
    <col min="15360" max="15360" width="5.85546875" style="11" customWidth="1"/>
    <col min="15361" max="15361" width="9.42578125" style="11" customWidth="1"/>
    <col min="15362" max="15362" width="11.28515625" style="11" customWidth="1"/>
    <col min="15363" max="15363" width="11" style="11" customWidth="1"/>
    <col min="15364" max="15364" width="13.140625" style="11" customWidth="1"/>
    <col min="15365" max="15365" width="11.7109375" style="11" customWidth="1"/>
    <col min="15366" max="15366" width="11.140625" style="11" customWidth="1"/>
    <col min="15367" max="15367" width="11.7109375" style="11" customWidth="1"/>
    <col min="15368" max="15613" width="9.140625" style="11"/>
    <col min="15614" max="15614" width="5.28515625" style="11" customWidth="1"/>
    <col min="15615" max="15615" width="8" style="11" customWidth="1"/>
    <col min="15616" max="15616" width="5.85546875" style="11" customWidth="1"/>
    <col min="15617" max="15617" width="9.42578125" style="11" customWidth="1"/>
    <col min="15618" max="15618" width="11.28515625" style="11" customWidth="1"/>
    <col min="15619" max="15619" width="11" style="11" customWidth="1"/>
    <col min="15620" max="15620" width="13.140625" style="11" customWidth="1"/>
    <col min="15621" max="15621" width="11.7109375" style="11" customWidth="1"/>
    <col min="15622" max="15622" width="11.140625" style="11" customWidth="1"/>
    <col min="15623" max="15623" width="11.7109375" style="11" customWidth="1"/>
    <col min="15624" max="15869" width="9.140625" style="11"/>
    <col min="15870" max="15870" width="5.28515625" style="11" customWidth="1"/>
    <col min="15871" max="15871" width="8" style="11" customWidth="1"/>
    <col min="15872" max="15872" width="5.85546875" style="11" customWidth="1"/>
    <col min="15873" max="15873" width="9.42578125" style="11" customWidth="1"/>
    <col min="15874" max="15874" width="11.28515625" style="11" customWidth="1"/>
    <col min="15875" max="15875" width="11" style="11" customWidth="1"/>
    <col min="15876" max="15876" width="13.140625" style="11" customWidth="1"/>
    <col min="15877" max="15877" width="11.7109375" style="11" customWidth="1"/>
    <col min="15878" max="15878" width="11.140625" style="11" customWidth="1"/>
    <col min="15879" max="15879" width="11.7109375" style="11" customWidth="1"/>
    <col min="15880" max="16125" width="9.140625" style="11"/>
    <col min="16126" max="16126" width="5.28515625" style="11" customWidth="1"/>
    <col min="16127" max="16127" width="8" style="11" customWidth="1"/>
    <col min="16128" max="16128" width="5.85546875" style="11" customWidth="1"/>
    <col min="16129" max="16129" width="9.42578125" style="11" customWidth="1"/>
    <col min="16130" max="16130" width="11.28515625" style="11" customWidth="1"/>
    <col min="16131" max="16131" width="11" style="11" customWidth="1"/>
    <col min="16132" max="16132" width="13.140625" style="11" customWidth="1"/>
    <col min="16133" max="16133" width="11.7109375" style="11" customWidth="1"/>
    <col min="16134" max="16134" width="11.140625" style="11" customWidth="1"/>
    <col min="16135" max="16135" width="11.7109375" style="11" customWidth="1"/>
    <col min="16136" max="16384" width="9.140625" style="11"/>
  </cols>
  <sheetData>
    <row r="1" spans="1:72" ht="12.75" customHeight="1" x14ac:dyDescent="0.25">
      <c r="A1" s="57"/>
      <c r="F1" s="3" t="s">
        <v>333</v>
      </c>
    </row>
    <row r="2" spans="1:72" ht="12.75" customHeight="1" x14ac:dyDescent="0.25">
      <c r="F2" s="3" t="s">
        <v>469</v>
      </c>
    </row>
    <row r="3" spans="1:72" ht="12.75" customHeight="1" x14ac:dyDescent="0.25">
      <c r="F3" s="3" t="s">
        <v>40</v>
      </c>
    </row>
    <row r="4" spans="1:72" ht="12.75" customHeight="1" x14ac:dyDescent="0.25">
      <c r="F4" s="3" t="s">
        <v>470</v>
      </c>
    </row>
    <row r="5" spans="1:72" ht="12.75" customHeight="1" x14ac:dyDescent="0.25"/>
    <row r="6" spans="1:72" ht="13.5" customHeight="1" x14ac:dyDescent="0.25">
      <c r="A6" s="58" t="s">
        <v>335</v>
      </c>
      <c r="B6" s="58"/>
      <c r="C6" s="58"/>
      <c r="D6" s="58"/>
      <c r="E6" s="58"/>
      <c r="F6" s="58"/>
      <c r="G6" s="58"/>
      <c r="J6" s="1"/>
    </row>
    <row r="7" spans="1:72" ht="12.75" customHeight="1" x14ac:dyDescent="0.25">
      <c r="A7" s="58" t="s">
        <v>336</v>
      </c>
      <c r="B7" s="380"/>
      <c r="C7" s="380"/>
      <c r="D7" s="380"/>
      <c r="E7" s="380"/>
      <c r="F7" s="380"/>
      <c r="G7" s="380"/>
      <c r="J7" s="1"/>
    </row>
    <row r="8" spans="1:72" ht="9" customHeight="1" x14ac:dyDescent="0.25">
      <c r="A8" s="59"/>
      <c r="B8" s="60"/>
      <c r="C8" s="60"/>
      <c r="D8" s="60"/>
      <c r="E8" s="60"/>
      <c r="F8" s="60"/>
      <c r="G8" s="60"/>
      <c r="J8" s="1"/>
    </row>
    <row r="9" spans="1:72" ht="11.25" customHeight="1" x14ac:dyDescent="0.25">
      <c r="G9" s="61" t="s">
        <v>1</v>
      </c>
    </row>
    <row r="10" spans="1:72" s="63" customFormat="1" ht="36.75" customHeight="1" x14ac:dyDescent="0.2">
      <c r="A10" s="381" t="s">
        <v>25</v>
      </c>
      <c r="B10" s="381" t="s">
        <v>30</v>
      </c>
      <c r="C10" s="381" t="s">
        <v>31</v>
      </c>
      <c r="D10" s="381" t="s">
        <v>20</v>
      </c>
      <c r="E10" s="382" t="s">
        <v>5</v>
      </c>
      <c r="F10" s="382" t="s">
        <v>36</v>
      </c>
      <c r="G10" s="382" t="s">
        <v>37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</row>
    <row r="11" spans="1:72" s="66" customFormat="1" ht="10.5" customHeight="1" x14ac:dyDescent="0.2">
      <c r="A11" s="64">
        <v>1</v>
      </c>
      <c r="B11" s="64">
        <v>2</v>
      </c>
      <c r="C11" s="64">
        <v>3</v>
      </c>
      <c r="D11" s="64">
        <v>4</v>
      </c>
      <c r="E11" s="64">
        <v>5</v>
      </c>
      <c r="F11" s="64">
        <v>6</v>
      </c>
      <c r="G11" s="64">
        <v>7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</row>
    <row r="12" spans="1:72" s="76" customFormat="1" ht="15.75" customHeight="1" x14ac:dyDescent="0.2">
      <c r="A12" s="67"/>
      <c r="B12" s="68"/>
      <c r="C12" s="72"/>
      <c r="D12" s="72"/>
      <c r="E12" s="79" t="s">
        <v>51</v>
      </c>
      <c r="F12" s="81">
        <f>5350+9150+36625</f>
        <v>51125</v>
      </c>
      <c r="G12" s="82" t="s">
        <v>32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</row>
    <row r="13" spans="1:72" s="76" customFormat="1" ht="24" x14ac:dyDescent="0.2">
      <c r="A13" s="94" t="s">
        <v>26</v>
      </c>
      <c r="B13" s="95" t="s">
        <v>337</v>
      </c>
      <c r="C13" s="72" t="s">
        <v>38</v>
      </c>
      <c r="D13" s="72" t="s">
        <v>338</v>
      </c>
      <c r="E13" s="69" t="s">
        <v>32</v>
      </c>
      <c r="F13" s="71" t="s">
        <v>32</v>
      </c>
      <c r="G13" s="70">
        <f>SUM(G15)</f>
        <v>51125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</row>
    <row r="14" spans="1:72" s="76" customFormat="1" ht="9" customHeight="1" x14ac:dyDescent="0.2">
      <c r="A14" s="67"/>
      <c r="B14" s="96"/>
      <c r="C14" s="97"/>
      <c r="D14" s="97"/>
      <c r="E14" s="97"/>
      <c r="F14" s="98"/>
      <c r="G14" s="99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</row>
    <row r="15" spans="1:72" s="76" customFormat="1" ht="15.75" customHeight="1" x14ac:dyDescent="0.2">
      <c r="A15" s="100"/>
      <c r="B15" s="101" t="s">
        <v>39</v>
      </c>
      <c r="C15" s="97"/>
      <c r="D15" s="97"/>
      <c r="E15" s="97"/>
      <c r="F15" s="98"/>
      <c r="G15" s="99">
        <f>SUM(G16:G17)</f>
        <v>51125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</row>
    <row r="16" spans="1:72" s="76" customFormat="1" ht="15.75" customHeight="1" x14ac:dyDescent="0.2">
      <c r="A16" s="100"/>
      <c r="B16" s="101"/>
      <c r="C16" s="97"/>
      <c r="D16" s="97"/>
      <c r="E16" s="72" t="s">
        <v>339</v>
      </c>
      <c r="F16" s="73" t="s">
        <v>32</v>
      </c>
      <c r="G16" s="74">
        <v>8500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</row>
    <row r="17" spans="1:72" s="76" customFormat="1" ht="15.75" customHeight="1" x14ac:dyDescent="0.2">
      <c r="A17" s="100"/>
      <c r="B17" s="101"/>
      <c r="C17" s="97"/>
      <c r="D17" s="97"/>
      <c r="E17" s="72" t="s">
        <v>340</v>
      </c>
      <c r="F17" s="73" t="s">
        <v>32</v>
      </c>
      <c r="G17" s="74">
        <f>5350+9150+36625-8500</f>
        <v>42625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</row>
    <row r="18" spans="1:72" s="76" customFormat="1" ht="15.75" customHeight="1" x14ac:dyDescent="0.2">
      <c r="A18" s="77"/>
      <c r="B18" s="78"/>
      <c r="C18" s="102"/>
      <c r="D18" s="79"/>
      <c r="E18" s="79"/>
      <c r="F18" s="82"/>
      <c r="G18" s="80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</row>
    <row r="19" spans="1:72" s="76" customFormat="1" ht="15.75" customHeight="1" x14ac:dyDescent="0.2">
      <c r="A19" s="67"/>
      <c r="B19" s="68"/>
      <c r="C19" s="72"/>
      <c r="D19" s="72"/>
      <c r="E19" s="79" t="s">
        <v>51</v>
      </c>
      <c r="F19" s="81">
        <f>9095+9126+6997+1281+4296+51765</f>
        <v>82560</v>
      </c>
      <c r="G19" s="82" t="s">
        <v>32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</row>
    <row r="20" spans="1:72" s="76" customFormat="1" ht="20.25" customHeight="1" x14ac:dyDescent="0.2">
      <c r="A20" s="94" t="s">
        <v>27</v>
      </c>
      <c r="B20" s="103" t="s">
        <v>341</v>
      </c>
      <c r="C20" s="72" t="s">
        <v>342</v>
      </c>
      <c r="D20" s="72" t="s">
        <v>343</v>
      </c>
      <c r="E20" s="69" t="s">
        <v>32</v>
      </c>
      <c r="F20" s="71" t="s">
        <v>32</v>
      </c>
      <c r="G20" s="70">
        <f>SUM(G22)</f>
        <v>82560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</row>
    <row r="21" spans="1:72" s="76" customFormat="1" ht="10.5" customHeight="1" x14ac:dyDescent="0.2">
      <c r="A21" s="67"/>
      <c r="B21" s="96"/>
      <c r="C21" s="97"/>
      <c r="D21" s="97"/>
      <c r="E21" s="97"/>
      <c r="F21" s="98"/>
      <c r="G21" s="99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</row>
    <row r="22" spans="1:72" s="76" customFormat="1" ht="15.75" customHeight="1" x14ac:dyDescent="0.2">
      <c r="A22" s="100"/>
      <c r="B22" s="101" t="s">
        <v>39</v>
      </c>
      <c r="C22" s="97"/>
      <c r="D22" s="97"/>
      <c r="E22" s="97"/>
      <c r="F22" s="98"/>
      <c r="G22" s="99">
        <f>SUM(G23:G26)</f>
        <v>82560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</row>
    <row r="23" spans="1:72" s="76" customFormat="1" ht="15.75" customHeight="1" x14ac:dyDescent="0.2">
      <c r="A23" s="67"/>
      <c r="B23" s="68"/>
      <c r="C23" s="83"/>
      <c r="D23" s="72"/>
      <c r="E23" s="72" t="s">
        <v>339</v>
      </c>
      <c r="F23" s="73" t="s">
        <v>32</v>
      </c>
      <c r="G23" s="74">
        <f>6793+17721+1255+4296+50257</f>
        <v>80322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</row>
    <row r="24" spans="1:72" s="76" customFormat="1" ht="15.75" customHeight="1" x14ac:dyDescent="0.2">
      <c r="A24" s="67"/>
      <c r="B24" s="68"/>
      <c r="C24" s="83"/>
      <c r="D24" s="72"/>
      <c r="E24" s="72" t="s">
        <v>340</v>
      </c>
      <c r="F24" s="73" t="s">
        <v>32</v>
      </c>
      <c r="G24" s="74">
        <v>30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</row>
    <row r="25" spans="1:72" s="76" customFormat="1" ht="15.75" customHeight="1" x14ac:dyDescent="0.2">
      <c r="A25" s="67"/>
      <c r="B25" s="68"/>
      <c r="C25" s="83"/>
      <c r="D25" s="72"/>
      <c r="E25" s="72" t="s">
        <v>344</v>
      </c>
      <c r="F25" s="73" t="s">
        <v>32</v>
      </c>
      <c r="G25" s="74">
        <f>92+470+21+1258</f>
        <v>1841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</row>
    <row r="26" spans="1:72" s="76" customFormat="1" ht="15.75" customHeight="1" x14ac:dyDescent="0.2">
      <c r="A26" s="67"/>
      <c r="B26" s="68"/>
      <c r="C26" s="83"/>
      <c r="D26" s="72"/>
      <c r="E26" s="72" t="s">
        <v>345</v>
      </c>
      <c r="F26" s="73" t="s">
        <v>32</v>
      </c>
      <c r="G26" s="74">
        <f>112+5+250</f>
        <v>367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</row>
    <row r="27" spans="1:72" s="76" customFormat="1" ht="15.75" customHeight="1" x14ac:dyDescent="0.2">
      <c r="A27" s="77"/>
      <c r="B27" s="78"/>
      <c r="C27" s="102"/>
      <c r="D27" s="79"/>
      <c r="E27" s="79"/>
      <c r="F27" s="82"/>
      <c r="G27" s="80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</row>
    <row r="28" spans="1:72" s="76" customFormat="1" ht="15.75" customHeight="1" x14ac:dyDescent="0.2">
      <c r="A28" s="67"/>
      <c r="B28" s="68"/>
      <c r="C28" s="72"/>
      <c r="D28" s="72"/>
      <c r="E28" s="79" t="s">
        <v>51</v>
      </c>
      <c r="F28" s="81">
        <f>119646+106488+19584+20502+11322+7038+12852+12546+5508+6426+18972</f>
        <v>340884</v>
      </c>
      <c r="G28" s="82" t="s">
        <v>32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</row>
    <row r="29" spans="1:72" s="76" customFormat="1" ht="24" x14ac:dyDescent="0.2">
      <c r="A29" s="94" t="s">
        <v>28</v>
      </c>
      <c r="B29" s="95" t="s">
        <v>346</v>
      </c>
      <c r="C29" s="72" t="s">
        <v>347</v>
      </c>
      <c r="D29" s="72" t="s">
        <v>348</v>
      </c>
      <c r="E29" s="69" t="s">
        <v>32</v>
      </c>
      <c r="F29" s="71" t="s">
        <v>32</v>
      </c>
      <c r="G29" s="70">
        <f>SUM(G31)</f>
        <v>340884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</row>
    <row r="30" spans="1:72" s="76" customFormat="1" ht="10.5" customHeight="1" x14ac:dyDescent="0.2">
      <c r="A30" s="67"/>
      <c r="B30" s="96"/>
      <c r="C30" s="97"/>
      <c r="D30" s="97"/>
      <c r="E30" s="97"/>
      <c r="F30" s="98"/>
      <c r="G30" s="99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</row>
    <row r="31" spans="1:72" s="76" customFormat="1" ht="15.75" customHeight="1" x14ac:dyDescent="0.2">
      <c r="A31" s="100"/>
      <c r="B31" s="101" t="s">
        <v>39</v>
      </c>
      <c r="C31" s="97"/>
      <c r="D31" s="97"/>
      <c r="E31" s="97"/>
      <c r="F31" s="98"/>
      <c r="G31" s="99">
        <f>SUM(G32:G34)</f>
        <v>340884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</row>
    <row r="32" spans="1:72" s="76" customFormat="1" ht="15.75" customHeight="1" x14ac:dyDescent="0.2">
      <c r="A32" s="67"/>
      <c r="B32" s="68"/>
      <c r="C32" s="72"/>
      <c r="D32" s="72"/>
      <c r="E32" s="72" t="s">
        <v>339</v>
      </c>
      <c r="F32" s="73" t="s">
        <v>32</v>
      </c>
      <c r="G32" s="74">
        <f>12600+279000+5400+12300+6300+18600</f>
        <v>334200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</row>
    <row r="33" spans="1:72" s="76" customFormat="1" ht="15.75" customHeight="1" x14ac:dyDescent="0.2">
      <c r="A33" s="67"/>
      <c r="B33" s="68"/>
      <c r="C33" s="83"/>
      <c r="D33" s="72"/>
      <c r="E33" s="72" t="s">
        <v>344</v>
      </c>
      <c r="F33" s="73" t="s">
        <v>32</v>
      </c>
      <c r="G33" s="74">
        <f>210+4638+90+205+105+310</f>
        <v>5558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</row>
    <row r="34" spans="1:72" s="76" customFormat="1" ht="15.75" customHeight="1" x14ac:dyDescent="0.2">
      <c r="A34" s="67"/>
      <c r="B34" s="68"/>
      <c r="C34" s="83"/>
      <c r="D34" s="72"/>
      <c r="E34" s="72" t="s">
        <v>345</v>
      </c>
      <c r="F34" s="73" t="s">
        <v>32</v>
      </c>
      <c r="G34" s="74">
        <f>42+815+115+12+18+41+21+62</f>
        <v>1126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</row>
    <row r="35" spans="1:72" s="76" customFormat="1" ht="15.75" customHeight="1" x14ac:dyDescent="0.2">
      <c r="A35" s="77"/>
      <c r="B35" s="78"/>
      <c r="C35" s="102"/>
      <c r="D35" s="79"/>
      <c r="E35" s="79"/>
      <c r="F35" s="82"/>
      <c r="G35" s="80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</row>
    <row r="36" spans="1:72" s="76" customFormat="1" ht="21.75" customHeight="1" x14ac:dyDescent="0.2">
      <c r="A36" s="67"/>
      <c r="B36" s="68"/>
      <c r="C36" s="72" t="s">
        <v>334</v>
      </c>
      <c r="D36" s="72" t="s">
        <v>48</v>
      </c>
      <c r="E36" s="79" t="s">
        <v>51</v>
      </c>
      <c r="F36" s="81">
        <f>55248+183549+25396+225667+26112+20400+296179+19787+194352+194468+19414+186935+43176</f>
        <v>1490683</v>
      </c>
      <c r="G36" s="82" t="s">
        <v>32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</row>
    <row r="37" spans="1:72" s="76" customFormat="1" ht="25.5" customHeight="1" x14ac:dyDescent="0.2">
      <c r="A37" s="94" t="s">
        <v>29</v>
      </c>
      <c r="B37" s="95" t="s">
        <v>349</v>
      </c>
      <c r="C37" s="72"/>
      <c r="D37" s="72"/>
      <c r="E37" s="69" t="s">
        <v>32</v>
      </c>
      <c r="F37" s="71" t="s">
        <v>32</v>
      </c>
      <c r="G37" s="70">
        <f>SUM(G40,G50,G60,G70,G75,G85,G95,G105,G110,G119,G124,G132)</f>
        <v>1490682.9999999998</v>
      </c>
      <c r="H37" s="75"/>
      <c r="I37" s="383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</row>
    <row r="38" spans="1:72" s="76" customFormat="1" ht="7.5" customHeight="1" x14ac:dyDescent="0.2">
      <c r="A38" s="67"/>
      <c r="B38" s="68"/>
      <c r="C38" s="83"/>
      <c r="D38" s="72"/>
      <c r="E38" s="72"/>
      <c r="F38" s="73"/>
      <c r="G38" s="74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</row>
    <row r="39" spans="1:72" s="76" customFormat="1" ht="12.75" customHeight="1" x14ac:dyDescent="0.2">
      <c r="A39" s="67"/>
      <c r="B39" s="68"/>
      <c r="C39" s="83"/>
      <c r="D39" s="72"/>
      <c r="E39" s="72"/>
      <c r="F39" s="73"/>
      <c r="G39" s="74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</row>
    <row r="40" spans="1:72" s="76" customFormat="1" ht="15.75" customHeight="1" x14ac:dyDescent="0.2">
      <c r="A40" s="67"/>
      <c r="B40" s="101" t="s">
        <v>105</v>
      </c>
      <c r="C40" s="72" t="s">
        <v>350</v>
      </c>
      <c r="D40" s="72" t="s">
        <v>351</v>
      </c>
      <c r="E40" s="69" t="s">
        <v>32</v>
      </c>
      <c r="F40" s="71" t="s">
        <v>32</v>
      </c>
      <c r="G40" s="70">
        <f>SUM(G42)</f>
        <v>1175400.1200000001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</row>
    <row r="41" spans="1:72" s="76" customFormat="1" ht="7.5" customHeight="1" x14ac:dyDescent="0.2">
      <c r="A41" s="67"/>
      <c r="B41" s="68"/>
      <c r="C41" s="83"/>
      <c r="D41" s="72"/>
      <c r="E41" s="72"/>
      <c r="F41" s="73"/>
      <c r="G41" s="74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</row>
    <row r="42" spans="1:72" s="76" customFormat="1" ht="15.75" customHeight="1" x14ac:dyDescent="0.2">
      <c r="A42" s="67"/>
      <c r="B42" s="68"/>
      <c r="C42" s="83"/>
      <c r="D42" s="72"/>
      <c r="E42" s="97"/>
      <c r="F42" s="98"/>
      <c r="G42" s="99">
        <f>SUM(G43:G48)</f>
        <v>1175400.1200000001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</row>
    <row r="43" spans="1:72" s="76" customFormat="1" ht="15.75" customHeight="1" x14ac:dyDescent="0.2">
      <c r="A43" s="67"/>
      <c r="B43" s="68"/>
      <c r="C43" s="83"/>
      <c r="D43" s="72"/>
      <c r="E43" s="72" t="s">
        <v>86</v>
      </c>
      <c r="F43" s="73" t="s">
        <v>32</v>
      </c>
      <c r="G43" s="74">
        <f>6956.19+152362+982.22</f>
        <v>160300.41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</row>
    <row r="44" spans="1:72" s="76" customFormat="1" ht="15.75" customHeight="1" x14ac:dyDescent="0.2">
      <c r="A44" s="67"/>
      <c r="B44" s="68"/>
      <c r="C44" s="83"/>
      <c r="D44" s="72"/>
      <c r="E44" s="72" t="s">
        <v>340</v>
      </c>
      <c r="F44" s="73" t="s">
        <v>32</v>
      </c>
      <c r="G44" s="74">
        <f>4832.25+747.09+2550</f>
        <v>8129.34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</row>
    <row r="45" spans="1:72" s="76" customFormat="1" ht="15.75" customHeight="1" x14ac:dyDescent="0.2">
      <c r="A45" s="67"/>
      <c r="B45" s="68"/>
      <c r="C45" s="83"/>
      <c r="D45" s="72"/>
      <c r="E45" s="72" t="s">
        <v>344</v>
      </c>
      <c r="F45" s="73" t="s">
        <v>32</v>
      </c>
      <c r="G45" s="74">
        <f>23300+23803.29-7052.34+27</f>
        <v>40077.949999999997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</row>
    <row r="46" spans="1:72" s="76" customFormat="1" ht="15.75" customHeight="1" x14ac:dyDescent="0.2">
      <c r="A46" s="67"/>
      <c r="B46" s="68"/>
      <c r="C46" s="83"/>
      <c r="D46" s="72"/>
      <c r="E46" s="72" t="s">
        <v>352</v>
      </c>
      <c r="F46" s="73" t="s">
        <v>32</v>
      </c>
      <c r="G46" s="74">
        <f>212347.85+304328.54+135776.15-179292.49-18060.81+109303.95+122149.3-16250</f>
        <v>670302.49000000011</v>
      </c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</row>
    <row r="47" spans="1:72" s="76" customFormat="1" ht="15.75" customHeight="1" x14ac:dyDescent="0.2">
      <c r="A47" s="67"/>
      <c r="B47" s="68"/>
      <c r="C47" s="83"/>
      <c r="D47" s="72"/>
      <c r="E47" s="72" t="s">
        <v>345</v>
      </c>
      <c r="F47" s="73" t="s">
        <v>32</v>
      </c>
      <c r="G47" s="74">
        <f>49549.15+79640.81+33183.81-10197.27+57265.18+29666.1-1500</f>
        <v>237607.78</v>
      </c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</row>
    <row r="48" spans="1:72" s="76" customFormat="1" ht="15.75" customHeight="1" x14ac:dyDescent="0.2">
      <c r="A48" s="67"/>
      <c r="B48" s="68"/>
      <c r="C48" s="83"/>
      <c r="D48" s="72"/>
      <c r="E48" s="72" t="s">
        <v>353</v>
      </c>
      <c r="F48" s="73" t="s">
        <v>32</v>
      </c>
      <c r="G48" s="74">
        <f>40704.02+2176.91+16101.22</f>
        <v>58982.149999999994</v>
      </c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</row>
    <row r="49" spans="1:72" s="76" customFormat="1" ht="12.75" customHeight="1" x14ac:dyDescent="0.2">
      <c r="A49" s="77"/>
      <c r="B49" s="78"/>
      <c r="C49" s="102"/>
      <c r="D49" s="79"/>
      <c r="E49" s="79"/>
      <c r="F49" s="82"/>
      <c r="G49" s="80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</row>
    <row r="50" spans="1:72" s="76" customFormat="1" ht="21.75" customHeight="1" x14ac:dyDescent="0.2">
      <c r="A50" s="67"/>
      <c r="B50" s="101" t="s">
        <v>105</v>
      </c>
      <c r="C50" s="72" t="s">
        <v>350</v>
      </c>
      <c r="D50" s="72" t="s">
        <v>354</v>
      </c>
      <c r="E50" s="79" t="s">
        <v>32</v>
      </c>
      <c r="F50" s="82" t="s">
        <v>32</v>
      </c>
      <c r="G50" s="81">
        <f>SUM(G52)</f>
        <v>27892.26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</row>
    <row r="51" spans="1:72" s="76" customFormat="1" ht="12.75" customHeight="1" x14ac:dyDescent="0.2">
      <c r="A51" s="67"/>
      <c r="B51" s="68"/>
      <c r="C51" s="83"/>
      <c r="D51" s="72"/>
      <c r="E51" s="72"/>
      <c r="F51" s="73"/>
      <c r="G51" s="74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</row>
    <row r="52" spans="1:72" s="76" customFormat="1" ht="15.75" customHeight="1" x14ac:dyDescent="0.2">
      <c r="A52" s="67"/>
      <c r="B52" s="68"/>
      <c r="C52" s="83"/>
      <c r="D52" s="72"/>
      <c r="E52" s="97"/>
      <c r="F52" s="98"/>
      <c r="G52" s="99">
        <f>SUM(G53:G58)</f>
        <v>27892.26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</row>
    <row r="53" spans="1:72" s="76" customFormat="1" ht="15.75" customHeight="1" x14ac:dyDescent="0.2">
      <c r="A53" s="67"/>
      <c r="B53" s="68"/>
      <c r="C53" s="83"/>
      <c r="D53" s="72"/>
      <c r="E53" s="72" t="s">
        <v>86</v>
      </c>
      <c r="F53" s="73" t="s">
        <v>32</v>
      </c>
      <c r="G53" s="74">
        <f>14000</f>
        <v>14000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</row>
    <row r="54" spans="1:72" s="76" customFormat="1" ht="15.75" customHeight="1" x14ac:dyDescent="0.2">
      <c r="A54" s="67"/>
      <c r="B54" s="68"/>
      <c r="C54" s="83"/>
      <c r="D54" s="72"/>
      <c r="E54" s="72" t="s">
        <v>340</v>
      </c>
      <c r="F54" s="73" t="s">
        <v>32</v>
      </c>
      <c r="G54" s="74">
        <f>412.5</f>
        <v>412.5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</row>
    <row r="55" spans="1:72" s="76" customFormat="1" ht="15.75" customHeight="1" x14ac:dyDescent="0.2">
      <c r="A55" s="67"/>
      <c r="B55" s="68"/>
      <c r="C55" s="83"/>
      <c r="D55" s="72"/>
      <c r="E55" s="72" t="s">
        <v>344</v>
      </c>
      <c r="F55" s="73" t="s">
        <v>32</v>
      </c>
      <c r="G55" s="74">
        <f>3900-200</f>
        <v>3700</v>
      </c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</row>
    <row r="56" spans="1:72" s="76" customFormat="1" ht="15.75" customHeight="1" x14ac:dyDescent="0.2">
      <c r="A56" s="67"/>
      <c r="B56" s="68"/>
      <c r="C56" s="83"/>
      <c r="D56" s="72"/>
      <c r="E56" s="72" t="s">
        <v>352</v>
      </c>
      <c r="F56" s="73" t="s">
        <v>32</v>
      </c>
      <c r="G56" s="74">
        <f>12295-12000+5742.73</f>
        <v>6037.73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</row>
    <row r="57" spans="1:72" s="76" customFormat="1" ht="15.75" customHeight="1" x14ac:dyDescent="0.2">
      <c r="A57" s="67"/>
      <c r="B57" s="68"/>
      <c r="C57" s="83"/>
      <c r="D57" s="72"/>
      <c r="E57" s="72" t="s">
        <v>345</v>
      </c>
      <c r="F57" s="73" t="s">
        <v>32</v>
      </c>
      <c r="G57" s="74">
        <f>4138.51-2000+1403.52</f>
        <v>3542.03</v>
      </c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</row>
    <row r="58" spans="1:72" s="76" customFormat="1" ht="15.75" customHeight="1" x14ac:dyDescent="0.2">
      <c r="A58" s="67"/>
      <c r="B58" s="68"/>
      <c r="C58" s="83"/>
      <c r="D58" s="72"/>
      <c r="E58" s="72" t="s">
        <v>353</v>
      </c>
      <c r="F58" s="73" t="s">
        <v>32</v>
      </c>
      <c r="G58" s="74">
        <f>200</f>
        <v>200</v>
      </c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</row>
    <row r="59" spans="1:72" s="76" customFormat="1" ht="12.75" customHeight="1" x14ac:dyDescent="0.2">
      <c r="A59" s="67"/>
      <c r="B59" s="68"/>
      <c r="C59" s="83"/>
      <c r="D59" s="72"/>
      <c r="E59" s="72"/>
      <c r="F59" s="73"/>
      <c r="G59" s="74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</row>
    <row r="60" spans="1:72" s="76" customFormat="1" ht="15.75" customHeight="1" x14ac:dyDescent="0.2">
      <c r="A60" s="67"/>
      <c r="B60" s="101" t="s">
        <v>105</v>
      </c>
      <c r="C60" s="72" t="s">
        <v>350</v>
      </c>
      <c r="D60" s="72" t="s">
        <v>355</v>
      </c>
      <c r="E60" s="69" t="s">
        <v>32</v>
      </c>
      <c r="F60" s="71" t="s">
        <v>32</v>
      </c>
      <c r="G60" s="70">
        <f>SUM(G62)</f>
        <v>124181.54999999999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</row>
    <row r="61" spans="1:72" s="76" customFormat="1" ht="6.75" customHeight="1" x14ac:dyDescent="0.2">
      <c r="A61" s="67"/>
      <c r="B61" s="68"/>
      <c r="C61" s="83"/>
      <c r="D61" s="72"/>
      <c r="E61" s="72"/>
      <c r="F61" s="73"/>
      <c r="G61" s="74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</row>
    <row r="62" spans="1:72" s="76" customFormat="1" ht="15.75" customHeight="1" x14ac:dyDescent="0.2">
      <c r="A62" s="67"/>
      <c r="B62" s="68"/>
      <c r="C62" s="83"/>
      <c r="D62" s="72"/>
      <c r="E62" s="97"/>
      <c r="F62" s="98"/>
      <c r="G62" s="99">
        <f>SUM(G63:G68)</f>
        <v>124181.54999999999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</row>
    <row r="63" spans="1:72" s="76" customFormat="1" ht="15.75" customHeight="1" x14ac:dyDescent="0.2">
      <c r="A63" s="67"/>
      <c r="B63" s="68"/>
      <c r="C63" s="83"/>
      <c r="D63" s="72"/>
      <c r="E63" s="72" t="s">
        <v>86</v>
      </c>
      <c r="F63" s="73" t="s">
        <v>32</v>
      </c>
      <c r="G63" s="74">
        <f>23691.12+150+18060.81+21399.75+11389.18</f>
        <v>74690.86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</row>
    <row r="64" spans="1:72" s="76" customFormat="1" ht="15.75" customHeight="1" x14ac:dyDescent="0.2">
      <c r="A64" s="67"/>
      <c r="B64" s="68"/>
      <c r="C64" s="83"/>
      <c r="D64" s="72"/>
      <c r="E64" s="72" t="s">
        <v>340</v>
      </c>
      <c r="F64" s="73" t="s">
        <v>32</v>
      </c>
      <c r="G64" s="74">
        <f>59.35+5514.25</f>
        <v>5573.6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</row>
    <row r="65" spans="1:72" s="76" customFormat="1" ht="15.75" customHeight="1" x14ac:dyDescent="0.2">
      <c r="A65" s="67"/>
      <c r="B65" s="68"/>
      <c r="C65" s="83"/>
      <c r="D65" s="72"/>
      <c r="E65" s="72" t="s">
        <v>344</v>
      </c>
      <c r="F65" s="73" t="s">
        <v>32</v>
      </c>
      <c r="G65" s="74">
        <f>2000+7149.84-1110.28</f>
        <v>8039.56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</row>
    <row r="66" spans="1:72" s="76" customFormat="1" ht="15.75" customHeight="1" x14ac:dyDescent="0.2">
      <c r="A66" s="67"/>
      <c r="B66" s="68"/>
      <c r="C66" s="83"/>
      <c r="D66" s="72"/>
      <c r="E66" s="72" t="s">
        <v>352</v>
      </c>
      <c r="F66" s="73" t="s">
        <v>32</v>
      </c>
      <c r="G66" s="74">
        <f>20405.04-1481.12+16738.05+920.24-27889.6</f>
        <v>8692.61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</row>
    <row r="67" spans="1:72" s="76" customFormat="1" ht="15.75" customHeight="1" x14ac:dyDescent="0.2">
      <c r="A67" s="67"/>
      <c r="B67" s="68"/>
      <c r="C67" s="83"/>
      <c r="D67" s="72"/>
      <c r="E67" s="72" t="s">
        <v>345</v>
      </c>
      <c r="F67" s="73" t="s">
        <v>32</v>
      </c>
      <c r="G67" s="74">
        <f>392.8+1530.93+4987-313.11+8769.5+224.9-9429.06</f>
        <v>6162.9599999999991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</row>
    <row r="68" spans="1:72" s="76" customFormat="1" ht="15.75" customHeight="1" x14ac:dyDescent="0.2">
      <c r="A68" s="67"/>
      <c r="B68" s="68"/>
      <c r="C68" s="83"/>
      <c r="D68" s="72"/>
      <c r="E68" s="72" t="s">
        <v>353</v>
      </c>
      <c r="F68" s="73" t="s">
        <v>32</v>
      </c>
      <c r="G68" s="74">
        <f>288.06+109.61+20624.29</f>
        <v>21021.96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</row>
    <row r="69" spans="1:72" s="76" customFormat="1" ht="15.75" customHeight="1" x14ac:dyDescent="0.2">
      <c r="A69" s="67"/>
      <c r="B69" s="68"/>
      <c r="C69" s="83"/>
      <c r="D69" s="72"/>
      <c r="E69" s="72"/>
      <c r="F69" s="73"/>
      <c r="G69" s="74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</row>
    <row r="70" spans="1:72" s="76" customFormat="1" ht="15.75" customHeight="1" x14ac:dyDescent="0.2">
      <c r="A70" s="67"/>
      <c r="B70" s="101" t="s">
        <v>102</v>
      </c>
      <c r="C70" s="72" t="s">
        <v>350</v>
      </c>
      <c r="D70" s="72" t="s">
        <v>355</v>
      </c>
      <c r="E70" s="69" t="s">
        <v>32</v>
      </c>
      <c r="F70" s="71" t="s">
        <v>32</v>
      </c>
      <c r="G70" s="70">
        <f>SUM(G72)</f>
        <v>5592.63</v>
      </c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</row>
    <row r="71" spans="1:72" s="76" customFormat="1" ht="15.75" customHeight="1" x14ac:dyDescent="0.2">
      <c r="A71" s="67"/>
      <c r="B71" s="68"/>
      <c r="C71" s="83"/>
      <c r="D71" s="72"/>
      <c r="E71" s="72"/>
      <c r="F71" s="73"/>
      <c r="G71" s="74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</row>
    <row r="72" spans="1:72" s="76" customFormat="1" ht="15.75" customHeight="1" x14ac:dyDescent="0.2">
      <c r="A72" s="67"/>
      <c r="B72" s="68"/>
      <c r="C72" s="83"/>
      <c r="D72" s="72"/>
      <c r="E72" s="97"/>
      <c r="F72" s="98"/>
      <c r="G72" s="99">
        <f>SUM(G73)</f>
        <v>5592.63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</row>
    <row r="73" spans="1:72" s="76" customFormat="1" ht="15.75" customHeight="1" x14ac:dyDescent="0.2">
      <c r="A73" s="67"/>
      <c r="B73" s="68"/>
      <c r="C73" s="83"/>
      <c r="D73" s="72"/>
      <c r="E73" s="72" t="s">
        <v>122</v>
      </c>
      <c r="F73" s="73" t="s">
        <v>32</v>
      </c>
      <c r="G73" s="74">
        <f>2391.32+3201.31</f>
        <v>5592.63</v>
      </c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</row>
    <row r="74" spans="1:72" s="76" customFormat="1" ht="12.75" customHeight="1" x14ac:dyDescent="0.2">
      <c r="A74" s="67"/>
      <c r="B74" s="68"/>
      <c r="C74" s="83"/>
      <c r="D74" s="72"/>
      <c r="E74" s="72"/>
      <c r="F74" s="73"/>
      <c r="G74" s="74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</row>
    <row r="75" spans="1:72" s="76" customFormat="1" ht="15.75" customHeight="1" x14ac:dyDescent="0.2">
      <c r="A75" s="67"/>
      <c r="B75" s="101" t="s">
        <v>105</v>
      </c>
      <c r="C75" s="72" t="s">
        <v>350</v>
      </c>
      <c r="D75" s="72" t="s">
        <v>356</v>
      </c>
      <c r="E75" s="69" t="s">
        <v>32</v>
      </c>
      <c r="F75" s="71" t="s">
        <v>32</v>
      </c>
      <c r="G75" s="70">
        <f>SUM(G77)</f>
        <v>13860.42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</row>
    <row r="76" spans="1:72" s="76" customFormat="1" ht="8.25" customHeight="1" x14ac:dyDescent="0.2">
      <c r="A76" s="67"/>
      <c r="B76" s="68"/>
      <c r="C76" s="83"/>
      <c r="D76" s="72"/>
      <c r="E76" s="72"/>
      <c r="F76" s="73"/>
      <c r="G76" s="74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</row>
    <row r="77" spans="1:72" s="76" customFormat="1" ht="15.75" customHeight="1" x14ac:dyDescent="0.2">
      <c r="A77" s="67"/>
      <c r="B77" s="68"/>
      <c r="C77" s="83"/>
      <c r="D77" s="72"/>
      <c r="E77" s="97"/>
      <c r="F77" s="98"/>
      <c r="G77" s="99">
        <f>SUM(G78:G83)</f>
        <v>13860.42</v>
      </c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</row>
    <row r="78" spans="1:72" s="76" customFormat="1" ht="15.75" customHeight="1" x14ac:dyDescent="0.2">
      <c r="A78" s="67"/>
      <c r="B78" s="68"/>
      <c r="C78" s="83"/>
      <c r="D78" s="72"/>
      <c r="E78" s="72" t="s">
        <v>86</v>
      </c>
      <c r="F78" s="73" t="s">
        <v>32</v>
      </c>
      <c r="G78" s="74">
        <f>8000</f>
        <v>8000</v>
      </c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</row>
    <row r="79" spans="1:72" s="76" customFormat="1" ht="15.75" customHeight="1" x14ac:dyDescent="0.2">
      <c r="A79" s="67"/>
      <c r="B79" s="68"/>
      <c r="C79" s="83"/>
      <c r="D79" s="72"/>
      <c r="E79" s="72" t="s">
        <v>340</v>
      </c>
      <c r="F79" s="73" t="s">
        <v>32</v>
      </c>
      <c r="G79" s="74">
        <f>50</f>
        <v>50</v>
      </c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</row>
    <row r="80" spans="1:72" s="76" customFormat="1" ht="15.75" customHeight="1" x14ac:dyDescent="0.2">
      <c r="A80" s="67"/>
      <c r="B80" s="68"/>
      <c r="C80" s="83"/>
      <c r="D80" s="72"/>
      <c r="E80" s="72" t="s">
        <v>344</v>
      </c>
      <c r="F80" s="73" t="s">
        <v>32</v>
      </c>
      <c r="G80" s="74">
        <f>3000-3000</f>
        <v>0</v>
      </c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</row>
    <row r="81" spans="1:72" s="76" customFormat="1" ht="15.75" customHeight="1" x14ac:dyDescent="0.2">
      <c r="A81" s="67"/>
      <c r="B81" s="68"/>
      <c r="C81" s="83"/>
      <c r="D81" s="72"/>
      <c r="E81" s="72" t="s">
        <v>352</v>
      </c>
      <c r="F81" s="73" t="s">
        <v>32</v>
      </c>
      <c r="G81" s="74">
        <f>5000-5000+4235.95</f>
        <v>4235.95</v>
      </c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</row>
    <row r="82" spans="1:72" s="76" customFormat="1" ht="15.75" customHeight="1" x14ac:dyDescent="0.2">
      <c r="A82" s="67"/>
      <c r="B82" s="68"/>
      <c r="C82" s="83"/>
      <c r="D82" s="72"/>
      <c r="E82" s="72" t="s">
        <v>345</v>
      </c>
      <c r="F82" s="73" t="s">
        <v>32</v>
      </c>
      <c r="G82" s="74">
        <f>589.2-100+1035.27</f>
        <v>1524.47</v>
      </c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</row>
    <row r="83" spans="1:72" s="76" customFormat="1" ht="15.75" customHeight="1" x14ac:dyDescent="0.2">
      <c r="A83" s="67"/>
      <c r="B83" s="68"/>
      <c r="C83" s="83"/>
      <c r="D83" s="72"/>
      <c r="E83" s="72" t="s">
        <v>353</v>
      </c>
      <c r="F83" s="73" t="s">
        <v>32</v>
      </c>
      <c r="G83" s="74">
        <f>50</f>
        <v>50</v>
      </c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</row>
    <row r="84" spans="1:72" s="76" customFormat="1" ht="12.75" customHeight="1" x14ac:dyDescent="0.2">
      <c r="A84" s="67"/>
      <c r="B84" s="68"/>
      <c r="C84" s="83"/>
      <c r="D84" s="72"/>
      <c r="E84" s="72"/>
      <c r="F84" s="73"/>
      <c r="G84" s="74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</row>
    <row r="85" spans="1:72" s="76" customFormat="1" ht="15.75" customHeight="1" x14ac:dyDescent="0.2">
      <c r="A85" s="67"/>
      <c r="B85" s="101" t="s">
        <v>105</v>
      </c>
      <c r="C85" s="72" t="s">
        <v>350</v>
      </c>
      <c r="D85" s="72" t="s">
        <v>357</v>
      </c>
      <c r="E85" s="69" t="s">
        <v>32</v>
      </c>
      <c r="F85" s="71" t="s">
        <v>32</v>
      </c>
      <c r="G85" s="70">
        <f>SUM(G87)</f>
        <v>20695.399999999998</v>
      </c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</row>
    <row r="86" spans="1:72" s="76" customFormat="1" ht="15.75" customHeight="1" x14ac:dyDescent="0.2">
      <c r="A86" s="67"/>
      <c r="B86" s="68"/>
      <c r="C86" s="83"/>
      <c r="D86" s="72"/>
      <c r="E86" s="72"/>
      <c r="F86" s="73"/>
      <c r="G86" s="74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</row>
    <row r="87" spans="1:72" s="76" customFormat="1" ht="15.75" customHeight="1" x14ac:dyDescent="0.2">
      <c r="A87" s="67"/>
      <c r="B87" s="68"/>
      <c r="C87" s="83"/>
      <c r="D87" s="72"/>
      <c r="E87" s="97"/>
      <c r="F87" s="98"/>
      <c r="G87" s="99">
        <f>SUM(G88:G93)</f>
        <v>20695.399999999998</v>
      </c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</row>
    <row r="88" spans="1:72" s="76" customFormat="1" ht="15.75" customHeight="1" x14ac:dyDescent="0.2">
      <c r="A88" s="67"/>
      <c r="B88" s="68"/>
      <c r="C88" s="83"/>
      <c r="D88" s="72"/>
      <c r="E88" s="72" t="s">
        <v>86</v>
      </c>
      <c r="F88" s="73" t="s">
        <v>32</v>
      </c>
      <c r="G88" s="74">
        <f>739-739</f>
        <v>0</v>
      </c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</row>
    <row r="89" spans="1:72" s="76" customFormat="1" ht="15.75" customHeight="1" x14ac:dyDescent="0.2">
      <c r="A89" s="67"/>
      <c r="B89" s="68"/>
      <c r="C89" s="83"/>
      <c r="D89" s="72"/>
      <c r="E89" s="72" t="s">
        <v>340</v>
      </c>
      <c r="F89" s="73" t="s">
        <v>32</v>
      </c>
      <c r="G89" s="74">
        <f>35.47-21.96</f>
        <v>13.509999999999998</v>
      </c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</row>
    <row r="90" spans="1:72" s="76" customFormat="1" ht="15.75" customHeight="1" x14ac:dyDescent="0.2">
      <c r="A90" s="67"/>
      <c r="B90" s="68"/>
      <c r="C90" s="83"/>
      <c r="D90" s="72"/>
      <c r="E90" s="72" t="s">
        <v>344</v>
      </c>
      <c r="F90" s="73" t="s">
        <v>32</v>
      </c>
      <c r="G90" s="74">
        <f>60-60</f>
        <v>0</v>
      </c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</row>
    <row r="91" spans="1:72" s="76" customFormat="1" ht="15.75" customHeight="1" x14ac:dyDescent="0.2">
      <c r="A91" s="67"/>
      <c r="B91" s="68"/>
      <c r="C91" s="83"/>
      <c r="D91" s="72"/>
      <c r="E91" s="72" t="s">
        <v>352</v>
      </c>
      <c r="F91" s="73" t="s">
        <v>32</v>
      </c>
      <c r="G91" s="74">
        <f>1800+9128.31+742.19-697.01+744.88+4911.4</f>
        <v>16629.769999999997</v>
      </c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</row>
    <row r="92" spans="1:72" s="76" customFormat="1" ht="15.75" customHeight="1" x14ac:dyDescent="0.2">
      <c r="A92" s="67"/>
      <c r="B92" s="68"/>
      <c r="C92" s="83"/>
      <c r="D92" s="72"/>
      <c r="E92" s="72" t="s">
        <v>345</v>
      </c>
      <c r="F92" s="73" t="s">
        <v>32</v>
      </c>
      <c r="G92" s="74">
        <f>1021.9+2068.02+181.42-835.95+182.05+1344.34</f>
        <v>3961.7800000000007</v>
      </c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</row>
    <row r="93" spans="1:72" s="76" customFormat="1" ht="15.75" customHeight="1" x14ac:dyDescent="0.2">
      <c r="A93" s="67"/>
      <c r="B93" s="68"/>
      <c r="C93" s="83"/>
      <c r="D93" s="72"/>
      <c r="E93" s="72" t="s">
        <v>353</v>
      </c>
      <c r="F93" s="73" t="s">
        <v>32</v>
      </c>
      <c r="G93" s="74">
        <f>818.49-728.15</f>
        <v>90.340000000000032</v>
      </c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</row>
    <row r="94" spans="1:72" s="76" customFormat="1" ht="15.75" customHeight="1" x14ac:dyDescent="0.2">
      <c r="A94" s="77"/>
      <c r="B94" s="78"/>
      <c r="C94" s="102"/>
      <c r="D94" s="79"/>
      <c r="E94" s="79"/>
      <c r="F94" s="82"/>
      <c r="G94" s="80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</row>
    <row r="95" spans="1:72" s="76" customFormat="1" ht="18" customHeight="1" x14ac:dyDescent="0.2">
      <c r="A95" s="67"/>
      <c r="B95" s="101" t="s">
        <v>105</v>
      </c>
      <c r="C95" s="72" t="s">
        <v>350</v>
      </c>
      <c r="D95" s="72" t="s">
        <v>358</v>
      </c>
      <c r="E95" s="79" t="s">
        <v>32</v>
      </c>
      <c r="F95" s="82" t="s">
        <v>32</v>
      </c>
      <c r="G95" s="81">
        <f>SUM(G97)</f>
        <v>10555.210000000001</v>
      </c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</row>
    <row r="96" spans="1:72" s="76" customFormat="1" ht="8.25" customHeight="1" x14ac:dyDescent="0.2">
      <c r="A96" s="67"/>
      <c r="B96" s="68"/>
      <c r="C96" s="83"/>
      <c r="D96" s="72"/>
      <c r="E96" s="72"/>
      <c r="F96" s="73"/>
      <c r="G96" s="74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</row>
    <row r="97" spans="1:72" s="76" customFormat="1" ht="15.75" customHeight="1" x14ac:dyDescent="0.2">
      <c r="A97" s="67"/>
      <c r="B97" s="68"/>
      <c r="C97" s="83"/>
      <c r="D97" s="72"/>
      <c r="E97" s="97"/>
      <c r="F97" s="98"/>
      <c r="G97" s="99">
        <f>SUM(G98:G103)</f>
        <v>10555.210000000001</v>
      </c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</row>
    <row r="98" spans="1:72" s="76" customFormat="1" ht="15.75" customHeight="1" x14ac:dyDescent="0.2">
      <c r="A98" s="67"/>
      <c r="B98" s="68"/>
      <c r="C98" s="83"/>
      <c r="D98" s="72"/>
      <c r="E98" s="72" t="s">
        <v>86</v>
      </c>
      <c r="F98" s="73" t="s">
        <v>32</v>
      </c>
      <c r="G98" s="74">
        <f>357.32+2842.68</f>
        <v>3200</v>
      </c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</row>
    <row r="99" spans="1:72" s="76" customFormat="1" ht="15.75" customHeight="1" x14ac:dyDescent="0.2">
      <c r="A99" s="67"/>
      <c r="B99" s="68"/>
      <c r="C99" s="83"/>
      <c r="D99" s="72"/>
      <c r="E99" s="72" t="s">
        <v>340</v>
      </c>
      <c r="F99" s="73" t="s">
        <v>32</v>
      </c>
      <c r="G99" s="74">
        <v>11.61</v>
      </c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75"/>
      <c r="BS99" s="75"/>
      <c r="BT99" s="75"/>
    </row>
    <row r="100" spans="1:72" s="76" customFormat="1" ht="15.75" customHeight="1" x14ac:dyDescent="0.2">
      <c r="A100" s="67"/>
      <c r="B100" s="68"/>
      <c r="C100" s="83"/>
      <c r="D100" s="72"/>
      <c r="E100" s="72" t="s">
        <v>344</v>
      </c>
      <c r="F100" s="73" t="s">
        <v>32</v>
      </c>
      <c r="G100" s="74">
        <f>55-55</f>
        <v>0</v>
      </c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</row>
    <row r="101" spans="1:72" s="76" customFormat="1" ht="15.75" customHeight="1" x14ac:dyDescent="0.2">
      <c r="A101" s="67"/>
      <c r="B101" s="68"/>
      <c r="C101" s="83"/>
      <c r="D101" s="72"/>
      <c r="E101" s="72" t="s">
        <v>352</v>
      </c>
      <c r="F101" s="73" t="s">
        <v>32</v>
      </c>
      <c r="G101" s="74">
        <f>1562.39+768.26-222.03+770.82+1925.07</f>
        <v>4804.51</v>
      </c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</row>
    <row r="102" spans="1:72" s="76" customFormat="1" ht="15.75" customHeight="1" x14ac:dyDescent="0.2">
      <c r="A102" s="67"/>
      <c r="B102" s="68"/>
      <c r="C102" s="83"/>
      <c r="D102" s="72"/>
      <c r="E102" s="72" t="s">
        <v>345</v>
      </c>
      <c r="F102" s="73" t="s">
        <v>32</v>
      </c>
      <c r="G102" s="74">
        <f>306.66+187.76-80.29+188.39+910.83</f>
        <v>1513.35</v>
      </c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</row>
    <row r="103" spans="1:72" s="76" customFormat="1" ht="15.75" customHeight="1" x14ac:dyDescent="0.2">
      <c r="A103" s="67"/>
      <c r="B103" s="68"/>
      <c r="C103" s="83"/>
      <c r="D103" s="72"/>
      <c r="E103" s="72" t="s">
        <v>353</v>
      </c>
      <c r="F103" s="73" t="s">
        <v>32</v>
      </c>
      <c r="G103" s="74">
        <f>1025.74</f>
        <v>1025.74</v>
      </c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</row>
    <row r="104" spans="1:72" s="76" customFormat="1" ht="9" customHeight="1" x14ac:dyDescent="0.2">
      <c r="A104" s="67"/>
      <c r="B104" s="68"/>
      <c r="C104" s="83"/>
      <c r="D104" s="72"/>
      <c r="E104" s="72"/>
      <c r="F104" s="73"/>
      <c r="G104" s="74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</row>
    <row r="105" spans="1:72" s="76" customFormat="1" ht="15.75" customHeight="1" x14ac:dyDescent="0.2">
      <c r="A105" s="67"/>
      <c r="B105" s="101" t="s">
        <v>102</v>
      </c>
      <c r="C105" s="72" t="s">
        <v>350</v>
      </c>
      <c r="D105" s="72" t="s">
        <v>358</v>
      </c>
      <c r="E105" s="69" t="s">
        <v>32</v>
      </c>
      <c r="F105" s="71" t="s">
        <v>32</v>
      </c>
      <c r="G105" s="70">
        <f>SUM(G107)</f>
        <v>709.34</v>
      </c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</row>
    <row r="106" spans="1:72" s="76" customFormat="1" ht="9" customHeight="1" x14ac:dyDescent="0.2">
      <c r="A106" s="67"/>
      <c r="B106" s="68"/>
      <c r="C106" s="83"/>
      <c r="D106" s="72"/>
      <c r="E106" s="72"/>
      <c r="F106" s="73"/>
      <c r="G106" s="74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</row>
    <row r="107" spans="1:72" s="76" customFormat="1" ht="15.75" customHeight="1" x14ac:dyDescent="0.2">
      <c r="A107" s="67"/>
      <c r="B107" s="68"/>
      <c r="C107" s="83"/>
      <c r="D107" s="72"/>
      <c r="E107" s="97"/>
      <c r="F107" s="98"/>
      <c r="G107" s="99">
        <f>SUM(G108)</f>
        <v>709.34</v>
      </c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</row>
    <row r="108" spans="1:72" s="76" customFormat="1" ht="15.75" customHeight="1" x14ac:dyDescent="0.2">
      <c r="A108" s="67"/>
      <c r="B108" s="68"/>
      <c r="C108" s="83"/>
      <c r="D108" s="72"/>
      <c r="E108" s="72" t="s">
        <v>122</v>
      </c>
      <c r="F108" s="73" t="s">
        <v>32</v>
      </c>
      <c r="G108" s="74">
        <f>709.34</f>
        <v>709.34</v>
      </c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</row>
    <row r="109" spans="1:72" s="76" customFormat="1" ht="8.25" customHeight="1" x14ac:dyDescent="0.2">
      <c r="A109" s="67"/>
      <c r="B109" s="68"/>
      <c r="C109" s="83"/>
      <c r="D109" s="72"/>
      <c r="E109" s="72"/>
      <c r="F109" s="73"/>
      <c r="G109" s="74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</row>
    <row r="110" spans="1:72" s="76" customFormat="1" ht="15.75" customHeight="1" x14ac:dyDescent="0.2">
      <c r="A110" s="67"/>
      <c r="B110" s="101" t="s">
        <v>105</v>
      </c>
      <c r="C110" s="72" t="s">
        <v>350</v>
      </c>
      <c r="D110" s="72" t="s">
        <v>359</v>
      </c>
      <c r="E110" s="69" t="s">
        <v>32</v>
      </c>
      <c r="F110" s="71" t="s">
        <v>32</v>
      </c>
      <c r="G110" s="70">
        <f>SUM(G112)</f>
        <v>90235.16</v>
      </c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</row>
    <row r="111" spans="1:72" s="76" customFormat="1" ht="6.75" customHeight="1" x14ac:dyDescent="0.2">
      <c r="A111" s="67"/>
      <c r="B111" s="68"/>
      <c r="C111" s="83"/>
      <c r="D111" s="72"/>
      <c r="E111" s="72"/>
      <c r="F111" s="73"/>
      <c r="G111" s="74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</row>
    <row r="112" spans="1:72" s="76" customFormat="1" ht="15.75" customHeight="1" x14ac:dyDescent="0.2">
      <c r="A112" s="67"/>
      <c r="B112" s="68"/>
      <c r="C112" s="83"/>
      <c r="D112" s="72"/>
      <c r="E112" s="97"/>
      <c r="F112" s="98"/>
      <c r="G112" s="99">
        <f>SUM(G113:G117)</f>
        <v>90235.16</v>
      </c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</row>
    <row r="113" spans="1:72" s="76" customFormat="1" ht="15.75" customHeight="1" x14ac:dyDescent="0.2">
      <c r="A113" s="67"/>
      <c r="B113" s="68"/>
      <c r="C113" s="83"/>
      <c r="D113" s="72"/>
      <c r="E113" s="72" t="s">
        <v>86</v>
      </c>
      <c r="F113" s="73" t="s">
        <v>32</v>
      </c>
      <c r="G113" s="74">
        <f>1500+20459</f>
        <v>21959</v>
      </c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</row>
    <row r="114" spans="1:72" s="76" customFormat="1" ht="15.75" customHeight="1" x14ac:dyDescent="0.2">
      <c r="A114" s="67"/>
      <c r="B114" s="68"/>
      <c r="C114" s="83"/>
      <c r="D114" s="72"/>
      <c r="E114" s="72" t="s">
        <v>340</v>
      </c>
      <c r="F114" s="73" t="s">
        <v>32</v>
      </c>
      <c r="G114" s="74">
        <f>167.03+150</f>
        <v>317.02999999999997</v>
      </c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</row>
    <row r="115" spans="1:72" s="76" customFormat="1" ht="15.75" customHeight="1" x14ac:dyDescent="0.2">
      <c r="A115" s="67"/>
      <c r="B115" s="68"/>
      <c r="C115" s="83"/>
      <c r="D115" s="72"/>
      <c r="E115" s="72" t="s">
        <v>352</v>
      </c>
      <c r="F115" s="73" t="s">
        <v>32</v>
      </c>
      <c r="G115" s="74">
        <f>13343.1+22918.28+12450.95-19756.38+12141.03+9388.68</f>
        <v>50485.66</v>
      </c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  <c r="BR115" s="75"/>
      <c r="BS115" s="75"/>
      <c r="BT115" s="75"/>
    </row>
    <row r="116" spans="1:72" s="76" customFormat="1" ht="15.75" customHeight="1" x14ac:dyDescent="0.2">
      <c r="A116" s="67"/>
      <c r="B116" s="68"/>
      <c r="C116" s="83"/>
      <c r="D116" s="72"/>
      <c r="E116" s="72" t="s">
        <v>345</v>
      </c>
      <c r="F116" s="73" t="s">
        <v>32</v>
      </c>
      <c r="G116" s="74">
        <f>4235+5331.27+3043.01-3894.55+2967.05+2266.79</f>
        <v>13948.57</v>
      </c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5"/>
      <c r="AY116" s="75"/>
      <c r="AZ116" s="75"/>
      <c r="BA116" s="75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5"/>
      <c r="BM116" s="75"/>
      <c r="BN116" s="75"/>
      <c r="BO116" s="75"/>
      <c r="BP116" s="75"/>
      <c r="BQ116" s="75"/>
      <c r="BR116" s="75"/>
      <c r="BS116" s="75"/>
      <c r="BT116" s="75"/>
    </row>
    <row r="117" spans="1:72" s="76" customFormat="1" ht="15.75" customHeight="1" x14ac:dyDescent="0.2">
      <c r="A117" s="67"/>
      <c r="B117" s="68"/>
      <c r="C117" s="83"/>
      <c r="D117" s="72"/>
      <c r="E117" s="72" t="s">
        <v>353</v>
      </c>
      <c r="F117" s="73" t="s">
        <v>32</v>
      </c>
      <c r="G117" s="74">
        <f>3024.9+500</f>
        <v>3524.9</v>
      </c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</row>
    <row r="118" spans="1:72" s="76" customFormat="1" ht="7.5" customHeight="1" x14ac:dyDescent="0.2">
      <c r="A118" s="67"/>
      <c r="B118" s="68"/>
      <c r="C118" s="83"/>
      <c r="D118" s="72"/>
      <c r="E118" s="72"/>
      <c r="F118" s="73"/>
      <c r="G118" s="74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</row>
    <row r="119" spans="1:72" s="76" customFormat="1" ht="15.75" customHeight="1" x14ac:dyDescent="0.2">
      <c r="A119" s="67"/>
      <c r="B119" s="101" t="s">
        <v>102</v>
      </c>
      <c r="C119" s="72" t="s">
        <v>350</v>
      </c>
      <c r="D119" s="72" t="s">
        <v>359</v>
      </c>
      <c r="E119" s="69" t="s">
        <v>32</v>
      </c>
      <c r="F119" s="71" t="s">
        <v>32</v>
      </c>
      <c r="G119" s="70">
        <f>SUM(G121)</f>
        <v>4478.3900000000003</v>
      </c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</row>
    <row r="120" spans="1:72" s="76" customFormat="1" ht="9" customHeight="1" x14ac:dyDescent="0.2">
      <c r="A120" s="67"/>
      <c r="B120" s="68"/>
      <c r="C120" s="83"/>
      <c r="D120" s="72"/>
      <c r="E120" s="72"/>
      <c r="F120" s="73"/>
      <c r="G120" s="74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</row>
    <row r="121" spans="1:72" s="76" customFormat="1" ht="15.75" customHeight="1" x14ac:dyDescent="0.2">
      <c r="A121" s="67"/>
      <c r="B121" s="68"/>
      <c r="C121" s="83"/>
      <c r="D121" s="72"/>
      <c r="E121" s="97"/>
      <c r="F121" s="98"/>
      <c r="G121" s="99">
        <f>SUM(G122)</f>
        <v>4478.3900000000003</v>
      </c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  <c r="BR121" s="75"/>
      <c r="BS121" s="75"/>
      <c r="BT121" s="75"/>
    </row>
    <row r="122" spans="1:72" s="76" customFormat="1" ht="15.75" customHeight="1" x14ac:dyDescent="0.2">
      <c r="A122" s="67"/>
      <c r="B122" s="68"/>
      <c r="C122" s="83"/>
      <c r="D122" s="72"/>
      <c r="E122" s="72" t="s">
        <v>122</v>
      </c>
      <c r="F122" s="73" t="s">
        <v>32</v>
      </c>
      <c r="G122" s="74">
        <f>4478.39</f>
        <v>4478.3900000000003</v>
      </c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</row>
    <row r="123" spans="1:72" s="76" customFormat="1" ht="8.25" customHeight="1" x14ac:dyDescent="0.2">
      <c r="A123" s="77"/>
      <c r="B123" s="78"/>
      <c r="C123" s="102"/>
      <c r="D123" s="79"/>
      <c r="E123" s="79"/>
      <c r="F123" s="82"/>
      <c r="G123" s="80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</row>
    <row r="124" spans="1:72" s="76" customFormat="1" ht="19.5" customHeight="1" x14ac:dyDescent="0.2">
      <c r="A124" s="67"/>
      <c r="B124" s="101" t="s">
        <v>105</v>
      </c>
      <c r="C124" s="72" t="s">
        <v>350</v>
      </c>
      <c r="D124" s="72" t="s">
        <v>360</v>
      </c>
      <c r="E124" s="79" t="s">
        <v>32</v>
      </c>
      <c r="F124" s="82" t="s">
        <v>32</v>
      </c>
      <c r="G124" s="81">
        <f>SUM(G126)</f>
        <v>15934.85</v>
      </c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</row>
    <row r="125" spans="1:72" s="76" customFormat="1" ht="6.75" customHeight="1" x14ac:dyDescent="0.2">
      <c r="A125" s="67"/>
      <c r="B125" s="68"/>
      <c r="C125" s="83"/>
      <c r="D125" s="72"/>
      <c r="E125" s="72"/>
      <c r="F125" s="73"/>
      <c r="G125" s="74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</row>
    <row r="126" spans="1:72" s="76" customFormat="1" ht="15.75" customHeight="1" x14ac:dyDescent="0.2">
      <c r="A126" s="67"/>
      <c r="B126" s="68"/>
      <c r="C126" s="83"/>
      <c r="D126" s="72"/>
      <c r="E126" s="97"/>
      <c r="F126" s="98"/>
      <c r="G126" s="99">
        <f>SUM(G127:G130)</f>
        <v>15934.85</v>
      </c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</row>
    <row r="127" spans="1:72" s="76" customFormat="1" ht="15.75" customHeight="1" x14ac:dyDescent="0.2">
      <c r="A127" s="67"/>
      <c r="B127" s="68"/>
      <c r="C127" s="83"/>
      <c r="D127" s="72"/>
      <c r="E127" s="72" t="s">
        <v>340</v>
      </c>
      <c r="F127" s="73" t="s">
        <v>32</v>
      </c>
      <c r="G127" s="74">
        <f>35.28+6.28</f>
        <v>41.56</v>
      </c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</row>
    <row r="128" spans="1:72" s="76" customFormat="1" ht="15.75" customHeight="1" x14ac:dyDescent="0.2">
      <c r="A128" s="67"/>
      <c r="B128" s="68"/>
      <c r="C128" s="83"/>
      <c r="D128" s="72"/>
      <c r="E128" s="72" t="s">
        <v>352</v>
      </c>
      <c r="F128" s="73" t="s">
        <v>32</v>
      </c>
      <c r="G128" s="74">
        <f>4177.13+1939.42-717+1944.54+4594.26</f>
        <v>11938.35</v>
      </c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</row>
    <row r="129" spans="1:72" s="76" customFormat="1" ht="15.75" customHeight="1" x14ac:dyDescent="0.2">
      <c r="A129" s="67"/>
      <c r="B129" s="68"/>
      <c r="C129" s="83"/>
      <c r="D129" s="72"/>
      <c r="E129" s="72" t="s">
        <v>345</v>
      </c>
      <c r="F129" s="73" t="s">
        <v>32</v>
      </c>
      <c r="G129" s="74">
        <f>1018.21+473.99+475.24+1160</f>
        <v>3127.44</v>
      </c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</row>
    <row r="130" spans="1:72" s="76" customFormat="1" ht="15.75" customHeight="1" x14ac:dyDescent="0.2">
      <c r="A130" s="67"/>
      <c r="B130" s="68"/>
      <c r="C130" s="83"/>
      <c r="D130" s="72"/>
      <c r="E130" s="72" t="s">
        <v>353</v>
      </c>
      <c r="F130" s="73" t="s">
        <v>32</v>
      </c>
      <c r="G130" s="74">
        <f>681.72+145.78</f>
        <v>827.5</v>
      </c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</row>
    <row r="131" spans="1:72" s="76" customFormat="1" ht="7.5" customHeight="1" x14ac:dyDescent="0.2">
      <c r="A131" s="77"/>
      <c r="B131" s="78"/>
      <c r="C131" s="102"/>
      <c r="D131" s="79"/>
      <c r="E131" s="79"/>
      <c r="F131" s="82"/>
      <c r="G131" s="80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  <c r="BS131" s="75"/>
      <c r="BT131" s="75"/>
    </row>
    <row r="132" spans="1:72" s="76" customFormat="1" ht="15.75" customHeight="1" x14ac:dyDescent="0.2">
      <c r="A132" s="67"/>
      <c r="B132" s="101" t="s">
        <v>105</v>
      </c>
      <c r="C132" s="72" t="s">
        <v>501</v>
      </c>
      <c r="D132" s="72" t="s">
        <v>502</v>
      </c>
      <c r="E132" s="79" t="s">
        <v>32</v>
      </c>
      <c r="F132" s="82" t="s">
        <v>32</v>
      </c>
      <c r="G132" s="81">
        <f>SUM(G134)</f>
        <v>1147.67</v>
      </c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</row>
    <row r="133" spans="1:72" s="76" customFormat="1" ht="8.25" customHeight="1" x14ac:dyDescent="0.2">
      <c r="A133" s="67"/>
      <c r="B133" s="68"/>
      <c r="C133" s="83"/>
      <c r="D133" s="72"/>
      <c r="E133" s="72"/>
      <c r="F133" s="73"/>
      <c r="G133" s="74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</row>
    <row r="134" spans="1:72" s="76" customFormat="1" ht="15.75" customHeight="1" x14ac:dyDescent="0.2">
      <c r="A134" s="67"/>
      <c r="B134" s="68"/>
      <c r="C134" s="83"/>
      <c r="D134" s="72"/>
      <c r="E134" s="97"/>
      <c r="F134" s="98"/>
      <c r="G134" s="99">
        <f>SUM(G135:G135)</f>
        <v>1147.67</v>
      </c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5"/>
      <c r="AY134" s="75"/>
      <c r="AZ134" s="75"/>
      <c r="BA134" s="75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</row>
    <row r="135" spans="1:72" s="76" customFormat="1" ht="15.75" customHeight="1" x14ac:dyDescent="0.2">
      <c r="A135" s="67"/>
      <c r="B135" s="68"/>
      <c r="C135" s="83"/>
      <c r="D135" s="72"/>
      <c r="E135" s="72" t="s">
        <v>86</v>
      </c>
      <c r="F135" s="73" t="s">
        <v>32</v>
      </c>
      <c r="G135" s="74">
        <v>1147.67</v>
      </c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  <c r="AV135" s="75"/>
      <c r="AW135" s="75"/>
      <c r="AX135" s="75"/>
      <c r="AY135" s="75"/>
      <c r="AZ135" s="75"/>
      <c r="BA135" s="75"/>
      <c r="BB135" s="75"/>
      <c r="BC135" s="75"/>
      <c r="BD135" s="75"/>
      <c r="BE135" s="75"/>
      <c r="BF135" s="75"/>
      <c r="BG135" s="75"/>
      <c r="BH135" s="75"/>
      <c r="BI135" s="75"/>
      <c r="BJ135" s="75"/>
      <c r="BK135" s="75"/>
      <c r="BL135" s="75"/>
      <c r="BM135" s="75"/>
      <c r="BN135" s="75"/>
      <c r="BO135" s="75"/>
      <c r="BP135" s="75"/>
      <c r="BQ135" s="75"/>
      <c r="BR135" s="75"/>
      <c r="BS135" s="75"/>
      <c r="BT135" s="75"/>
    </row>
    <row r="136" spans="1:72" s="76" customFormat="1" ht="10.5" customHeight="1" x14ac:dyDescent="0.2">
      <c r="A136" s="77"/>
      <c r="B136" s="78"/>
      <c r="C136" s="102"/>
      <c r="D136" s="79"/>
      <c r="E136" s="79"/>
      <c r="F136" s="82"/>
      <c r="G136" s="80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  <c r="BS136" s="75"/>
      <c r="BT136" s="75"/>
    </row>
    <row r="137" spans="1:72" s="76" customFormat="1" ht="15.75" customHeight="1" x14ac:dyDescent="0.2">
      <c r="A137" s="67"/>
      <c r="B137" s="68"/>
      <c r="C137" s="72"/>
      <c r="D137" s="72"/>
      <c r="E137" s="79" t="s">
        <v>51</v>
      </c>
      <c r="F137" s="81">
        <f>6242.96+5773.4+1431.89+1201.64+991.36+1111.52+78.39</f>
        <v>16831.16</v>
      </c>
      <c r="G137" s="82" t="s">
        <v>32</v>
      </c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</row>
    <row r="138" spans="1:72" s="76" customFormat="1" ht="24" customHeight="1" x14ac:dyDescent="0.2">
      <c r="A138" s="94" t="s">
        <v>319</v>
      </c>
      <c r="B138" s="103" t="s">
        <v>361</v>
      </c>
      <c r="C138" s="72" t="s">
        <v>362</v>
      </c>
      <c r="D138" s="72" t="s">
        <v>363</v>
      </c>
      <c r="E138" s="69" t="s">
        <v>32</v>
      </c>
      <c r="F138" s="71" t="s">
        <v>32</v>
      </c>
      <c r="G138" s="70">
        <f>SUM(G140)</f>
        <v>16831.16</v>
      </c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75"/>
      <c r="BH138" s="75"/>
      <c r="BI138" s="75"/>
      <c r="BJ138" s="75"/>
      <c r="BK138" s="75"/>
      <c r="BL138" s="75"/>
      <c r="BM138" s="75"/>
      <c r="BN138" s="75"/>
      <c r="BO138" s="75"/>
      <c r="BP138" s="75"/>
      <c r="BQ138" s="75"/>
      <c r="BR138" s="75"/>
      <c r="BS138" s="75"/>
      <c r="BT138" s="75"/>
    </row>
    <row r="139" spans="1:72" s="76" customFormat="1" ht="8.25" customHeight="1" x14ac:dyDescent="0.2">
      <c r="A139" s="67"/>
      <c r="B139" s="96"/>
      <c r="C139" s="97"/>
      <c r="D139" s="97"/>
      <c r="E139" s="97"/>
      <c r="F139" s="98"/>
      <c r="G139" s="99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  <c r="BR139" s="75"/>
      <c r="BS139" s="75"/>
      <c r="BT139" s="75"/>
    </row>
    <row r="140" spans="1:72" s="76" customFormat="1" ht="15.75" customHeight="1" x14ac:dyDescent="0.2">
      <c r="A140" s="100"/>
      <c r="B140" s="101" t="s">
        <v>364</v>
      </c>
      <c r="C140" s="97"/>
      <c r="D140" s="97"/>
      <c r="E140" s="97"/>
      <c r="F140" s="98"/>
      <c r="G140" s="99">
        <f>SUM(G141:G142)</f>
        <v>16831.16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</row>
    <row r="141" spans="1:72" s="76" customFormat="1" ht="15.75" customHeight="1" x14ac:dyDescent="0.2">
      <c r="A141" s="67"/>
      <c r="B141" s="68"/>
      <c r="C141" s="83"/>
      <c r="D141" s="72"/>
      <c r="E141" s="72" t="s">
        <v>344</v>
      </c>
      <c r="F141" s="73" t="s">
        <v>32</v>
      </c>
      <c r="G141" s="74">
        <f>1004.38+11240.6+828.62+994.57</f>
        <v>14068.17</v>
      </c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  <c r="BR141" s="75"/>
      <c r="BS141" s="75"/>
      <c r="BT141" s="75"/>
    </row>
    <row r="142" spans="1:72" s="76" customFormat="1" ht="15.75" customHeight="1" x14ac:dyDescent="0.2">
      <c r="A142" s="67"/>
      <c r="B142" s="68"/>
      <c r="C142" s="83"/>
      <c r="D142" s="72"/>
      <c r="E142" s="72" t="s">
        <v>345</v>
      </c>
      <c r="F142" s="73" t="s">
        <v>32</v>
      </c>
      <c r="G142" s="74">
        <f>197.26+2207.65+162.74+195.34</f>
        <v>2762.99</v>
      </c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</row>
    <row r="143" spans="1:72" s="76" customFormat="1" ht="8.25" customHeight="1" x14ac:dyDescent="0.2">
      <c r="A143" s="77"/>
      <c r="B143" s="78"/>
      <c r="C143" s="102"/>
      <c r="D143" s="79"/>
      <c r="E143" s="79"/>
      <c r="F143" s="82"/>
      <c r="G143" s="80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</row>
    <row r="144" spans="1:72" s="76" customFormat="1" ht="15.75" customHeight="1" x14ac:dyDescent="0.2">
      <c r="A144" s="67"/>
      <c r="B144" s="68"/>
      <c r="C144" s="72"/>
      <c r="D144" s="72"/>
      <c r="E144" s="79" t="s">
        <v>51</v>
      </c>
      <c r="F144" s="81">
        <f>193360+150000+300000+1504+122160+1824+289960+50000+4384+2816+100000+171240+484680+100000+26320+704</f>
        <v>1998952</v>
      </c>
      <c r="G144" s="82" t="s">
        <v>32</v>
      </c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</row>
    <row r="145" spans="1:72" s="76" customFormat="1" ht="25.5" customHeight="1" x14ac:dyDescent="0.2">
      <c r="A145" s="94" t="s">
        <v>320</v>
      </c>
      <c r="B145" s="95" t="s">
        <v>365</v>
      </c>
      <c r="C145" s="72" t="s">
        <v>366</v>
      </c>
      <c r="D145" s="72" t="s">
        <v>367</v>
      </c>
      <c r="E145" s="69" t="s">
        <v>32</v>
      </c>
      <c r="F145" s="71" t="s">
        <v>32</v>
      </c>
      <c r="G145" s="70">
        <f>SUM(G147)</f>
        <v>1998952</v>
      </c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</row>
    <row r="146" spans="1:72" s="76" customFormat="1" ht="10.5" customHeight="1" x14ac:dyDescent="0.2">
      <c r="A146" s="67"/>
      <c r="B146" s="96"/>
      <c r="C146" s="97"/>
      <c r="D146" s="97"/>
      <c r="E146" s="97"/>
      <c r="F146" s="98"/>
      <c r="G146" s="99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75"/>
      <c r="BH146" s="75"/>
      <c r="BI146" s="75"/>
      <c r="BJ146" s="75"/>
      <c r="BK146" s="75"/>
      <c r="BL146" s="75"/>
      <c r="BM146" s="75"/>
      <c r="BN146" s="75"/>
      <c r="BO146" s="75"/>
      <c r="BP146" s="75"/>
      <c r="BQ146" s="75"/>
      <c r="BR146" s="75"/>
      <c r="BS146" s="75"/>
      <c r="BT146" s="75"/>
    </row>
    <row r="147" spans="1:72" s="76" customFormat="1" ht="15.75" customHeight="1" x14ac:dyDescent="0.2">
      <c r="A147" s="100"/>
      <c r="B147" s="101" t="s">
        <v>39</v>
      </c>
      <c r="C147" s="97"/>
      <c r="D147" s="97"/>
      <c r="E147" s="97"/>
      <c r="F147" s="98"/>
      <c r="G147" s="99">
        <f>SUM(G148:G150)</f>
        <v>1998952</v>
      </c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  <c r="BO147" s="75"/>
      <c r="BP147" s="75"/>
      <c r="BQ147" s="75"/>
      <c r="BR147" s="75"/>
      <c r="BS147" s="75"/>
      <c r="BT147" s="75"/>
    </row>
    <row r="148" spans="1:72" s="76" customFormat="1" ht="15.75" customHeight="1" x14ac:dyDescent="0.2">
      <c r="A148" s="67"/>
      <c r="B148" s="68"/>
      <c r="C148" s="83"/>
      <c r="D148" s="72"/>
      <c r="E148" s="72" t="s">
        <v>368</v>
      </c>
      <c r="F148" s="73" t="s">
        <v>32</v>
      </c>
      <c r="G148" s="74">
        <f>1055480+50000+100000+655920+126320</f>
        <v>1987720</v>
      </c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L148" s="75"/>
      <c r="BM148" s="75"/>
      <c r="BN148" s="75"/>
      <c r="BO148" s="75"/>
      <c r="BP148" s="75"/>
      <c r="BQ148" s="75"/>
      <c r="BR148" s="75"/>
      <c r="BS148" s="75"/>
      <c r="BT148" s="75"/>
    </row>
    <row r="149" spans="1:72" s="76" customFormat="1" ht="15.75" customHeight="1" x14ac:dyDescent="0.2">
      <c r="A149" s="67"/>
      <c r="B149" s="68"/>
      <c r="C149" s="83"/>
      <c r="D149" s="72"/>
      <c r="E149" s="72" t="s">
        <v>344</v>
      </c>
      <c r="F149" s="73" t="s">
        <v>32</v>
      </c>
      <c r="G149" s="384">
        <f>2774+3656+2348+587</f>
        <v>9365</v>
      </c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75"/>
      <c r="BN149" s="75"/>
      <c r="BO149" s="75"/>
      <c r="BP149" s="75"/>
      <c r="BQ149" s="75"/>
      <c r="BR149" s="75"/>
      <c r="BS149" s="75"/>
      <c r="BT149" s="75"/>
    </row>
    <row r="150" spans="1:72" s="76" customFormat="1" ht="15.75" customHeight="1" x14ac:dyDescent="0.2">
      <c r="A150" s="67"/>
      <c r="B150" s="68"/>
      <c r="C150" s="83"/>
      <c r="D150" s="72"/>
      <c r="E150" s="72" t="s">
        <v>345</v>
      </c>
      <c r="F150" s="73" t="s">
        <v>32</v>
      </c>
      <c r="G150" s="74">
        <f>485+69+728+468+117</f>
        <v>1867</v>
      </c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</row>
    <row r="151" spans="1:72" s="76" customFormat="1" ht="11.25" customHeight="1" x14ac:dyDescent="0.2">
      <c r="A151" s="77"/>
      <c r="B151" s="78"/>
      <c r="C151" s="102"/>
      <c r="D151" s="79"/>
      <c r="E151" s="79"/>
      <c r="F151" s="82"/>
      <c r="G151" s="80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75"/>
      <c r="BT151" s="75"/>
    </row>
    <row r="152" spans="1:72" s="76" customFormat="1" ht="15.75" customHeight="1" x14ac:dyDescent="0.2">
      <c r="A152" s="67"/>
      <c r="B152" s="68"/>
      <c r="C152" s="72"/>
      <c r="D152" s="72"/>
      <c r="E152" s="79" t="s">
        <v>51</v>
      </c>
      <c r="F152" s="81">
        <f>195780+264660+288000+244500+215100+228420</f>
        <v>1436460</v>
      </c>
      <c r="G152" s="82" t="s">
        <v>32</v>
      </c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  <c r="BR152" s="75"/>
      <c r="BS152" s="75"/>
      <c r="BT152" s="75"/>
    </row>
    <row r="153" spans="1:72" s="76" customFormat="1" ht="23.25" customHeight="1" x14ac:dyDescent="0.2">
      <c r="A153" s="94" t="s">
        <v>322</v>
      </c>
      <c r="B153" s="95" t="s">
        <v>369</v>
      </c>
      <c r="C153" s="72" t="s">
        <v>366</v>
      </c>
      <c r="D153" s="72" t="s">
        <v>367</v>
      </c>
      <c r="E153" s="69" t="s">
        <v>32</v>
      </c>
      <c r="F153" s="71" t="s">
        <v>32</v>
      </c>
      <c r="G153" s="70">
        <f>SUM(G155,G158,G163)</f>
        <v>1436459.9999999998</v>
      </c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</row>
    <row r="154" spans="1:72" s="76" customFormat="1" ht="9.75" customHeight="1" x14ac:dyDescent="0.2">
      <c r="A154" s="67"/>
      <c r="B154" s="96"/>
      <c r="C154" s="97"/>
      <c r="D154" s="97"/>
      <c r="E154" s="97"/>
      <c r="F154" s="98"/>
      <c r="G154" s="99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5"/>
      <c r="BR154" s="75"/>
      <c r="BS154" s="75"/>
      <c r="BT154" s="75"/>
    </row>
    <row r="155" spans="1:72" s="76" customFormat="1" ht="25.5" customHeight="1" x14ac:dyDescent="0.2">
      <c r="A155" s="100"/>
      <c r="B155" s="385" t="s">
        <v>46</v>
      </c>
      <c r="C155" s="97"/>
      <c r="D155" s="97"/>
      <c r="E155" s="97"/>
      <c r="F155" s="98"/>
      <c r="G155" s="99">
        <f>SUM(G156:G156)</f>
        <v>1261956.7699999998</v>
      </c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L155" s="75"/>
      <c r="BM155" s="75"/>
      <c r="BN155" s="75"/>
      <c r="BO155" s="75"/>
      <c r="BP155" s="75"/>
      <c r="BQ155" s="75"/>
      <c r="BR155" s="75"/>
      <c r="BS155" s="75"/>
      <c r="BT155" s="75"/>
    </row>
    <row r="156" spans="1:72" s="76" customFormat="1" ht="15.75" customHeight="1" x14ac:dyDescent="0.2">
      <c r="A156" s="67"/>
      <c r="B156" s="68"/>
      <c r="C156" s="83"/>
      <c r="D156" s="72"/>
      <c r="E156" s="72" t="s">
        <v>340</v>
      </c>
      <c r="F156" s="73" t="s">
        <v>32</v>
      </c>
      <c r="G156" s="74">
        <f>288000+431742.16-40114.41+244500-23763.41-31053.45-20867.56-30006.56+443520</f>
        <v>1261956.7699999998</v>
      </c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</row>
    <row r="157" spans="1:72" s="76" customFormat="1" ht="7.5" customHeight="1" x14ac:dyDescent="0.2">
      <c r="A157" s="77"/>
      <c r="B157" s="78"/>
      <c r="C157" s="102"/>
      <c r="D157" s="79"/>
      <c r="E157" s="79"/>
      <c r="F157" s="82"/>
      <c r="G157" s="80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</row>
    <row r="158" spans="1:72" s="76" customFormat="1" ht="19.5" customHeight="1" x14ac:dyDescent="0.2">
      <c r="A158" s="67"/>
      <c r="B158" s="101" t="s">
        <v>370</v>
      </c>
      <c r="C158" s="97"/>
      <c r="D158" s="97"/>
      <c r="E158" s="97"/>
      <c r="F158" s="98"/>
      <c r="G158" s="99">
        <f>SUM(G159:G161)</f>
        <v>174189.53999999998</v>
      </c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75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L158" s="75"/>
      <c r="BM158" s="75"/>
      <c r="BN158" s="75"/>
      <c r="BO158" s="75"/>
      <c r="BP158" s="75"/>
      <c r="BQ158" s="75"/>
      <c r="BR158" s="75"/>
      <c r="BS158" s="75"/>
      <c r="BT158" s="75"/>
    </row>
    <row r="159" spans="1:72" s="76" customFormat="1" ht="15.75" customHeight="1" x14ac:dyDescent="0.2">
      <c r="A159" s="67"/>
      <c r="B159" s="101"/>
      <c r="C159" s="386"/>
      <c r="D159" s="97"/>
      <c r="E159" s="72" t="s">
        <v>86</v>
      </c>
      <c r="F159" s="73" t="s">
        <v>32</v>
      </c>
      <c r="G159" s="74">
        <v>386.17</v>
      </c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</row>
    <row r="160" spans="1:72" s="76" customFormat="1" ht="15.75" customHeight="1" x14ac:dyDescent="0.2">
      <c r="A160" s="67"/>
      <c r="B160" s="68"/>
      <c r="C160" s="83"/>
      <c r="D160" s="72"/>
      <c r="E160" s="72" t="s">
        <v>340</v>
      </c>
      <c r="F160" s="73" t="s">
        <v>32</v>
      </c>
      <c r="G160" s="74">
        <f>2056.23+12473.87+3535.72+7349.78+3282.57+3054.8</f>
        <v>31752.969999999998</v>
      </c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</row>
    <row r="161" spans="1:72" s="76" customFormat="1" ht="15.75" customHeight="1" x14ac:dyDescent="0.2">
      <c r="A161" s="67"/>
      <c r="B161" s="68"/>
      <c r="C161" s="83"/>
      <c r="D161" s="72"/>
      <c r="E161" s="72" t="s">
        <v>353</v>
      </c>
      <c r="F161" s="73" t="s">
        <v>32</v>
      </c>
      <c r="G161" s="74">
        <f>26641.61+27326.85+19841.52+23703.67+17584.99+26951.76</f>
        <v>142050.4</v>
      </c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  <c r="BQ161" s="75"/>
      <c r="BR161" s="75"/>
      <c r="BS161" s="75"/>
      <c r="BT161" s="75"/>
    </row>
    <row r="162" spans="1:72" s="76" customFormat="1" ht="15.75" customHeight="1" x14ac:dyDescent="0.2">
      <c r="A162" s="67"/>
      <c r="B162" s="68"/>
      <c r="C162" s="83"/>
      <c r="D162" s="72"/>
      <c r="E162" s="72"/>
      <c r="F162" s="73"/>
      <c r="G162" s="74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  <c r="BQ162" s="75"/>
      <c r="BR162" s="75"/>
      <c r="BS162" s="75"/>
      <c r="BT162" s="75"/>
    </row>
    <row r="163" spans="1:72" s="76" customFormat="1" ht="25.5" customHeight="1" x14ac:dyDescent="0.2">
      <c r="A163" s="67"/>
      <c r="B163" s="385" t="s">
        <v>175</v>
      </c>
      <c r="C163" s="97"/>
      <c r="D163" s="97"/>
      <c r="E163" s="97"/>
      <c r="F163" s="98"/>
      <c r="G163" s="99">
        <f>SUM(G164:G164)</f>
        <v>313.69</v>
      </c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  <c r="BQ163" s="75"/>
      <c r="BR163" s="75"/>
      <c r="BS163" s="75"/>
      <c r="BT163" s="75"/>
    </row>
    <row r="164" spans="1:72" s="76" customFormat="1" ht="15.75" customHeight="1" x14ac:dyDescent="0.2">
      <c r="A164" s="67"/>
      <c r="B164" s="68"/>
      <c r="C164" s="83"/>
      <c r="D164" s="72"/>
      <c r="E164" s="72" t="s">
        <v>86</v>
      </c>
      <c r="F164" s="73" t="s">
        <v>32</v>
      </c>
      <c r="G164" s="74">
        <v>313.69</v>
      </c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L164" s="75"/>
      <c r="BM164" s="75"/>
      <c r="BN164" s="75"/>
      <c r="BO164" s="75"/>
      <c r="BP164" s="75"/>
      <c r="BQ164" s="75"/>
      <c r="BR164" s="75"/>
      <c r="BS164" s="75"/>
      <c r="BT164" s="75"/>
    </row>
    <row r="165" spans="1:72" s="76" customFormat="1" ht="7.5" customHeight="1" x14ac:dyDescent="0.2">
      <c r="A165" s="77"/>
      <c r="B165" s="78"/>
      <c r="C165" s="102"/>
      <c r="D165" s="79"/>
      <c r="E165" s="79"/>
      <c r="F165" s="82"/>
      <c r="G165" s="80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  <c r="AV165" s="75"/>
      <c r="AW165" s="75"/>
      <c r="AX165" s="75"/>
      <c r="AY165" s="75"/>
      <c r="AZ165" s="75"/>
      <c r="BA165" s="75"/>
      <c r="BB165" s="75"/>
      <c r="BC165" s="75"/>
      <c r="BD165" s="75"/>
      <c r="BE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  <c r="BQ165" s="75"/>
      <c r="BR165" s="75"/>
      <c r="BS165" s="75"/>
      <c r="BT165" s="75"/>
    </row>
    <row r="166" spans="1:72" s="76" customFormat="1" ht="15.75" customHeight="1" x14ac:dyDescent="0.2">
      <c r="A166" s="67"/>
      <c r="B166" s="68"/>
      <c r="C166" s="72"/>
      <c r="D166" s="72"/>
      <c r="E166" s="79" t="s">
        <v>51</v>
      </c>
      <c r="F166" s="81">
        <v>295.87</v>
      </c>
      <c r="G166" s="82" t="s">
        <v>32</v>
      </c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  <c r="BP166" s="75"/>
      <c r="BQ166" s="75"/>
      <c r="BR166" s="75"/>
      <c r="BS166" s="75"/>
      <c r="BT166" s="75"/>
    </row>
    <row r="167" spans="1:72" s="76" customFormat="1" ht="24" customHeight="1" x14ac:dyDescent="0.2">
      <c r="A167" s="94" t="s">
        <v>323</v>
      </c>
      <c r="B167" s="95" t="s">
        <v>371</v>
      </c>
      <c r="C167" s="72" t="s">
        <v>33</v>
      </c>
      <c r="D167" s="72" t="s">
        <v>372</v>
      </c>
      <c r="E167" s="69" t="s">
        <v>32</v>
      </c>
      <c r="F167" s="71" t="s">
        <v>32</v>
      </c>
      <c r="G167" s="70">
        <f>SUM(G169)</f>
        <v>295.87</v>
      </c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5"/>
      <c r="BM167" s="75"/>
      <c r="BN167" s="75"/>
      <c r="BO167" s="75"/>
      <c r="BP167" s="75"/>
      <c r="BQ167" s="75"/>
      <c r="BR167" s="75"/>
      <c r="BS167" s="75"/>
      <c r="BT167" s="75"/>
    </row>
    <row r="168" spans="1:72" s="76" customFormat="1" ht="9" customHeight="1" x14ac:dyDescent="0.2">
      <c r="A168" s="67"/>
      <c r="B168" s="96"/>
      <c r="C168" s="97"/>
      <c r="D168" s="97"/>
      <c r="E168" s="97"/>
      <c r="F168" s="98"/>
      <c r="G168" s="99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5"/>
      <c r="AQ168" s="75"/>
      <c r="AR168" s="75"/>
      <c r="AS168" s="75"/>
      <c r="AT168" s="75"/>
      <c r="AU168" s="75"/>
      <c r="AV168" s="75"/>
      <c r="AW168" s="75"/>
      <c r="AX168" s="75"/>
      <c r="AY168" s="75"/>
      <c r="AZ168" s="75"/>
      <c r="BA168" s="75"/>
      <c r="BB168" s="75"/>
      <c r="BC168" s="75"/>
      <c r="BD168" s="75"/>
      <c r="BE168" s="75"/>
      <c r="BF168" s="75"/>
      <c r="BG168" s="75"/>
      <c r="BH168" s="75"/>
      <c r="BI168" s="75"/>
      <c r="BJ168" s="75"/>
      <c r="BK168" s="75"/>
      <c r="BL168" s="75"/>
      <c r="BM168" s="75"/>
      <c r="BN168" s="75"/>
      <c r="BO168" s="75"/>
      <c r="BP168" s="75"/>
      <c r="BQ168" s="75"/>
      <c r="BR168" s="75"/>
      <c r="BS168" s="75"/>
      <c r="BT168" s="75"/>
    </row>
    <row r="169" spans="1:72" s="76" customFormat="1" ht="15.75" customHeight="1" x14ac:dyDescent="0.2">
      <c r="A169" s="100"/>
      <c r="B169" s="385" t="s">
        <v>373</v>
      </c>
      <c r="C169" s="97"/>
      <c r="D169" s="97"/>
      <c r="E169" s="97"/>
      <c r="F169" s="98"/>
      <c r="G169" s="99">
        <f>SUM(G170:G170)</f>
        <v>295.87</v>
      </c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  <c r="BN169" s="75"/>
      <c r="BO169" s="75"/>
      <c r="BP169" s="75"/>
      <c r="BQ169" s="75"/>
      <c r="BR169" s="75"/>
      <c r="BS169" s="75"/>
      <c r="BT169" s="75"/>
    </row>
    <row r="170" spans="1:72" s="76" customFormat="1" ht="15.75" customHeight="1" x14ac:dyDescent="0.2">
      <c r="A170" s="67"/>
      <c r="B170" s="68"/>
      <c r="C170" s="72"/>
      <c r="D170" s="72"/>
      <c r="E170" s="72" t="s">
        <v>86</v>
      </c>
      <c r="F170" s="73" t="s">
        <v>32</v>
      </c>
      <c r="G170" s="74">
        <v>295.87</v>
      </c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L170" s="75"/>
      <c r="BM170" s="75"/>
      <c r="BN170" s="75"/>
      <c r="BO170" s="75"/>
      <c r="BP170" s="75"/>
      <c r="BQ170" s="75"/>
      <c r="BR170" s="75"/>
      <c r="BS170" s="75"/>
      <c r="BT170" s="75"/>
    </row>
    <row r="171" spans="1:72" s="76" customFormat="1" ht="15.75" customHeight="1" x14ac:dyDescent="0.2">
      <c r="A171" s="77"/>
      <c r="B171" s="78"/>
      <c r="C171" s="102"/>
      <c r="D171" s="79"/>
      <c r="E171" s="79"/>
      <c r="F171" s="82"/>
      <c r="G171" s="80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L171" s="75"/>
      <c r="BM171" s="75"/>
      <c r="BN171" s="75"/>
      <c r="BO171" s="75"/>
      <c r="BP171" s="75"/>
      <c r="BQ171" s="75"/>
      <c r="BR171" s="75"/>
      <c r="BS171" s="75"/>
      <c r="BT171" s="75"/>
    </row>
    <row r="172" spans="1:72" s="76" customFormat="1" ht="15.75" customHeight="1" x14ac:dyDescent="0.2">
      <c r="A172" s="67"/>
      <c r="B172" s="68"/>
      <c r="C172" s="72"/>
      <c r="D172" s="72"/>
      <c r="E172" s="79" t="s">
        <v>51</v>
      </c>
      <c r="F172" s="81">
        <v>1050</v>
      </c>
      <c r="G172" s="82" t="s">
        <v>32</v>
      </c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L172" s="75"/>
      <c r="BM172" s="75"/>
      <c r="BN172" s="75"/>
      <c r="BO172" s="75"/>
      <c r="BP172" s="75"/>
      <c r="BQ172" s="75"/>
      <c r="BR172" s="75"/>
      <c r="BS172" s="75"/>
      <c r="BT172" s="75"/>
    </row>
    <row r="173" spans="1:72" s="76" customFormat="1" ht="48" customHeight="1" x14ac:dyDescent="0.2">
      <c r="A173" s="94" t="s">
        <v>325</v>
      </c>
      <c r="B173" s="95" t="s">
        <v>374</v>
      </c>
      <c r="C173" s="72" t="s">
        <v>347</v>
      </c>
      <c r="D173" s="72" t="s">
        <v>375</v>
      </c>
      <c r="E173" s="69" t="s">
        <v>32</v>
      </c>
      <c r="F173" s="71" t="s">
        <v>32</v>
      </c>
      <c r="G173" s="70">
        <f>SUM(G175)</f>
        <v>1050</v>
      </c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</row>
    <row r="174" spans="1:72" s="76" customFormat="1" ht="15.75" customHeight="1" x14ac:dyDescent="0.2">
      <c r="A174" s="67"/>
      <c r="B174" s="68"/>
      <c r="C174" s="83"/>
      <c r="D174" s="72"/>
      <c r="E174" s="72"/>
      <c r="F174" s="73"/>
      <c r="G174" s="74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L174" s="75"/>
      <c r="BM174" s="75"/>
      <c r="BN174" s="75"/>
      <c r="BO174" s="75"/>
      <c r="BP174" s="75"/>
      <c r="BQ174" s="75"/>
      <c r="BR174" s="75"/>
      <c r="BS174" s="75"/>
      <c r="BT174" s="75"/>
    </row>
    <row r="175" spans="1:72" s="76" customFormat="1" ht="26.25" customHeight="1" x14ac:dyDescent="0.2">
      <c r="A175" s="67"/>
      <c r="B175" s="385" t="s">
        <v>376</v>
      </c>
      <c r="C175" s="97"/>
      <c r="D175" s="97"/>
      <c r="E175" s="97"/>
      <c r="F175" s="98"/>
      <c r="G175" s="99">
        <f>SUM(G176:G176)</f>
        <v>1050</v>
      </c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</row>
    <row r="176" spans="1:72" s="76" customFormat="1" ht="15.75" customHeight="1" x14ac:dyDescent="0.2">
      <c r="A176" s="67"/>
      <c r="B176" s="68"/>
      <c r="C176" s="72"/>
      <c r="D176" s="72"/>
      <c r="E176" s="72" t="s">
        <v>86</v>
      </c>
      <c r="F176" s="73" t="s">
        <v>32</v>
      </c>
      <c r="G176" s="74">
        <v>1050</v>
      </c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</row>
    <row r="177" spans="1:72" s="76" customFormat="1" ht="15.75" customHeight="1" x14ac:dyDescent="0.2">
      <c r="A177" s="77"/>
      <c r="B177" s="78"/>
      <c r="C177" s="102"/>
      <c r="D177" s="79"/>
      <c r="E177" s="79"/>
      <c r="F177" s="82"/>
      <c r="G177" s="80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</row>
    <row r="178" spans="1:72" s="76" customFormat="1" ht="15.75" customHeight="1" x14ac:dyDescent="0.2">
      <c r="A178" s="67"/>
      <c r="B178" s="68"/>
      <c r="C178" s="72"/>
      <c r="D178" s="72"/>
      <c r="E178" s="79" t="s">
        <v>51</v>
      </c>
      <c r="F178" s="81">
        <f>717+713+330</f>
        <v>1760</v>
      </c>
      <c r="G178" s="82" t="s">
        <v>32</v>
      </c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</row>
    <row r="179" spans="1:72" s="76" customFormat="1" ht="15.75" customHeight="1" x14ac:dyDescent="0.2">
      <c r="A179" s="94" t="s">
        <v>326</v>
      </c>
      <c r="B179" s="103" t="s">
        <v>377</v>
      </c>
      <c r="C179" s="72" t="s">
        <v>38</v>
      </c>
      <c r="D179" s="72" t="s">
        <v>378</v>
      </c>
      <c r="E179" s="69" t="s">
        <v>32</v>
      </c>
      <c r="F179" s="71" t="s">
        <v>32</v>
      </c>
      <c r="G179" s="70">
        <f>SUM(G181)</f>
        <v>1760</v>
      </c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  <c r="BM179" s="75"/>
      <c r="BN179" s="75"/>
      <c r="BO179" s="75"/>
      <c r="BP179" s="75"/>
      <c r="BQ179" s="75"/>
      <c r="BR179" s="75"/>
      <c r="BS179" s="75"/>
      <c r="BT179" s="75"/>
    </row>
    <row r="180" spans="1:72" s="76" customFormat="1" ht="15.75" customHeight="1" x14ac:dyDescent="0.2">
      <c r="A180" s="67"/>
      <c r="B180" s="96"/>
      <c r="C180" s="97"/>
      <c r="D180" s="97"/>
      <c r="E180" s="97"/>
      <c r="F180" s="98"/>
      <c r="G180" s="99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  <c r="BR180" s="75"/>
      <c r="BS180" s="75"/>
      <c r="BT180" s="75"/>
    </row>
    <row r="181" spans="1:72" s="76" customFormat="1" ht="15.75" customHeight="1" x14ac:dyDescent="0.2">
      <c r="A181" s="100"/>
      <c r="B181" s="101" t="s">
        <v>39</v>
      </c>
      <c r="C181" s="97"/>
      <c r="D181" s="97"/>
      <c r="E181" s="97"/>
      <c r="F181" s="98"/>
      <c r="G181" s="99">
        <f>SUM(G182:G182)</f>
        <v>1760</v>
      </c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5"/>
      <c r="BQ181" s="75"/>
      <c r="BR181" s="75"/>
      <c r="BS181" s="75"/>
      <c r="BT181" s="75"/>
    </row>
    <row r="182" spans="1:72" s="76" customFormat="1" ht="15.75" customHeight="1" x14ac:dyDescent="0.2">
      <c r="A182" s="67"/>
      <c r="B182" s="68"/>
      <c r="C182" s="83"/>
      <c r="D182" s="72"/>
      <c r="E182" s="72" t="s">
        <v>339</v>
      </c>
      <c r="F182" s="73" t="s">
        <v>32</v>
      </c>
      <c r="G182" s="74">
        <f>717+713+330</f>
        <v>1760</v>
      </c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  <c r="AV182" s="75"/>
      <c r="AW182" s="75"/>
      <c r="AX182" s="75"/>
      <c r="AY182" s="75"/>
      <c r="AZ182" s="75"/>
      <c r="BA182" s="75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L182" s="75"/>
      <c r="BM182" s="75"/>
      <c r="BN182" s="75"/>
      <c r="BO182" s="75"/>
      <c r="BP182" s="75"/>
      <c r="BQ182" s="75"/>
      <c r="BR182" s="75"/>
      <c r="BS182" s="75"/>
      <c r="BT182" s="75"/>
    </row>
    <row r="183" spans="1:72" s="63" customFormat="1" ht="15.75" customHeight="1" x14ac:dyDescent="0.2">
      <c r="A183" s="77"/>
      <c r="B183" s="78"/>
      <c r="C183" s="83"/>
      <c r="D183" s="72"/>
      <c r="E183" s="79"/>
      <c r="F183" s="80"/>
      <c r="G183" s="80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</row>
    <row r="184" spans="1:72" s="90" customFormat="1" ht="27" customHeight="1" x14ac:dyDescent="0.2">
      <c r="A184" s="84"/>
      <c r="B184" s="85" t="s">
        <v>34</v>
      </c>
      <c r="C184" s="86"/>
      <c r="D184" s="87"/>
      <c r="E184" s="88"/>
      <c r="F184" s="88">
        <f>SUM(F12,F19,F28,F36,F137,F144,F152,F166,F172,F178)</f>
        <v>5420601.0300000003</v>
      </c>
      <c r="G184" s="88">
        <f>SUM(G13,G20,G29,G37,G138,G145,G153,G167,G173,G179)</f>
        <v>5420601.0299999993</v>
      </c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</row>
    <row r="186" spans="1:72" customFormat="1" x14ac:dyDescent="0.25">
      <c r="A186" s="91"/>
      <c r="B186" s="11"/>
      <c r="C186" s="11"/>
      <c r="D186" s="11"/>
      <c r="E186" s="11"/>
      <c r="I186" s="92"/>
    </row>
    <row r="187" spans="1:72" customFormat="1" x14ac:dyDescent="0.25">
      <c r="A187" s="11"/>
      <c r="B187" s="11"/>
      <c r="C187" s="11"/>
      <c r="D187" s="11"/>
      <c r="E187" s="11"/>
      <c r="F187" s="387"/>
      <c r="G187" s="387"/>
    </row>
    <row r="188" spans="1:72" customFormat="1" x14ac:dyDescent="0.25">
      <c r="A188" s="11"/>
      <c r="B188" s="11"/>
      <c r="C188" s="11"/>
      <c r="D188" s="11"/>
      <c r="E188" s="11"/>
      <c r="F188" s="387"/>
      <c r="G188" s="387"/>
    </row>
    <row r="189" spans="1:72" x14ac:dyDescent="0.25">
      <c r="F189" s="388"/>
      <c r="G189" s="388"/>
    </row>
    <row r="190" spans="1:72" x14ac:dyDescent="0.25">
      <c r="F190" s="104"/>
      <c r="G190" s="104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3" manualBreakCount="3">
    <brk id="49" max="16383" man="1"/>
    <brk id="94" max="16383" man="1"/>
    <brk id="1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E4CC7-7DF7-4BC3-86D6-7C5D272D04E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3</vt:i4>
      </vt:variant>
    </vt:vector>
  </HeadingPairs>
  <TitlesOfParts>
    <vt:vector size="10" baseType="lpstr">
      <vt:lpstr>Zał.Nr1</vt:lpstr>
      <vt:lpstr>Zał.Nr2</vt:lpstr>
      <vt:lpstr>Zał.Nr3</vt:lpstr>
      <vt:lpstr>Zał.Nr4</vt:lpstr>
      <vt:lpstr>Zał.Nr5</vt:lpstr>
      <vt:lpstr>Zał.Nr6</vt:lpstr>
      <vt:lpstr>Arkusz1</vt:lpstr>
      <vt:lpstr>Zał.Nr1!Tytuły_wydruku</vt:lpstr>
      <vt:lpstr>Zał.Nr4!Tytuły_wydruku</vt:lpstr>
      <vt:lpstr>Zał.Nr6!Tytuły_wydruku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2022-11-07T09:19:59Z</cp:lastPrinted>
  <dcterms:created xsi:type="dcterms:W3CDTF">2014-03-20T12:20:20Z</dcterms:created>
  <dcterms:modified xsi:type="dcterms:W3CDTF">2022-11-07T09:20:17Z</dcterms:modified>
</cp:coreProperties>
</file>