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7DD19EBB-8718-4709-8272-2F313AA3C8C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3" r:id="rId1"/>
    <sheet name="Zał.Nr2" sheetId="14" r:id="rId2"/>
    <sheet name="Zał.Nr3" sheetId="15" r:id="rId3"/>
    <sheet name="Zał.Nr4" sheetId="16" r:id="rId4"/>
    <sheet name="Zał.Nr5" sheetId="17" r:id="rId5"/>
    <sheet name="Zał.Nr6" sheetId="18" r:id="rId6"/>
    <sheet name="Zał.Nr7" sheetId="19" r:id="rId7"/>
  </sheets>
  <definedNames>
    <definedName name="_xlnm._FilterDatabase" localSheetId="1" hidden="1">Zał.Nr2!$M$1:$M$30</definedName>
    <definedName name="_xlnm.Print_Area" localSheetId="0">Zał.Nr1!$A$1:$H$877</definedName>
    <definedName name="_xlnm.Print_Area" localSheetId="1">Zał.Nr2!$A$1:$M$31</definedName>
    <definedName name="_xlnm.Print_Area" localSheetId="5">Zał.Nr6!$A$1:$G$81</definedName>
    <definedName name="_xlnm.Print_Area" localSheetId="6">Zał.Nr7!$A$1:$G$194</definedName>
    <definedName name="_xlnm.Print_Titles" localSheetId="0">Zał.Nr1!$7:$9</definedName>
    <definedName name="_xlnm.Print_Titles" localSheetId="1">Zał.Nr2!$11:$18</definedName>
    <definedName name="_xlnm.Print_Titles" localSheetId="3">Zał.Nr4!$10:$11</definedName>
    <definedName name="_xlnm.Print_Titles" localSheetId="5">Zał.Nr6!$10:$11</definedName>
    <definedName name="_xlnm.Print_Titles" localSheetId="6">Zał.Nr7!$10:$11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1" i="19" l="1"/>
  <c r="G189" i="19" s="1"/>
  <c r="G185" i="19"/>
  <c r="G184" i="19" s="1"/>
  <c r="G182" i="19" s="1"/>
  <c r="F181" i="19"/>
  <c r="G178" i="19"/>
  <c r="G176" i="19" s="1"/>
  <c r="G172" i="19"/>
  <c r="G170" i="19" s="1"/>
  <c r="G166" i="19"/>
  <c r="G164" i="19"/>
  <c r="G163" i="19"/>
  <c r="G161" i="19" s="1"/>
  <c r="G159" i="19"/>
  <c r="G158" i="19" s="1"/>
  <c r="F155" i="19"/>
  <c r="G153" i="19"/>
  <c r="G152" i="19"/>
  <c r="G151" i="19"/>
  <c r="F147" i="19"/>
  <c r="G145" i="19"/>
  <c r="G144" i="19"/>
  <c r="F140" i="19"/>
  <c r="G135" i="19"/>
  <c r="G133" i="19"/>
  <c r="G131" i="19"/>
  <c r="G130" i="19"/>
  <c r="G129" i="19"/>
  <c r="G128" i="19"/>
  <c r="G127" i="19"/>
  <c r="G126" i="19" s="1"/>
  <c r="G124" i="19" s="1"/>
  <c r="G122" i="19"/>
  <c r="G121" i="19" s="1"/>
  <c r="G119" i="19" s="1"/>
  <c r="G117" i="19"/>
  <c r="G116" i="19"/>
  <c r="G115" i="19"/>
  <c r="G114" i="19"/>
  <c r="G113" i="19"/>
  <c r="G108" i="19"/>
  <c r="G107" i="19" s="1"/>
  <c r="G105" i="19" s="1"/>
  <c r="G103" i="19"/>
  <c r="G102" i="19"/>
  <c r="G101" i="19"/>
  <c r="G100" i="19"/>
  <c r="G99" i="19"/>
  <c r="G98" i="19"/>
  <c r="G93" i="19"/>
  <c r="G92" i="19"/>
  <c r="G91" i="19"/>
  <c r="G90" i="19"/>
  <c r="G89" i="19"/>
  <c r="G88" i="19"/>
  <c r="G87" i="19" s="1"/>
  <c r="G85" i="19" s="1"/>
  <c r="G83" i="19"/>
  <c r="G82" i="19"/>
  <c r="G81" i="19"/>
  <c r="G80" i="19"/>
  <c r="G79" i="19"/>
  <c r="G78" i="19"/>
  <c r="G73" i="19"/>
  <c r="G72" i="19"/>
  <c r="G70" i="19" s="1"/>
  <c r="G68" i="19"/>
  <c r="G67" i="19"/>
  <c r="G66" i="19"/>
  <c r="G65" i="19"/>
  <c r="G62" i="19" s="1"/>
  <c r="G60" i="19" s="1"/>
  <c r="G64" i="19"/>
  <c r="G63" i="19"/>
  <c r="G58" i="19"/>
  <c r="G57" i="19"/>
  <c r="G56" i="19"/>
  <c r="G55" i="19"/>
  <c r="G54" i="19"/>
  <c r="G52" i="19" s="1"/>
  <c r="G50" i="19" s="1"/>
  <c r="G53" i="19"/>
  <c r="G48" i="19"/>
  <c r="G47" i="19"/>
  <c r="G46" i="19"/>
  <c r="G45" i="19"/>
  <c r="G44" i="19"/>
  <c r="G43" i="19"/>
  <c r="F36" i="19"/>
  <c r="G34" i="19"/>
  <c r="G33" i="19"/>
  <c r="G32" i="19"/>
  <c r="G31" i="19" s="1"/>
  <c r="G29" i="19" s="1"/>
  <c r="F28" i="19"/>
  <c r="G26" i="19"/>
  <c r="G25" i="19"/>
  <c r="G22" i="19" s="1"/>
  <c r="G20" i="19" s="1"/>
  <c r="G23" i="19"/>
  <c r="F19" i="19"/>
  <c r="G17" i="19"/>
  <c r="G16" i="19"/>
  <c r="F12" i="19"/>
  <c r="G77" i="19" l="1"/>
  <c r="G75" i="19" s="1"/>
  <c r="G97" i="19"/>
  <c r="G95" i="19" s="1"/>
  <c r="G112" i="19"/>
  <c r="G110" i="19" s="1"/>
  <c r="G143" i="19"/>
  <c r="G141" i="19" s="1"/>
  <c r="F194" i="19"/>
  <c r="G42" i="19"/>
  <c r="G40" i="19" s="1"/>
  <c r="G150" i="19"/>
  <c r="G148" i="19" s="1"/>
  <c r="G156" i="19"/>
  <c r="G37" i="19"/>
  <c r="G15" i="19"/>
  <c r="G13" i="19" s="1"/>
  <c r="G194" i="19" l="1"/>
  <c r="G79" i="18" l="1"/>
  <c r="G78" i="18"/>
  <c r="G77" i="18"/>
  <c r="G76" i="18"/>
  <c r="G75" i="18"/>
  <c r="G74" i="18"/>
  <c r="G73" i="18"/>
  <c r="G72" i="18"/>
  <c r="G71" i="18"/>
  <c r="G70" i="18" s="1"/>
  <c r="G68" i="18" s="1"/>
  <c r="F67" i="18"/>
  <c r="G62" i="18"/>
  <c r="G61" i="18"/>
  <c r="G60" i="18"/>
  <c r="G59" i="18"/>
  <c r="G58" i="18"/>
  <c r="G57" i="18" s="1"/>
  <c r="G55" i="18" s="1"/>
  <c r="F54" i="18"/>
  <c r="G45" i="18"/>
  <c r="G43" i="18" s="1"/>
  <c r="G40" i="18"/>
  <c r="G38" i="18"/>
  <c r="G34" i="18"/>
  <c r="G31" i="18"/>
  <c r="G30" i="18"/>
  <c r="G29" i="18"/>
  <c r="G28" i="18"/>
  <c r="G27" i="18" s="1"/>
  <c r="G24" i="18" s="1"/>
  <c r="F23" i="18"/>
  <c r="G21" i="18"/>
  <c r="G20" i="18"/>
  <c r="G19" i="18" s="1"/>
  <c r="F18" i="18"/>
  <c r="F81" i="18" s="1"/>
  <c r="G16" i="18"/>
  <c r="G13" i="18" l="1"/>
  <c r="G81" i="18" s="1"/>
  <c r="G32" i="17" l="1"/>
  <c r="F32" i="17"/>
  <c r="E32" i="17"/>
  <c r="D32" i="17"/>
  <c r="E165" i="16" l="1"/>
  <c r="E162" i="16"/>
  <c r="E152" i="16"/>
  <c r="E150" i="16"/>
  <c r="E148" i="16"/>
  <c r="E143" i="16"/>
  <c r="E140" i="16"/>
  <c r="E136" i="16"/>
  <c r="E123" i="16"/>
  <c r="E111" i="16"/>
  <c r="E105" i="16"/>
  <c r="E90" i="16"/>
  <c r="E88" i="16"/>
  <c r="E86" i="16"/>
  <c r="E70" i="16"/>
  <c r="E67" i="16"/>
  <c r="E57" i="16"/>
  <c r="E167" i="16" s="1"/>
  <c r="E50" i="16"/>
  <c r="E48" i="16"/>
  <c r="E47" i="16"/>
  <c r="E46" i="16"/>
  <c r="E44" i="16"/>
  <c r="E42" i="16"/>
  <c r="E41" i="16"/>
  <c r="E40" i="16"/>
  <c r="E38" i="16"/>
  <c r="E36" i="16"/>
  <c r="E32" i="16"/>
  <c r="E28" i="16"/>
  <c r="E26" i="16"/>
  <c r="E20" i="16"/>
  <c r="E16" i="16"/>
  <c r="E13" i="16"/>
  <c r="E54" i="16" s="1"/>
  <c r="E168" i="16" s="1"/>
  <c r="G26" i="15"/>
  <c r="D26" i="15"/>
  <c r="G22" i="15"/>
  <c r="D22" i="15"/>
  <c r="H876" i="13" l="1"/>
  <c r="H875" i="13"/>
  <c r="H874" i="13"/>
  <c r="H873" i="13"/>
  <c r="G872" i="13"/>
  <c r="F872" i="13"/>
  <c r="H872" i="13" s="1"/>
  <c r="G871" i="13"/>
  <c r="G870" i="13"/>
  <c r="H869" i="13"/>
  <c r="G868" i="13"/>
  <c r="G867" i="13" s="1"/>
  <c r="F868" i="13"/>
  <c r="H868" i="13" s="1"/>
  <c r="G866" i="13"/>
  <c r="H865" i="13"/>
  <c r="H864" i="13"/>
  <c r="H863" i="13"/>
  <c r="H862" i="13"/>
  <c r="H861" i="13"/>
  <c r="H860" i="13"/>
  <c r="H859" i="13"/>
  <c r="H858" i="13"/>
  <c r="H857" i="13"/>
  <c r="G856" i="13"/>
  <c r="F856" i="13"/>
  <c r="F855" i="13" s="1"/>
  <c r="H853" i="13"/>
  <c r="G852" i="13"/>
  <c r="G851" i="13" s="1"/>
  <c r="F852" i="13"/>
  <c r="F851" i="13" s="1"/>
  <c r="F848" i="13" s="1"/>
  <c r="H847" i="13"/>
  <c r="G846" i="13"/>
  <c r="F846" i="13"/>
  <c r="F845" i="13" s="1"/>
  <c r="H841" i="13"/>
  <c r="H840" i="13"/>
  <c r="H839" i="13"/>
  <c r="H838" i="13"/>
  <c r="H837" i="13"/>
  <c r="H836" i="13"/>
  <c r="H835" i="13"/>
  <c r="G834" i="13"/>
  <c r="F834" i="13"/>
  <c r="F833" i="13"/>
  <c r="H831" i="13"/>
  <c r="H830" i="13"/>
  <c r="H829" i="13"/>
  <c r="H828" i="13"/>
  <c r="H827" i="13"/>
  <c r="H826" i="13"/>
  <c r="G825" i="13"/>
  <c r="H825" i="13" s="1"/>
  <c r="H824" i="13"/>
  <c r="H823" i="13"/>
  <c r="F822" i="13"/>
  <c r="H818" i="13"/>
  <c r="G817" i="13"/>
  <c r="G816" i="13" s="1"/>
  <c r="F817" i="13"/>
  <c r="H817" i="13" s="1"/>
  <c r="F816" i="13"/>
  <c r="F815" i="13" s="1"/>
  <c r="G815" i="13"/>
  <c r="H814" i="13"/>
  <c r="H813" i="13"/>
  <c r="H812" i="13"/>
  <c r="H811" i="13"/>
  <c r="H810" i="13"/>
  <c r="F810" i="13"/>
  <c r="H809" i="13"/>
  <c r="H808" i="13"/>
  <c r="H807" i="13"/>
  <c r="H806" i="13"/>
  <c r="H805" i="13"/>
  <c r="G804" i="13"/>
  <c r="G802" i="13" s="1"/>
  <c r="F804" i="13"/>
  <c r="F802" i="13" s="1"/>
  <c r="F798" i="13" s="1"/>
  <c r="H801" i="13"/>
  <c r="H800" i="13"/>
  <c r="G800" i="13"/>
  <c r="G799" i="13" s="1"/>
  <c r="G798" i="13" s="1"/>
  <c r="F800" i="13"/>
  <c r="F799" i="13" s="1"/>
  <c r="H797" i="13"/>
  <c r="G796" i="13"/>
  <c r="F796" i="13"/>
  <c r="H796" i="13" s="1"/>
  <c r="G795" i="13"/>
  <c r="G794" i="13" s="1"/>
  <c r="H793" i="13"/>
  <c r="G792" i="13"/>
  <c r="G791" i="13" s="1"/>
  <c r="G790" i="13" s="1"/>
  <c r="F792" i="13"/>
  <c r="H792" i="13" s="1"/>
  <c r="H788" i="13"/>
  <c r="G787" i="13"/>
  <c r="F787" i="13"/>
  <c r="F786" i="13"/>
  <c r="H783" i="13"/>
  <c r="H782" i="13"/>
  <c r="G781" i="13"/>
  <c r="H781" i="13" s="1"/>
  <c r="F781" i="13"/>
  <c r="G780" i="13"/>
  <c r="F780" i="13"/>
  <c r="H779" i="13"/>
  <c r="H778" i="13"/>
  <c r="H777" i="13"/>
  <c r="H776" i="13"/>
  <c r="G775" i="13"/>
  <c r="F775" i="13"/>
  <c r="H775" i="13" s="1"/>
  <c r="G774" i="13"/>
  <c r="H771" i="13"/>
  <c r="H770" i="13"/>
  <c r="G769" i="13"/>
  <c r="F769" i="13"/>
  <c r="F768" i="13" s="1"/>
  <c r="H766" i="13"/>
  <c r="H765" i="13"/>
  <c r="H764" i="13"/>
  <c r="G763" i="13"/>
  <c r="F763" i="13"/>
  <c r="F762" i="13"/>
  <c r="H760" i="13"/>
  <c r="G759" i="13"/>
  <c r="G758" i="13" s="1"/>
  <c r="F759" i="13"/>
  <c r="H759" i="13" s="1"/>
  <c r="F758" i="13"/>
  <c r="H758" i="13" s="1"/>
  <c r="H757" i="13"/>
  <c r="H756" i="13"/>
  <c r="G755" i="13"/>
  <c r="G754" i="13" s="1"/>
  <c r="F755" i="13"/>
  <c r="H755" i="13" s="1"/>
  <c r="H753" i="13"/>
  <c r="H752" i="13"/>
  <c r="H751" i="13"/>
  <c r="H750" i="13"/>
  <c r="F749" i="13"/>
  <c r="H748" i="13"/>
  <c r="H747" i="13"/>
  <c r="G746" i="13"/>
  <c r="G745" i="13" s="1"/>
  <c r="H743" i="13"/>
  <c r="G742" i="13"/>
  <c r="H742" i="13" s="1"/>
  <c r="F742" i="13"/>
  <c r="H741" i="13"/>
  <c r="G740" i="13"/>
  <c r="F740" i="13"/>
  <c r="F739" i="13" s="1"/>
  <c r="H735" i="13"/>
  <c r="G734" i="13"/>
  <c r="F734" i="13"/>
  <c r="H734" i="13" s="1"/>
  <c r="H733" i="13"/>
  <c r="H732" i="13"/>
  <c r="F731" i="13"/>
  <c r="G730" i="13"/>
  <c r="G729" i="13" s="1"/>
  <c r="G728" i="13" s="1"/>
  <c r="H726" i="13"/>
  <c r="H725" i="13"/>
  <c r="G724" i="13"/>
  <c r="F724" i="13"/>
  <c r="F719" i="13" s="1"/>
  <c r="H723" i="13"/>
  <c r="H722" i="13"/>
  <c r="H721" i="13"/>
  <c r="G720" i="13"/>
  <c r="F720" i="13"/>
  <c r="H716" i="13"/>
  <c r="H715" i="13"/>
  <c r="G714" i="13"/>
  <c r="F714" i="13"/>
  <c r="G713" i="13"/>
  <c r="G712" i="13" s="1"/>
  <c r="H711" i="13"/>
  <c r="H710" i="13"/>
  <c r="H709" i="13"/>
  <c r="H708" i="13"/>
  <c r="H707" i="13"/>
  <c r="G706" i="13"/>
  <c r="G705" i="13" s="1"/>
  <c r="G704" i="13" s="1"/>
  <c r="F706" i="13"/>
  <c r="F705" i="13" s="1"/>
  <c r="H703" i="13"/>
  <c r="H702" i="13"/>
  <c r="H701" i="13"/>
  <c r="H700" i="13"/>
  <c r="G699" i="13"/>
  <c r="G698" i="13" s="1"/>
  <c r="F699" i="13"/>
  <c r="H697" i="13"/>
  <c r="G696" i="13"/>
  <c r="G695" i="13" s="1"/>
  <c r="F696" i="13"/>
  <c r="H696" i="13" s="1"/>
  <c r="H694" i="13"/>
  <c r="H693" i="13"/>
  <c r="H692" i="13"/>
  <c r="G691" i="13"/>
  <c r="F691" i="13"/>
  <c r="H690" i="13"/>
  <c r="G689" i="13"/>
  <c r="G688" i="13" s="1"/>
  <c r="F689" i="13"/>
  <c r="H686" i="13"/>
  <c r="H685" i="13"/>
  <c r="H684" i="13"/>
  <c r="G683" i="13"/>
  <c r="F683" i="13"/>
  <c r="F682" i="13"/>
  <c r="H681" i="13"/>
  <c r="H680" i="13"/>
  <c r="G679" i="13"/>
  <c r="F679" i="13"/>
  <c r="F678" i="13" s="1"/>
  <c r="H677" i="13"/>
  <c r="G676" i="13"/>
  <c r="G675" i="13" s="1"/>
  <c r="F676" i="13"/>
  <c r="H674" i="13"/>
  <c r="H673" i="13"/>
  <c r="G672" i="13"/>
  <c r="F672" i="13"/>
  <c r="H671" i="13"/>
  <c r="G670" i="13"/>
  <c r="G669" i="13" s="1"/>
  <c r="F670" i="13"/>
  <c r="H668" i="13"/>
  <c r="H667" i="13"/>
  <c r="G666" i="13"/>
  <c r="G665" i="13" s="1"/>
  <c r="F666" i="13"/>
  <c r="H662" i="13"/>
  <c r="H661" i="13"/>
  <c r="G660" i="13"/>
  <c r="F660" i="13"/>
  <c r="H659" i="13"/>
  <c r="H658" i="13"/>
  <c r="H657" i="13"/>
  <c r="H656" i="13"/>
  <c r="H655" i="13"/>
  <c r="H654" i="13"/>
  <c r="G653" i="13"/>
  <c r="H653" i="13" s="1"/>
  <c r="F653" i="13"/>
  <c r="H652" i="13"/>
  <c r="H651" i="13"/>
  <c r="H650" i="13"/>
  <c r="H649" i="13"/>
  <c r="H648" i="13"/>
  <c r="H647" i="13"/>
  <c r="G646" i="13"/>
  <c r="F646" i="13"/>
  <c r="H646" i="13" s="1"/>
  <c r="H645" i="13"/>
  <c r="H644" i="13"/>
  <c r="H643" i="13"/>
  <c r="H642" i="13"/>
  <c r="H641" i="13"/>
  <c r="H640" i="13"/>
  <c r="H639" i="13"/>
  <c r="H638" i="13"/>
  <c r="H637" i="13"/>
  <c r="H636" i="13"/>
  <c r="G635" i="13"/>
  <c r="F635" i="13"/>
  <c r="H635" i="13" s="1"/>
  <c r="H634" i="13"/>
  <c r="H633" i="13"/>
  <c r="H632" i="13"/>
  <c r="H631" i="13"/>
  <c r="H630" i="13"/>
  <c r="H629" i="13"/>
  <c r="H628" i="13"/>
  <c r="H627" i="13"/>
  <c r="H626" i="13"/>
  <c r="H625" i="13"/>
  <c r="H624" i="13"/>
  <c r="G623" i="13"/>
  <c r="F623" i="13"/>
  <c r="F622" i="13" s="1"/>
  <c r="H620" i="13"/>
  <c r="H619" i="13"/>
  <c r="G618" i="13"/>
  <c r="F618" i="13"/>
  <c r="H617" i="13"/>
  <c r="H616" i="13"/>
  <c r="H615" i="13"/>
  <c r="H614" i="13"/>
  <c r="H613" i="13"/>
  <c r="H612" i="13"/>
  <c r="H611" i="13"/>
  <c r="G611" i="13"/>
  <c r="F611" i="13"/>
  <c r="H610" i="13"/>
  <c r="H609" i="13"/>
  <c r="G608" i="13"/>
  <c r="F608" i="13"/>
  <c r="H608" i="13" s="1"/>
  <c r="H607" i="13"/>
  <c r="H606" i="13"/>
  <c r="G605" i="13"/>
  <c r="F605" i="13"/>
  <c r="H603" i="13"/>
  <c r="H602" i="13"/>
  <c r="G601" i="13"/>
  <c r="F601" i="13"/>
  <c r="H601" i="13" s="1"/>
  <c r="G600" i="13"/>
  <c r="H600" i="13" s="1"/>
  <c r="F599" i="13"/>
  <c r="H596" i="13"/>
  <c r="G595" i="13"/>
  <c r="H595" i="13" s="1"/>
  <c r="F595" i="13"/>
  <c r="F593" i="13" s="1"/>
  <c r="H591" i="13"/>
  <c r="H590" i="13"/>
  <c r="H589" i="13"/>
  <c r="G588" i="13"/>
  <c r="G587" i="13" s="1"/>
  <c r="F588" i="13"/>
  <c r="H588" i="13" s="1"/>
  <c r="F587" i="13"/>
  <c r="H586" i="13"/>
  <c r="G585" i="13"/>
  <c r="G584" i="13" s="1"/>
  <c r="F585" i="13"/>
  <c r="F584" i="13" s="1"/>
  <c r="H583" i="13"/>
  <c r="G582" i="13"/>
  <c r="F582" i="13"/>
  <c r="F581" i="13" s="1"/>
  <c r="H580" i="13"/>
  <c r="G579" i="13"/>
  <c r="F579" i="13"/>
  <c r="H579" i="13" s="1"/>
  <c r="H578" i="13"/>
  <c r="G577" i="13"/>
  <c r="F577" i="13"/>
  <c r="G576" i="13"/>
  <c r="H574" i="13"/>
  <c r="G573" i="13"/>
  <c r="G572" i="13" s="1"/>
  <c r="F573" i="13"/>
  <c r="H573" i="13" s="1"/>
  <c r="F572" i="13"/>
  <c r="H568" i="13"/>
  <c r="H567" i="13"/>
  <c r="H566" i="13"/>
  <c r="H565" i="13"/>
  <c r="G564" i="13"/>
  <c r="F564" i="13"/>
  <c r="F563" i="13" s="1"/>
  <c r="G563" i="13"/>
  <c r="H562" i="13"/>
  <c r="H561" i="13"/>
  <c r="H560" i="13"/>
  <c r="G559" i="13"/>
  <c r="F559" i="13"/>
  <c r="H556" i="13"/>
  <c r="H555" i="13"/>
  <c r="H554" i="13"/>
  <c r="H553" i="13"/>
  <c r="H552" i="13"/>
  <c r="H551" i="13"/>
  <c r="H550" i="13"/>
  <c r="H549" i="13"/>
  <c r="H548" i="13"/>
  <c r="G547" i="13"/>
  <c r="G546" i="13" s="1"/>
  <c r="F547" i="13"/>
  <c r="H547" i="13" s="1"/>
  <c r="H544" i="13"/>
  <c r="H543" i="13"/>
  <c r="G542" i="13"/>
  <c r="H542" i="13" s="1"/>
  <c r="H541" i="13"/>
  <c r="H540" i="13"/>
  <c r="H539" i="13"/>
  <c r="H538" i="13"/>
  <c r="H537" i="13"/>
  <c r="G536" i="13"/>
  <c r="F536" i="13"/>
  <c r="H536" i="13" s="1"/>
  <c r="H535" i="13"/>
  <c r="H534" i="13"/>
  <c r="G533" i="13"/>
  <c r="H533" i="13" s="1"/>
  <c r="F533" i="13"/>
  <c r="H532" i="13"/>
  <c r="H531" i="13"/>
  <c r="H530" i="13"/>
  <c r="H529" i="13"/>
  <c r="G528" i="13"/>
  <c r="F528" i="13"/>
  <c r="H528" i="13" s="1"/>
  <c r="H527" i="13"/>
  <c r="H526" i="13"/>
  <c r="H525" i="13"/>
  <c r="H524" i="13"/>
  <c r="G523" i="13"/>
  <c r="F523" i="13"/>
  <c r="H522" i="13"/>
  <c r="G521" i="13"/>
  <c r="F521" i="13"/>
  <c r="H518" i="13"/>
  <c r="H517" i="13"/>
  <c r="H516" i="13"/>
  <c r="G516" i="13"/>
  <c r="F516" i="13"/>
  <c r="H515" i="13"/>
  <c r="H514" i="13"/>
  <c r="H513" i="13"/>
  <c r="H512" i="13"/>
  <c r="H511" i="13"/>
  <c r="H510" i="13"/>
  <c r="G509" i="13"/>
  <c r="F509" i="13"/>
  <c r="G508" i="13"/>
  <c r="H508" i="13" s="1"/>
  <c r="H507" i="13"/>
  <c r="F506" i="13"/>
  <c r="H506" i="13" s="1"/>
  <c r="F505" i="13"/>
  <c r="H504" i="13"/>
  <c r="H503" i="13"/>
  <c r="G502" i="13"/>
  <c r="H502" i="13" s="1"/>
  <c r="H501" i="13"/>
  <c r="H500" i="13"/>
  <c r="H499" i="13"/>
  <c r="F498" i="13"/>
  <c r="H498" i="13" s="1"/>
  <c r="G497" i="13"/>
  <c r="H497" i="13" s="1"/>
  <c r="H496" i="13"/>
  <c r="H495" i="13"/>
  <c r="F494" i="13"/>
  <c r="H493" i="13"/>
  <c r="H492" i="13"/>
  <c r="G491" i="13"/>
  <c r="G490" i="13" s="1"/>
  <c r="F490" i="13"/>
  <c r="H488" i="13"/>
  <c r="H487" i="13"/>
  <c r="H486" i="13"/>
  <c r="H485" i="13"/>
  <c r="H484" i="13"/>
  <c r="H483" i="13"/>
  <c r="G482" i="13"/>
  <c r="F482" i="13"/>
  <c r="H482" i="13" s="1"/>
  <c r="H481" i="13"/>
  <c r="H480" i="13"/>
  <c r="G479" i="13"/>
  <c r="G478" i="13" s="1"/>
  <c r="F479" i="13"/>
  <c r="H470" i="13"/>
  <c r="G469" i="13"/>
  <c r="G468" i="13" s="1"/>
  <c r="F469" i="13"/>
  <c r="H469" i="13" s="1"/>
  <c r="H467" i="13"/>
  <c r="H466" i="13"/>
  <c r="H465" i="13"/>
  <c r="G464" i="13"/>
  <c r="F464" i="13"/>
  <c r="H464" i="13" s="1"/>
  <c r="H463" i="13"/>
  <c r="H462" i="13"/>
  <c r="G461" i="13"/>
  <c r="F461" i="13"/>
  <c r="F460" i="13" s="1"/>
  <c r="H457" i="13"/>
  <c r="G456" i="13"/>
  <c r="F456" i="13"/>
  <c r="H456" i="13" s="1"/>
  <c r="G455" i="13"/>
  <c r="H455" i="13" s="1"/>
  <c r="H454" i="13"/>
  <c r="F453" i="13"/>
  <c r="H448" i="13"/>
  <c r="H447" i="13"/>
  <c r="F446" i="13"/>
  <c r="H446" i="13" s="1"/>
  <c r="H445" i="13"/>
  <c r="H444" i="13"/>
  <c r="G443" i="13"/>
  <c r="G442" i="13" s="1"/>
  <c r="F443" i="13"/>
  <c r="F442" i="13" s="1"/>
  <c r="H441" i="13"/>
  <c r="G440" i="13"/>
  <c r="F440" i="13"/>
  <c r="H439" i="13"/>
  <c r="H438" i="13"/>
  <c r="H437" i="13"/>
  <c r="G436" i="13"/>
  <c r="H436" i="13" s="1"/>
  <c r="H435" i="13"/>
  <c r="H434" i="13"/>
  <c r="H433" i="13"/>
  <c r="G432" i="13"/>
  <c r="F432" i="13"/>
  <c r="F431" i="13" s="1"/>
  <c r="H430" i="13"/>
  <c r="H429" i="13"/>
  <c r="H428" i="13"/>
  <c r="H427" i="13"/>
  <c r="H426" i="13"/>
  <c r="G425" i="13"/>
  <c r="G424" i="13" s="1"/>
  <c r="F425" i="13"/>
  <c r="H423" i="13"/>
  <c r="H422" i="13"/>
  <c r="H421" i="13"/>
  <c r="H420" i="13"/>
  <c r="H419" i="13"/>
  <c r="G418" i="13"/>
  <c r="F418" i="13"/>
  <c r="H418" i="13" s="1"/>
  <c r="H417" i="13"/>
  <c r="G417" i="13"/>
  <c r="H416" i="13"/>
  <c r="H415" i="13"/>
  <c r="H414" i="13"/>
  <c r="H413" i="13"/>
  <c r="H412" i="13"/>
  <c r="G411" i="13"/>
  <c r="F411" i="13"/>
  <c r="F410" i="13" s="1"/>
  <c r="H409" i="13"/>
  <c r="G408" i="13"/>
  <c r="F408" i="13"/>
  <c r="F407" i="13"/>
  <c r="H407" i="13" s="1"/>
  <c r="H406" i="13"/>
  <c r="H405" i="13"/>
  <c r="F404" i="13"/>
  <c r="H404" i="13" s="1"/>
  <c r="F403" i="13"/>
  <c r="G402" i="13"/>
  <c r="H401" i="13"/>
  <c r="H400" i="13"/>
  <c r="G399" i="13"/>
  <c r="F399" i="13"/>
  <c r="H399" i="13" s="1"/>
  <c r="H398" i="13"/>
  <c r="H397" i="13"/>
  <c r="H396" i="13"/>
  <c r="H395" i="13"/>
  <c r="G394" i="13"/>
  <c r="H394" i="13" s="1"/>
  <c r="F393" i="13"/>
  <c r="H393" i="13" s="1"/>
  <c r="G392" i="13"/>
  <c r="H392" i="13" s="1"/>
  <c r="F391" i="13"/>
  <c r="H390" i="13"/>
  <c r="H389" i="13"/>
  <c r="H387" i="13"/>
  <c r="H386" i="13"/>
  <c r="G385" i="13"/>
  <c r="F385" i="13"/>
  <c r="H385" i="13" s="1"/>
  <c r="H383" i="13"/>
  <c r="G382" i="13"/>
  <c r="F382" i="13"/>
  <c r="H381" i="13"/>
  <c r="H380" i="13"/>
  <c r="H379" i="13"/>
  <c r="H378" i="13"/>
  <c r="F377" i="13"/>
  <c r="H377" i="13" s="1"/>
  <c r="G376" i="13"/>
  <c r="H375" i="13"/>
  <c r="G374" i="13"/>
  <c r="F374" i="13"/>
  <c r="H374" i="13" s="1"/>
  <c r="H373" i="13"/>
  <c r="H372" i="13"/>
  <c r="G371" i="13"/>
  <c r="F371" i="13"/>
  <c r="H369" i="13"/>
  <c r="G368" i="13"/>
  <c r="G367" i="13" s="1"/>
  <c r="F368" i="13"/>
  <c r="H368" i="13" s="1"/>
  <c r="F366" i="13"/>
  <c r="H365" i="13"/>
  <c r="H364" i="13"/>
  <c r="F363" i="13"/>
  <c r="H363" i="13" s="1"/>
  <c r="F362" i="13"/>
  <c r="H362" i="13" s="1"/>
  <c r="G361" i="13"/>
  <c r="H360" i="13"/>
  <c r="H359" i="13"/>
  <c r="H358" i="13"/>
  <c r="H357" i="13"/>
  <c r="H356" i="13"/>
  <c r="H355" i="13"/>
  <c r="H354" i="13"/>
  <c r="H353" i="13"/>
  <c r="H352" i="13"/>
  <c r="H351" i="13"/>
  <c r="H350" i="13"/>
  <c r="G350" i="13"/>
  <c r="G349" i="13"/>
  <c r="F349" i="13"/>
  <c r="H347" i="13"/>
  <c r="G346" i="13"/>
  <c r="F346" i="13"/>
  <c r="H346" i="13" s="1"/>
  <c r="H345" i="13"/>
  <c r="H344" i="13"/>
  <c r="H343" i="13"/>
  <c r="H342" i="13"/>
  <c r="G341" i="13"/>
  <c r="H341" i="13" s="1"/>
  <c r="F341" i="13"/>
  <c r="F340" i="13" s="1"/>
  <c r="H339" i="13"/>
  <c r="H338" i="13"/>
  <c r="H337" i="13"/>
  <c r="H336" i="13"/>
  <c r="G335" i="13"/>
  <c r="G334" i="13" s="1"/>
  <c r="F335" i="13"/>
  <c r="H333" i="13"/>
  <c r="H332" i="13"/>
  <c r="H331" i="13"/>
  <c r="H330" i="13"/>
  <c r="H329" i="13"/>
  <c r="G328" i="13"/>
  <c r="F328" i="13"/>
  <c r="H328" i="13" s="1"/>
  <c r="H327" i="13"/>
  <c r="H326" i="13"/>
  <c r="H325" i="13"/>
  <c r="G324" i="13"/>
  <c r="F324" i="13"/>
  <c r="F323" i="13" s="1"/>
  <c r="H322" i="13"/>
  <c r="G321" i="13"/>
  <c r="F321" i="13"/>
  <c r="H321" i="13" s="1"/>
  <c r="H320" i="13"/>
  <c r="G319" i="13"/>
  <c r="H319" i="13" s="1"/>
  <c r="G318" i="13"/>
  <c r="G314" i="13" s="1"/>
  <c r="H317" i="13"/>
  <c r="F316" i="13"/>
  <c r="F315" i="13"/>
  <c r="H315" i="13" s="1"/>
  <c r="H313" i="13"/>
  <c r="H312" i="13"/>
  <c r="H311" i="13"/>
  <c r="H310" i="13"/>
  <c r="F310" i="13"/>
  <c r="H309" i="13"/>
  <c r="H308" i="13"/>
  <c r="G308" i="13"/>
  <c r="G303" i="13" s="1"/>
  <c r="H307" i="13"/>
  <c r="H306" i="13"/>
  <c r="H305" i="13"/>
  <c r="H304" i="13"/>
  <c r="F303" i="13"/>
  <c r="H302" i="13"/>
  <c r="G301" i="13"/>
  <c r="F301" i="13"/>
  <c r="H299" i="13"/>
  <c r="H298" i="13"/>
  <c r="H297" i="13"/>
  <c r="H296" i="13"/>
  <c r="H295" i="13"/>
  <c r="G294" i="13"/>
  <c r="F294" i="13"/>
  <c r="H293" i="13"/>
  <c r="H292" i="13"/>
  <c r="H291" i="13"/>
  <c r="H290" i="13"/>
  <c r="H289" i="13"/>
  <c r="H288" i="13"/>
  <c r="G287" i="13"/>
  <c r="F287" i="13"/>
  <c r="F286" i="13" s="1"/>
  <c r="F285" i="13"/>
  <c r="H284" i="13"/>
  <c r="H283" i="13"/>
  <c r="H282" i="13"/>
  <c r="F281" i="13"/>
  <c r="H281" i="13" s="1"/>
  <c r="H280" i="13"/>
  <c r="F280" i="13"/>
  <c r="G279" i="13"/>
  <c r="H278" i="13"/>
  <c r="H277" i="13"/>
  <c r="H276" i="13"/>
  <c r="H275" i="13"/>
  <c r="H274" i="13"/>
  <c r="F273" i="13"/>
  <c r="H273" i="13" s="1"/>
  <c r="F272" i="13"/>
  <c r="H272" i="13" s="1"/>
  <c r="H271" i="13"/>
  <c r="H270" i="13"/>
  <c r="F270" i="13"/>
  <c r="H269" i="13"/>
  <c r="H268" i="13"/>
  <c r="H267" i="13"/>
  <c r="H266" i="13"/>
  <c r="G265" i="13"/>
  <c r="H265" i="13" s="1"/>
  <c r="H264" i="13"/>
  <c r="F263" i="13"/>
  <c r="H262" i="13"/>
  <c r="G261" i="13"/>
  <c r="G260" i="13" s="1"/>
  <c r="H259" i="13"/>
  <c r="H258" i="13"/>
  <c r="G257" i="13"/>
  <c r="F257" i="13"/>
  <c r="H254" i="13"/>
  <c r="G253" i="13"/>
  <c r="H253" i="13" s="1"/>
  <c r="F253" i="13"/>
  <c r="F252" i="13"/>
  <c r="F251" i="13"/>
  <c r="H250" i="13"/>
  <c r="H249" i="13"/>
  <c r="G248" i="13"/>
  <c r="F248" i="13"/>
  <c r="H247" i="13"/>
  <c r="H246" i="13"/>
  <c r="G245" i="13"/>
  <c r="H245" i="13" s="1"/>
  <c r="F245" i="13"/>
  <c r="F244" i="13" s="1"/>
  <c r="F243" i="13" s="1"/>
  <c r="H241" i="13"/>
  <c r="H240" i="13"/>
  <c r="G239" i="13"/>
  <c r="F239" i="13"/>
  <c r="H239" i="13" s="1"/>
  <c r="H238" i="13"/>
  <c r="G237" i="13"/>
  <c r="G236" i="13" s="1"/>
  <c r="F237" i="13"/>
  <c r="H237" i="13" s="1"/>
  <c r="H235" i="13"/>
  <c r="H234" i="13"/>
  <c r="G233" i="13"/>
  <c r="F233" i="13"/>
  <c r="H233" i="13" s="1"/>
  <c r="G232" i="13"/>
  <c r="H231" i="13"/>
  <c r="H230" i="13"/>
  <c r="H229" i="13"/>
  <c r="G228" i="13"/>
  <c r="F228" i="13"/>
  <c r="F227" i="13" s="1"/>
  <c r="H227" i="13"/>
  <c r="G227" i="13"/>
  <c r="H226" i="13"/>
  <c r="H225" i="13"/>
  <c r="H224" i="13"/>
  <c r="G224" i="13"/>
  <c r="F224" i="13"/>
  <c r="H223" i="13"/>
  <c r="H222" i="13"/>
  <c r="G221" i="13"/>
  <c r="F221" i="13"/>
  <c r="H219" i="13"/>
  <c r="H218" i="13"/>
  <c r="H217" i="13"/>
  <c r="H216" i="13"/>
  <c r="H215" i="13"/>
  <c r="H214" i="13"/>
  <c r="H213" i="13"/>
  <c r="H212" i="13"/>
  <c r="G211" i="13"/>
  <c r="H211" i="13" s="1"/>
  <c r="F211" i="13"/>
  <c r="H208" i="13"/>
  <c r="H207" i="13"/>
  <c r="H206" i="13"/>
  <c r="H205" i="13"/>
  <c r="H204" i="13"/>
  <c r="H203" i="13"/>
  <c r="H202" i="13"/>
  <c r="H201" i="13"/>
  <c r="H200" i="13"/>
  <c r="H199" i="13"/>
  <c r="G199" i="13"/>
  <c r="F199" i="13"/>
  <c r="F198" i="13" s="1"/>
  <c r="H198" i="13" s="1"/>
  <c r="G198" i="13"/>
  <c r="H197" i="13"/>
  <c r="H196" i="13"/>
  <c r="H195" i="13"/>
  <c r="H194" i="13"/>
  <c r="G193" i="13"/>
  <c r="G192" i="13" s="1"/>
  <c r="F193" i="13"/>
  <c r="H190" i="13"/>
  <c r="H189" i="13"/>
  <c r="H188" i="13"/>
  <c r="H187" i="13"/>
  <c r="H186" i="13"/>
  <c r="H185" i="13"/>
  <c r="G184" i="13"/>
  <c r="G183" i="13" s="1"/>
  <c r="F184" i="13"/>
  <c r="H184" i="13" s="1"/>
  <c r="H182" i="13"/>
  <c r="H181" i="13"/>
  <c r="G180" i="13"/>
  <c r="G179" i="13" s="1"/>
  <c r="F180" i="13"/>
  <c r="H180" i="13" s="1"/>
  <c r="F179" i="13"/>
  <c r="H179" i="13" s="1"/>
  <c r="H178" i="13"/>
  <c r="H177" i="13"/>
  <c r="G176" i="13"/>
  <c r="G175" i="13" s="1"/>
  <c r="F176" i="13"/>
  <c r="H174" i="13"/>
  <c r="H173" i="13"/>
  <c r="H172" i="13"/>
  <c r="G171" i="13"/>
  <c r="F171" i="13"/>
  <c r="F170" i="13"/>
  <c r="H169" i="13"/>
  <c r="G168" i="13"/>
  <c r="G167" i="13" s="1"/>
  <c r="F168" i="13"/>
  <c r="H163" i="13"/>
  <c r="G162" i="13"/>
  <c r="G161" i="13" s="1"/>
  <c r="G160" i="13" s="1"/>
  <c r="F162" i="13"/>
  <c r="F161" i="13"/>
  <c r="H159" i="13"/>
  <c r="H158" i="13"/>
  <c r="G158" i="13"/>
  <c r="F158" i="13"/>
  <c r="G157" i="13"/>
  <c r="G156" i="13" s="1"/>
  <c r="F157" i="13"/>
  <c r="H155" i="13"/>
  <c r="G154" i="13"/>
  <c r="G153" i="13" s="1"/>
  <c r="G152" i="13" s="1"/>
  <c r="F154" i="13"/>
  <c r="F153" i="13"/>
  <c r="H151" i="13"/>
  <c r="G150" i="13"/>
  <c r="G149" i="13" s="1"/>
  <c r="G146" i="13" s="1"/>
  <c r="F150" i="13"/>
  <c r="F149" i="13"/>
  <c r="H145" i="13"/>
  <c r="G144" i="13"/>
  <c r="G143" i="13" s="1"/>
  <c r="G140" i="13" s="1"/>
  <c r="F144" i="13"/>
  <c r="F143" i="13"/>
  <c r="G139" i="13"/>
  <c r="G138" i="13" s="1"/>
  <c r="F139" i="13"/>
  <c r="G137" i="13"/>
  <c r="G136" i="13" s="1"/>
  <c r="H134" i="13"/>
  <c r="G133" i="13"/>
  <c r="G132" i="13" s="1"/>
  <c r="G131" i="13" s="1"/>
  <c r="F133" i="13"/>
  <c r="F132" i="13"/>
  <c r="H130" i="13"/>
  <c r="G129" i="13"/>
  <c r="G128" i="13" s="1"/>
  <c r="F129" i="13"/>
  <c r="F128" i="13" s="1"/>
  <c r="F127" i="13" s="1"/>
  <c r="H126" i="13"/>
  <c r="G125" i="13"/>
  <c r="G124" i="13" s="1"/>
  <c r="G123" i="13" s="1"/>
  <c r="F125" i="13"/>
  <c r="H125" i="13" s="1"/>
  <c r="F124" i="13"/>
  <c r="H122" i="13"/>
  <c r="G121" i="13"/>
  <c r="F121" i="13"/>
  <c r="F120" i="13" s="1"/>
  <c r="G120" i="13"/>
  <c r="G119" i="13" s="1"/>
  <c r="H117" i="13"/>
  <c r="G116" i="13"/>
  <c r="G115" i="13" s="1"/>
  <c r="F116" i="13"/>
  <c r="F115" i="13" s="1"/>
  <c r="H112" i="13"/>
  <c r="G111" i="13"/>
  <c r="G110" i="13" s="1"/>
  <c r="F111" i="13"/>
  <c r="H109" i="13"/>
  <c r="G108" i="13"/>
  <c r="G107" i="13" s="1"/>
  <c r="H107" i="13" s="1"/>
  <c r="F108" i="13"/>
  <c r="F107" i="13" s="1"/>
  <c r="H104" i="13"/>
  <c r="G103" i="13"/>
  <c r="G12" i="13" s="1"/>
  <c r="F103" i="13"/>
  <c r="F102" i="13" s="1"/>
  <c r="H100" i="13"/>
  <c r="G99" i="13"/>
  <c r="G98" i="13" s="1"/>
  <c r="G97" i="13" s="1"/>
  <c r="F99" i="13"/>
  <c r="H96" i="13"/>
  <c r="G95" i="13"/>
  <c r="G94" i="13" s="1"/>
  <c r="F95" i="13"/>
  <c r="F94" i="13" s="1"/>
  <c r="H93" i="13"/>
  <c r="G92" i="13"/>
  <c r="G91" i="13" s="1"/>
  <c r="F92" i="13"/>
  <c r="F91" i="13" s="1"/>
  <c r="H91" i="13" s="1"/>
  <c r="H90" i="13"/>
  <c r="G89" i="13"/>
  <c r="G88" i="13" s="1"/>
  <c r="F89" i="13"/>
  <c r="H86" i="13"/>
  <c r="G85" i="13"/>
  <c r="G84" i="13" s="1"/>
  <c r="G81" i="13" s="1"/>
  <c r="F85" i="13"/>
  <c r="F84" i="13" s="1"/>
  <c r="F81" i="13" s="1"/>
  <c r="H80" i="13"/>
  <c r="G79" i="13"/>
  <c r="F79" i="13"/>
  <c r="F78" i="13"/>
  <c r="F77" i="13" s="1"/>
  <c r="G77" i="13"/>
  <c r="G76" i="13" s="1"/>
  <c r="G75" i="13" s="1"/>
  <c r="H74" i="13"/>
  <c r="H73" i="13"/>
  <c r="G73" i="13"/>
  <c r="F73" i="13"/>
  <c r="H72" i="13"/>
  <c r="H71" i="13"/>
  <c r="G71" i="13"/>
  <c r="F71" i="13"/>
  <c r="F70" i="13" s="1"/>
  <c r="F69" i="13" s="1"/>
  <c r="G70" i="13"/>
  <c r="H70" i="13" s="1"/>
  <c r="G69" i="13"/>
  <c r="H67" i="13"/>
  <c r="G66" i="13"/>
  <c r="G65" i="13" s="1"/>
  <c r="G64" i="13" s="1"/>
  <c r="F66" i="13"/>
  <c r="H66" i="13" s="1"/>
  <c r="H63" i="13"/>
  <c r="G62" i="13"/>
  <c r="G61" i="13" s="1"/>
  <c r="G60" i="13" s="1"/>
  <c r="F62" i="13"/>
  <c r="F61" i="13" s="1"/>
  <c r="F60" i="13"/>
  <c r="H59" i="13"/>
  <c r="G58" i="13"/>
  <c r="F58" i="13"/>
  <c r="H58" i="13" s="1"/>
  <c r="H57" i="13"/>
  <c r="G56" i="13"/>
  <c r="F56" i="13"/>
  <c r="H55" i="13"/>
  <c r="G54" i="13"/>
  <c r="G53" i="13" s="1"/>
  <c r="G52" i="13" s="1"/>
  <c r="F54" i="13"/>
  <c r="H51" i="13"/>
  <c r="H50" i="13"/>
  <c r="G49" i="13"/>
  <c r="G48" i="13" s="1"/>
  <c r="F49" i="13"/>
  <c r="H47" i="13"/>
  <c r="G46" i="13"/>
  <c r="G45" i="13" s="1"/>
  <c r="F46" i="13"/>
  <c r="F45" i="13" s="1"/>
  <c r="H44" i="13"/>
  <c r="H43" i="13"/>
  <c r="G43" i="13"/>
  <c r="F43" i="13"/>
  <c r="G42" i="13"/>
  <c r="F42" i="13"/>
  <c r="H42" i="13" s="1"/>
  <c r="H41" i="13"/>
  <c r="G40" i="13"/>
  <c r="F40" i="13"/>
  <c r="H40" i="13" s="1"/>
  <c r="H39" i="13"/>
  <c r="G38" i="13"/>
  <c r="F38" i="13"/>
  <c r="H38" i="13" s="1"/>
  <c r="F37" i="13"/>
  <c r="H35" i="13"/>
  <c r="G34" i="13"/>
  <c r="H34" i="13" s="1"/>
  <c r="G33" i="13"/>
  <c r="H33" i="13" s="1"/>
  <c r="H28" i="13"/>
  <c r="G27" i="13"/>
  <c r="G26" i="13" s="1"/>
  <c r="G25" i="13" s="1"/>
  <c r="F27" i="13"/>
  <c r="F24" i="13"/>
  <c r="G23" i="13"/>
  <c r="G22" i="13"/>
  <c r="G21" i="13" s="1"/>
  <c r="H20" i="13"/>
  <c r="G19" i="13"/>
  <c r="H19" i="13" s="1"/>
  <c r="F19" i="13"/>
  <c r="F18" i="13"/>
  <c r="F17" i="13"/>
  <c r="H15" i="13"/>
  <c r="G14" i="13"/>
  <c r="G13" i="13" s="1"/>
  <c r="F14" i="13"/>
  <c r="F13" i="13"/>
  <c r="H798" i="13" l="1"/>
  <c r="H77" i="13"/>
  <c r="F76" i="13"/>
  <c r="F75" i="13" s="1"/>
  <c r="G127" i="13"/>
  <c r="G118" i="13" s="1"/>
  <c r="H128" i="13"/>
  <c r="G822" i="13"/>
  <c r="G821" i="13" s="1"/>
  <c r="G820" i="13" s="1"/>
  <c r="G87" i="13"/>
  <c r="G286" i="13"/>
  <c r="H286" i="13" s="1"/>
  <c r="H802" i="13"/>
  <c r="H46" i="13"/>
  <c r="H62" i="13"/>
  <c r="H108" i="13"/>
  <c r="H120" i="13"/>
  <c r="G505" i="13"/>
  <c r="G18" i="13"/>
  <c r="G17" i="13" s="1"/>
  <c r="H17" i="13" s="1"/>
  <c r="H56" i="13"/>
  <c r="H78" i="13"/>
  <c r="F119" i="13"/>
  <c r="H119" i="13" s="1"/>
  <c r="F183" i="13"/>
  <c r="G191" i="13"/>
  <c r="G210" i="13"/>
  <c r="G209" i="13" s="1"/>
  <c r="F236" i="13"/>
  <c r="G252" i="13"/>
  <c r="G251" i="13" s="1"/>
  <c r="H251" i="13" s="1"/>
  <c r="G340" i="13"/>
  <c r="H340" i="13" s="1"/>
  <c r="H382" i="13"/>
  <c r="G388" i="13"/>
  <c r="G384" i="13" s="1"/>
  <c r="H443" i="13"/>
  <c r="G520" i="13"/>
  <c r="G519" i="13" s="1"/>
  <c r="F546" i="13"/>
  <c r="H546" i="13" s="1"/>
  <c r="H572" i="13"/>
  <c r="H585" i="13"/>
  <c r="H587" i="13"/>
  <c r="G593" i="13"/>
  <c r="H660" i="13"/>
  <c r="H691" i="13"/>
  <c r="H706" i="13"/>
  <c r="H799" i="13"/>
  <c r="F821" i="13"/>
  <c r="H60" i="13"/>
  <c r="G256" i="13"/>
  <c r="H442" i="13"/>
  <c r="H505" i="13"/>
  <c r="H851" i="13"/>
  <c r="G244" i="13"/>
  <c r="G243" i="13" s="1"/>
  <c r="H261" i="13"/>
  <c r="H318" i="13"/>
  <c r="H440" i="13"/>
  <c r="F452" i="13"/>
  <c r="G687" i="13"/>
  <c r="H27" i="13"/>
  <c r="H45" i="13"/>
  <c r="H61" i="13"/>
  <c r="F65" i="13"/>
  <c r="H79" i="13"/>
  <c r="H92" i="13"/>
  <c r="H121" i="13"/>
  <c r="H129" i="13"/>
  <c r="H228" i="13"/>
  <c r="F232" i="13"/>
  <c r="H232" i="13" s="1"/>
  <c r="H257" i="13"/>
  <c r="H287" i="13"/>
  <c r="G300" i="13"/>
  <c r="H408" i="13"/>
  <c r="H523" i="13"/>
  <c r="H559" i="13"/>
  <c r="H564" i="13"/>
  <c r="G598" i="13"/>
  <c r="G597" i="13" s="1"/>
  <c r="H672" i="13"/>
  <c r="F695" i="13"/>
  <c r="H724" i="13"/>
  <c r="F754" i="13"/>
  <c r="H754" i="13" s="1"/>
  <c r="H804" i="13"/>
  <c r="H816" i="13"/>
  <c r="H852" i="13"/>
  <c r="F867" i="13"/>
  <c r="H81" i="13"/>
  <c r="H168" i="13"/>
  <c r="F167" i="13"/>
  <c r="H193" i="13"/>
  <c r="F192" i="13"/>
  <c r="H769" i="13"/>
  <c r="G768" i="13"/>
  <c r="H768" i="13" s="1"/>
  <c r="H95" i="13"/>
  <c r="G744" i="13"/>
  <c r="H749" i="13"/>
  <c r="F746" i="13"/>
  <c r="F820" i="13"/>
  <c r="H834" i="13"/>
  <c r="G833" i="13"/>
  <c r="G832" i="13" s="1"/>
  <c r="F842" i="13"/>
  <c r="G848" i="13"/>
  <c r="H848" i="13" s="1"/>
  <c r="H76" i="13"/>
  <c r="F152" i="13"/>
  <c r="H152" i="13" s="1"/>
  <c r="H153" i="13"/>
  <c r="H157" i="13"/>
  <c r="F156" i="13"/>
  <c r="H156" i="13" s="1"/>
  <c r="H49" i="13"/>
  <c r="F48" i="13"/>
  <c r="H48" i="13" s="1"/>
  <c r="H65" i="13"/>
  <c r="F64" i="13"/>
  <c r="H64" i="13" s="1"/>
  <c r="H84" i="13"/>
  <c r="H124" i="13"/>
  <c r="F123" i="13"/>
  <c r="H123" i="13" s="1"/>
  <c r="H149" i="13"/>
  <c r="F146" i="13"/>
  <c r="H146" i="13" s="1"/>
  <c r="H171" i="13"/>
  <c r="G170" i="13"/>
  <c r="G166" i="13" s="1"/>
  <c r="H263" i="13"/>
  <c r="F260" i="13"/>
  <c r="H13" i="13"/>
  <c r="F12" i="13"/>
  <c r="H18" i="13"/>
  <c r="H115" i="13"/>
  <c r="H132" i="13"/>
  <c r="F131" i="13"/>
  <c r="H131" i="13" s="1"/>
  <c r="H139" i="13"/>
  <c r="F138" i="13"/>
  <c r="F388" i="13"/>
  <c r="H388" i="13" s="1"/>
  <c r="H391" i="13"/>
  <c r="F621" i="13"/>
  <c r="H335" i="13"/>
  <c r="F334" i="13"/>
  <c r="H334" i="13" s="1"/>
  <c r="H366" i="13"/>
  <c r="F761" i="13"/>
  <c r="H856" i="13"/>
  <c r="G855" i="13"/>
  <c r="G854" i="13" s="1"/>
  <c r="H85" i="13"/>
  <c r="H94" i="13"/>
  <c r="F140" i="13"/>
  <c r="H140" i="13" s="1"/>
  <c r="H143" i="13"/>
  <c r="H150" i="13"/>
  <c r="H176" i="13"/>
  <c r="F175" i="13"/>
  <c r="H175" i="13" s="1"/>
  <c r="H411" i="13"/>
  <c r="G410" i="13"/>
  <c r="H432" i="13"/>
  <c r="G431" i="13"/>
  <c r="H431" i="13" s="1"/>
  <c r="F53" i="13"/>
  <c r="H89" i="13"/>
  <c r="F88" i="13"/>
  <c r="H99" i="13"/>
  <c r="F98" i="13"/>
  <c r="H103" i="13"/>
  <c r="H14" i="13"/>
  <c r="H24" i="13"/>
  <c r="F23" i="13"/>
  <c r="F26" i="13"/>
  <c r="G37" i="13"/>
  <c r="G29" i="13" s="1"/>
  <c r="G11" i="13" s="1"/>
  <c r="H54" i="13"/>
  <c r="H69" i="13"/>
  <c r="G102" i="13"/>
  <c r="G101" i="13" s="1"/>
  <c r="G68" i="13" s="1"/>
  <c r="H111" i="13"/>
  <c r="F110" i="13"/>
  <c r="H116" i="13"/>
  <c r="H133" i="13"/>
  <c r="F160" i="13"/>
  <c r="H160" i="13" s="1"/>
  <c r="H161" i="13"/>
  <c r="H183" i="13"/>
  <c r="H599" i="13"/>
  <c r="F598" i="13"/>
  <c r="H618" i="13"/>
  <c r="G604" i="13"/>
  <c r="H324" i="13"/>
  <c r="G323" i="13"/>
  <c r="H323" i="13" s="1"/>
  <c r="H349" i="13"/>
  <c r="F348" i="13"/>
  <c r="H371" i="13"/>
  <c r="H403" i="13"/>
  <c r="F402" i="13"/>
  <c r="H402" i="13" s="1"/>
  <c r="H410" i="13"/>
  <c r="F698" i="13"/>
  <c r="H698" i="13" s="1"/>
  <c r="H699" i="13"/>
  <c r="H705" i="13"/>
  <c r="F704" i="13"/>
  <c r="H739" i="13"/>
  <c r="F736" i="13"/>
  <c r="H144" i="13"/>
  <c r="H154" i="13"/>
  <c r="H162" i="13"/>
  <c r="F210" i="13"/>
  <c r="H221" i="13"/>
  <c r="H236" i="13"/>
  <c r="H248" i="13"/>
  <c r="H285" i="13"/>
  <c r="F279" i="13"/>
  <c r="H301" i="13"/>
  <c r="F314" i="13"/>
  <c r="H316" i="13"/>
  <c r="G348" i="13"/>
  <c r="G370" i="13"/>
  <c r="H425" i="13"/>
  <c r="F424" i="13"/>
  <c r="H424" i="13" s="1"/>
  <c r="H461" i="13"/>
  <c r="G460" i="13"/>
  <c r="H460" i="13" s="1"/>
  <c r="H479" i="13"/>
  <c r="F478" i="13"/>
  <c r="H478" i="13" s="1"/>
  <c r="H490" i="13"/>
  <c r="F489" i="13"/>
  <c r="H683" i="13"/>
  <c r="G682" i="13"/>
  <c r="H682" i="13" s="1"/>
  <c r="H780" i="13"/>
  <c r="H243" i="13"/>
  <c r="H294" i="13"/>
  <c r="H303" i="13"/>
  <c r="F520" i="13"/>
  <c r="H581" i="13"/>
  <c r="F665" i="13"/>
  <c r="H666" i="13"/>
  <c r="H720" i="13"/>
  <c r="G719" i="13"/>
  <c r="G718" i="13" s="1"/>
  <c r="H731" i="13"/>
  <c r="F730" i="13"/>
  <c r="F367" i="13"/>
  <c r="H367" i="13" s="1"/>
  <c r="F376" i="13"/>
  <c r="H376" i="13" s="1"/>
  <c r="F468" i="13"/>
  <c r="H468" i="13" s="1"/>
  <c r="H563" i="13"/>
  <c r="H584" i="13"/>
  <c r="H593" i="13"/>
  <c r="F604" i="13"/>
  <c r="H605" i="13"/>
  <c r="H623" i="13"/>
  <c r="G622" i="13"/>
  <c r="G621" i="13" s="1"/>
  <c r="F669" i="13"/>
  <c r="H669" i="13" s="1"/>
  <c r="H670" i="13"/>
  <c r="F675" i="13"/>
  <c r="H675" i="13" s="1"/>
  <c r="H676" i="13"/>
  <c r="F688" i="13"/>
  <c r="H689" i="13"/>
  <c r="F713" i="13"/>
  <c r="H714" i="13"/>
  <c r="H740" i="13"/>
  <c r="G739" i="13"/>
  <c r="G736" i="13" s="1"/>
  <c r="H763" i="13"/>
  <c r="G762" i="13"/>
  <c r="G761" i="13" s="1"/>
  <c r="H815" i="13"/>
  <c r="F832" i="13"/>
  <c r="H832" i="13" s="1"/>
  <c r="H833" i="13"/>
  <c r="H846" i="13"/>
  <c r="G845" i="13"/>
  <c r="G842" i="13" s="1"/>
  <c r="F854" i="13"/>
  <c r="H855" i="13"/>
  <c r="F361" i="13"/>
  <c r="H361" i="13" s="1"/>
  <c r="G453" i="13"/>
  <c r="H491" i="13"/>
  <c r="G494" i="13"/>
  <c r="G489" i="13" s="1"/>
  <c r="H509" i="13"/>
  <c r="H521" i="13"/>
  <c r="F576" i="13"/>
  <c r="H576" i="13" s="1"/>
  <c r="H577" i="13"/>
  <c r="H582" i="13"/>
  <c r="G581" i="13"/>
  <c r="H679" i="13"/>
  <c r="G678" i="13"/>
  <c r="G663" i="13" s="1"/>
  <c r="H695" i="13"/>
  <c r="F718" i="13"/>
  <c r="H719" i="13"/>
  <c r="F774" i="13"/>
  <c r="H787" i="13"/>
  <c r="G786" i="13"/>
  <c r="H786" i="13" s="1"/>
  <c r="F795" i="13"/>
  <c r="F791" i="13"/>
  <c r="F871" i="13"/>
  <c r="F866" i="13" l="1"/>
  <c r="H866" i="13" s="1"/>
  <c r="H867" i="13"/>
  <c r="G545" i="13"/>
  <c r="H821" i="13"/>
  <c r="H604" i="13"/>
  <c r="H170" i="13"/>
  <c r="H244" i="13"/>
  <c r="H820" i="13"/>
  <c r="H127" i="13"/>
  <c r="H822" i="13"/>
  <c r="H348" i="13"/>
  <c r="H252" i="13"/>
  <c r="H774" i="13"/>
  <c r="H854" i="13"/>
  <c r="F729" i="13"/>
  <c r="H730" i="13"/>
  <c r="H678" i="13"/>
  <c r="H314" i="13"/>
  <c r="F300" i="13"/>
  <c r="H300" i="13" s="1"/>
  <c r="H279" i="13"/>
  <c r="H704" i="13"/>
  <c r="H621" i="13"/>
  <c r="F384" i="13"/>
  <c r="H384" i="13" s="1"/>
  <c r="H12" i="13"/>
  <c r="H845" i="13"/>
  <c r="H746" i="13"/>
  <c r="F745" i="13"/>
  <c r="H192" i="13"/>
  <c r="F191" i="13"/>
  <c r="F687" i="13"/>
  <c r="H688" i="13"/>
  <c r="F101" i="13"/>
  <c r="H101" i="13" s="1"/>
  <c r="H110" i="13"/>
  <c r="F22" i="13"/>
  <c r="H23" i="13"/>
  <c r="G789" i="13"/>
  <c r="F794" i="13"/>
  <c r="H794" i="13" s="1"/>
  <c r="H795" i="13"/>
  <c r="F519" i="13"/>
  <c r="H520" i="13"/>
  <c r="H489" i="13"/>
  <c r="F370" i="13"/>
  <c r="H370" i="13" s="1"/>
  <c r="F29" i="13"/>
  <c r="F97" i="13"/>
  <c r="H97" i="13" s="1"/>
  <c r="H98" i="13"/>
  <c r="H53" i="13"/>
  <c r="F52" i="13"/>
  <c r="H52" i="13" s="1"/>
  <c r="H762" i="13"/>
  <c r="H622" i="13"/>
  <c r="H138" i="13"/>
  <c r="F137" i="13"/>
  <c r="H75" i="13"/>
  <c r="H842" i="13"/>
  <c r="H37" i="13"/>
  <c r="F767" i="13"/>
  <c r="F87" i="13"/>
  <c r="H87" i="13" s="1"/>
  <c r="H88" i="13"/>
  <c r="G10" i="13"/>
  <c r="F870" i="13"/>
  <c r="H870" i="13" s="1"/>
  <c r="H871" i="13"/>
  <c r="H718" i="13"/>
  <c r="H453" i="13"/>
  <c r="G452" i="13"/>
  <c r="H452" i="13" s="1"/>
  <c r="H713" i="13"/>
  <c r="F712" i="13"/>
  <c r="H712" i="13" s="1"/>
  <c r="H494" i="13"/>
  <c r="F790" i="13"/>
  <c r="H791" i="13"/>
  <c r="F663" i="13"/>
  <c r="H665" i="13"/>
  <c r="F209" i="13"/>
  <c r="H210" i="13"/>
  <c r="H736" i="13"/>
  <c r="H598" i="13"/>
  <c r="F597" i="13"/>
  <c r="H26" i="13"/>
  <c r="F25" i="13"/>
  <c r="H25" i="13" s="1"/>
  <c r="H761" i="13"/>
  <c r="H102" i="13"/>
  <c r="H260" i="13"/>
  <c r="F256" i="13"/>
  <c r="G767" i="13"/>
  <c r="G717" i="13" s="1"/>
  <c r="H167" i="13"/>
  <c r="F166" i="13"/>
  <c r="H745" i="13" l="1"/>
  <c r="F744" i="13"/>
  <c r="H166" i="13"/>
  <c r="H790" i="13"/>
  <c r="F789" i="13"/>
  <c r="F68" i="13"/>
  <c r="H519" i="13"/>
  <c r="H191" i="13"/>
  <c r="H597" i="13"/>
  <c r="F545" i="13"/>
  <c r="H729" i="13"/>
  <c r="F728" i="13"/>
  <c r="H209" i="13"/>
  <c r="F136" i="13"/>
  <c r="H137" i="13"/>
  <c r="H29" i="13"/>
  <c r="F21" i="13"/>
  <c r="H22" i="13"/>
  <c r="H687" i="13"/>
  <c r="F255" i="13"/>
  <c r="F165" i="13" s="1"/>
  <c r="H256" i="13"/>
  <c r="H663" i="13"/>
  <c r="H767" i="13"/>
  <c r="G255" i="13"/>
  <c r="G165" i="13" s="1"/>
  <c r="G164" i="13" s="1"/>
  <c r="H165" i="13" l="1"/>
  <c r="H744" i="13"/>
  <c r="H789" i="13"/>
  <c r="H545" i="13"/>
  <c r="H255" i="13"/>
  <c r="H21" i="13"/>
  <c r="F11" i="13"/>
  <c r="H136" i="13"/>
  <c r="F118" i="13"/>
  <c r="H728" i="13"/>
  <c r="F717" i="13"/>
  <c r="F164" i="13" s="1"/>
  <c r="H68" i="13"/>
  <c r="H164" i="13" l="1"/>
  <c r="F10" i="13"/>
  <c r="H11" i="13"/>
  <c r="H118" i="13"/>
  <c r="H717" i="13"/>
  <c r="H1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D22" authorId="0" shapeId="0" xr:uid="{9866DE36-86D6-4B2D-88DE-CC5C65CE219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nieruchomości:
Zapiecek 8, 
Królewiecka 9
Cyganka 9</t>
        </r>
      </text>
    </comment>
    <comment ref="J26" authorId="0" shapeId="0" xr:uid="{E909C161-EF52-4516-90E0-E8441B46CC6E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darowizna</t>
        </r>
      </text>
    </comment>
    <comment ref="B28" authorId="0" shapeId="0" xr:uid="{1C6375B1-B020-4241-9436-F568C9BDA68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<sst xmlns="http://schemas.openxmlformats.org/spreadsheetml/2006/main" count="1802" uniqueCount="626">
  <si>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</si>
  <si>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</si>
  <si>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</si>
  <si>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</si>
  <si>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</si>
  <si>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</si>
  <si>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</si>
  <si>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</si>
  <si>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</si>
  <si>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</si>
  <si>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</si>
  <si>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WYDATKI OGÓŁEM:</t>
  </si>
  <si>
    <t>Wydatki na zadania własne:</t>
  </si>
  <si>
    <t>zakup materiałów i wyposażenia</t>
  </si>
  <si>
    <t>zakup usług pozostałych</t>
  </si>
  <si>
    <t>Załącznik Nr 2</t>
  </si>
  <si>
    <t xml:space="preserve">Prezydenta Miasta Włocławek </t>
  </si>
  <si>
    <t>Gospodarka mieszkaniowa</t>
  </si>
  <si>
    <t>przed zmianą</t>
  </si>
  <si>
    <t>Administracja publiczna</t>
  </si>
  <si>
    <t>koszty postępowania sądowego i prokuratorskiego</t>
  </si>
  <si>
    <t>Zmiany w budżecie miasta Włocławek na 2022 rok</t>
  </si>
  <si>
    <t>75095</t>
  </si>
  <si>
    <t xml:space="preserve">zakup usług obejmujących wykonanie ekspertyz, analiz i opinii </t>
  </si>
  <si>
    <t>Edukacyjna opieka wychowawcza</t>
  </si>
  <si>
    <t>Kolonie i obozy oraz inne formy wypoczynku dzieci</t>
  </si>
  <si>
    <t>Wydział Edukacji</t>
  </si>
  <si>
    <t>zakup środków żywności</t>
  </si>
  <si>
    <t>Jednostki oświatowe zbiorczo</t>
  </si>
  <si>
    <t xml:space="preserve">składki na ubezpieczenia społeczne </t>
  </si>
  <si>
    <t xml:space="preserve">składki na Fundusz Pracy oraz Fundusz Solidarnościowy </t>
  </si>
  <si>
    <t>4170</t>
  </si>
  <si>
    <t>wynagrodzenia bezosobowe</t>
  </si>
  <si>
    <t>wpłaty na PPK finansowane przez podmiot zatrudniający</t>
  </si>
  <si>
    <t>Wydatki na zadania rządowe:</t>
  </si>
  <si>
    <t>Gospodarka gruntami i nieruchomościami</t>
  </si>
  <si>
    <t>Wydział Gospodarowania Mieniem Komunalnym</t>
  </si>
  <si>
    <t xml:space="preserve">Plan </t>
  </si>
  <si>
    <t xml:space="preserve"> dochodów i wydatków wydzielonych rachunków dochodów oświatowych jednostek budżetowych na 2022 rok</t>
  </si>
  <si>
    <t>(zbiorczo)</t>
  </si>
  <si>
    <t>Lp.</t>
  </si>
  <si>
    <t>Wyszczególnienie</t>
  </si>
  <si>
    <t>Dochody</t>
  </si>
  <si>
    <t>Wydatki</t>
  </si>
  <si>
    <t>1.</t>
  </si>
  <si>
    <t>Szkoły podstawowe</t>
  </si>
  <si>
    <t>2.</t>
  </si>
  <si>
    <t>Szkoły podstawowe specjalne</t>
  </si>
  <si>
    <t>3.</t>
  </si>
  <si>
    <t>Przedszkola</t>
  </si>
  <si>
    <t>4.</t>
  </si>
  <si>
    <t>Technika</t>
  </si>
  <si>
    <t>5.</t>
  </si>
  <si>
    <t>Licea ogólnokształcące</t>
  </si>
  <si>
    <t>6.</t>
  </si>
  <si>
    <t xml:space="preserve">Szkoły artystyczne </t>
  </si>
  <si>
    <t>7.</t>
  </si>
  <si>
    <t>Szkoły zawodowe specjalne</t>
  </si>
  <si>
    <t>8.</t>
  </si>
  <si>
    <t>Placówki kształcenia ustawicznego i centra kształcenia zawodowego</t>
  </si>
  <si>
    <t>9.</t>
  </si>
  <si>
    <t>Stołówki szkolne i przedszkolne</t>
  </si>
  <si>
    <t>Internaty i bursy szkolne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</si>
  <si>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</si>
  <si>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</si>
  <si>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</si>
  <si>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</si>
  <si>
    <t xml:space="preserve">Stan środków </t>
  </si>
  <si>
    <t>pieniężnych</t>
  </si>
  <si>
    <t xml:space="preserve">pieniężnych </t>
  </si>
  <si>
    <t xml:space="preserve">na początek </t>
  </si>
  <si>
    <t xml:space="preserve">na koniec </t>
  </si>
  <si>
    <t>roku</t>
  </si>
  <si>
    <t>DOCHODY OGÓŁEM:</t>
  </si>
  <si>
    <t>Dochody na zadania własne:</t>
  </si>
  <si>
    <t>Pomoc zagraniczna</t>
  </si>
  <si>
    <t>Wydział Kultury, Promocji i Komunikacji Społecznej</t>
  </si>
  <si>
    <t>0720</t>
  </si>
  <si>
    <t>wpływy z otrzymanych darowizn i ofiar w postaci pieniężnej na realizację zadań na rzecz pomocy Ukrainie</t>
  </si>
  <si>
    <t xml:space="preserve">Bezpieczeństwo publiczne i ochrona </t>
  </si>
  <si>
    <t>przeciwpożarowa</t>
  </si>
  <si>
    <t>75421</t>
  </si>
  <si>
    <t>Zarządzanie kryzysowe</t>
  </si>
  <si>
    <t>Wydział Zarządzania Kryzysowego i Bezpieczeństwa</t>
  </si>
  <si>
    <t>Różne rozliczenia</t>
  </si>
  <si>
    <t>75814</t>
  </si>
  <si>
    <t>Różne rozliczenia finansowe</t>
  </si>
  <si>
    <t>Organ - Fundusz Pomocy (realizacja dodatkowych zadań oświatowych)</t>
  </si>
  <si>
    <t>2100</t>
  </si>
  <si>
    <t>środki z Funduszu Pomocy na finansowanie lub dofinansowanie zadań bieżących w zakresie pomocy obywatelom Ukrainy</t>
  </si>
  <si>
    <t>Oświata i wychowanie</t>
  </si>
  <si>
    <t>Organ</t>
  </si>
  <si>
    <t>2130</t>
  </si>
  <si>
    <t>dotacje celowe otrzymane z budżetu państwa na realizację bieżących zadań własnych powiatu</t>
  </si>
  <si>
    <t>Pomoc społeczna</t>
  </si>
  <si>
    <t>Składki na ubezpieczenie zdrowotne opłacane za</t>
  </si>
  <si>
    <t>osoby pobierające niektóre świadczenia z pomocy</t>
  </si>
  <si>
    <t>społecznej oraz za osoby uczestniczące w zajęciach</t>
  </si>
  <si>
    <t>w centrum integracji społecznej</t>
  </si>
  <si>
    <t>2030</t>
  </si>
  <si>
    <t>dotacje celowe otrzymane z budżetu państwa na realizację własnych zadań bieżących gmin (związków gmin, związków powiatowo-gminnych)</t>
  </si>
  <si>
    <t xml:space="preserve">Zasiłki okresowe, celowe i pomoc w naturze oraz składki </t>
  </si>
  <si>
    <t>na ubezpieczenia emerytalne i rentowe</t>
  </si>
  <si>
    <t>Organ - Fundusz Pomocy (zasiłki okresowe)</t>
  </si>
  <si>
    <t>Zasiłki stałe</t>
  </si>
  <si>
    <t>Pomoc w zakresie dożywiania</t>
  </si>
  <si>
    <t>Organ - Fundusz Pomocy (zapewnienie posiłku dzieciom i młodzieży)</t>
  </si>
  <si>
    <t>Organ - projekt pn. „Centrum Wsparcia Społecznego – wdrożenie lokalnego planu deinstytucjonalizacji usług społecznych na terenie Miasta Włocławka”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</si>
  <si>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</si>
  <si>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</si>
  <si>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2059</t>
  </si>
  <si>
    <t>Pozostałe zadania w zakresie polityki społecznej</t>
  </si>
  <si>
    <t>Organ - projekt pn. "Kawiarenka międzypokoleniowa - rozwój osobisty w duchu zero-waste" (grant Lokalnej Grupy Działania Miasta Włocławek)</t>
  </si>
  <si>
    <t>Organ - projekt pn. "Kawiarenka międzypokoleniowa - rozwój osobisty w duchu różnorodności" (grant Lokalnej Grupy Działania Miasta Włocławek)</t>
  </si>
  <si>
    <t>Wydział Dróg, Transportu Zbiorowego i Energii</t>
  </si>
  <si>
    <t>0970</t>
  </si>
  <si>
    <t>wpływy z różnych dochodów</t>
  </si>
  <si>
    <t>Pomoc materialna dla uczniów o charakterze socjalnym</t>
  </si>
  <si>
    <t>Organ - Fundusz Pomocy (stypendia i zasiłki dla uczniów z Ukrainy)</t>
  </si>
  <si>
    <t>Rodzina</t>
  </si>
  <si>
    <t>Świadczenia rodzinne, świadczenie z funduszu alimentacyjnego oraz składki na ubezpieczenia emerytalne i rentowe z ubezpieczenia społecznego</t>
  </si>
  <si>
    <t>Organ - Fundusz Pomocy (świadczenia rodzinne)</t>
  </si>
  <si>
    <t>Dochody na zadania zlecone:</t>
  </si>
  <si>
    <t>Urzędy wojewódzkie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</si>
  <si>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</si>
  <si>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</si>
  <si>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Organ - Fundusz Pomocy (nadanie numeru PESEL)</t>
  </si>
  <si>
    <t>Bezpieczeństwo publiczne i ochrona przeciwpożarowa</t>
  </si>
  <si>
    <t>Organ - Fundusz Pomocy (świadczenie pieniężne - 40 zł za osobę dziennie)</t>
  </si>
  <si>
    <t>Organ - Fundusz Pomocy (zapewnienie zakwaterowania i wyżywienia obywatelom Ukrainy)</t>
  </si>
  <si>
    <t>Zapewnienie uczniom prawa do bezpłatnego dostępu</t>
  </si>
  <si>
    <t>do podręczników, materiałów edukacyjnych lub materiałów</t>
  </si>
  <si>
    <t>ćwiczeniowych</t>
  </si>
  <si>
    <t>Ośrodki wsparcia</t>
  </si>
  <si>
    <t>Ośrodki pomocy społecznej</t>
  </si>
  <si>
    <t>Usługi opiekuńcze i specjalistyczne usługi opiekuńcze</t>
  </si>
  <si>
    <t>Organ - Fundusz Pomocy (świadczenie pieniężne w wysokości 300 zł)</t>
  </si>
  <si>
    <t>Świadczenie wychowawcze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</si>
  <si>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</si>
  <si>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</si>
  <si>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</si>
  <si>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</si>
  <si>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>Karta Dużej Rodziny</t>
  </si>
  <si>
    <t xml:space="preserve">Składki na ubezpieczenie zdrowotne opłacane za osoby </t>
  </si>
  <si>
    <t>pobierające niektóre świadczenia rodzinne oraz za osoby</t>
  </si>
  <si>
    <t>pobierające zasiki dla opiekunów</t>
  </si>
  <si>
    <t>Dochody na zadania rządowe:</t>
  </si>
  <si>
    <t>010</t>
  </si>
  <si>
    <t>Rolnictwo i łowiectwo</t>
  </si>
  <si>
    <t>01005</t>
  </si>
  <si>
    <t>Prace geodezyjno - urządzeniowe na potrzeby rolnictwa</t>
  </si>
  <si>
    <t>dotacje celowe otrzymane z budżetu państwa na zadania bieżące z zakresu administracji rządowej oraz inne zadania zlecone ustawami realizowane przez powiat</t>
  </si>
  <si>
    <t>710</t>
  </si>
  <si>
    <t>Działalność usługowa</t>
  </si>
  <si>
    <t>Zadania z zakresu geodezji i kartografii</t>
  </si>
  <si>
    <t>Obrona narodowa</t>
  </si>
  <si>
    <t>Pozostałe wydatki obronne</t>
  </si>
  <si>
    <t>Komendy powiatowe Państwowej Straży Pożarnej</t>
  </si>
  <si>
    <t>Ochrona zdrowia</t>
  </si>
  <si>
    <t>Składki na ubezpieczenie zdrowotne oraz świadczenia</t>
  </si>
  <si>
    <t>dla osób nie objętych obowiązkiem ubezpieczenia</t>
  </si>
  <si>
    <t>zdrowotnego</t>
  </si>
  <si>
    <t>Zadania w zakresie przeciwdziałania przemocy w rodzinie</t>
  </si>
  <si>
    <t>Działalność placówek opiekuńczo - wychowawczych</t>
  </si>
  <si>
    <t>dotacje celowe otrzymane z budżetu państwa na zadania bieżące z zakresu administracji rządowej zlecone powiatom, związane z realizacją dodatku wychowawczego oraz dodatku do zryczałtowanej kwoty stanowiących pomoc państwa w wychowywaniu dzieci</t>
  </si>
  <si>
    <t>Transport i łączność</t>
  </si>
  <si>
    <t>Lokalny transport zbiorowy</t>
  </si>
  <si>
    <t>Miejski Zarząd Infrastruktury Drogowej i Transportu</t>
  </si>
  <si>
    <t xml:space="preserve">koszty postępowania sądowego i prokuratorskiego </t>
  </si>
  <si>
    <t>Drogi publiczne w miastach na prawach powiatu</t>
  </si>
  <si>
    <t>4210</t>
  </si>
  <si>
    <t>zakup usług remontowych</t>
  </si>
  <si>
    <t>Drogi publiczne gminne</t>
  </si>
  <si>
    <t>Drogi wewnętrzne</t>
  </si>
  <si>
    <t>pozostałe odsetki</t>
  </si>
  <si>
    <t>kary i odszkodowania wypłacane na rzecz osób prawnych i innych jednostek organizacyjnych</t>
  </si>
  <si>
    <t xml:space="preserve">szkolenia pracowników niebędących członkami korpusu służby cywilnej </t>
  </si>
  <si>
    <t>podatek od nieruchomości</t>
  </si>
  <si>
    <t>kary i odszkodowania wypłacane na rzecz osób fizycznych</t>
  </si>
  <si>
    <t>Gospodarowanie mieszkaniowym zasobem gminy</t>
  </si>
  <si>
    <t>Administracja Zasobów Komunalnych</t>
  </si>
  <si>
    <t>wydatki osobowe niezaliczone do wynagrodzeń</t>
  </si>
  <si>
    <t>wpłaty na Państwowy Fundusz Rehabilitacji Osób Niepełnosprawnych</t>
  </si>
  <si>
    <t>wydatki inwestycyjne jednostek budżetowych</t>
  </si>
  <si>
    <t>75023</t>
  </si>
  <si>
    <t>Urzędy gmin (miast i miast na prawach powiatu)</t>
  </si>
  <si>
    <t>Wydział Organizacyjno-Prawny i Kadr</t>
  </si>
  <si>
    <t>dodatkowe wynagrodzenie roczne</t>
  </si>
  <si>
    <t>zakup energii</t>
  </si>
  <si>
    <t xml:space="preserve">Wydział Nadzoru Właścicielskiego, Gospodarki </t>
  </si>
  <si>
    <t>Komunalnej i Informatyzacji</t>
  </si>
  <si>
    <t>Wydział Nadzoru Właścicielskiego, Gospodarki Komunalnej i Informatyzacji - projekt pn. "Cyfrowa gmina"</t>
  </si>
  <si>
    <t xml:space="preserve">szkolenia pracowników  niebędących członkami korpusu służby cywilnej </t>
  </si>
  <si>
    <t>4350</t>
  </si>
  <si>
    <t>zakup towarów (w szczególności materiałów, leków, żywności) w związku z pomocą obywatelom Ukrainy</t>
  </si>
  <si>
    <t>zakup usług związanych z pomocą obywatelom Ukrainy</t>
  </si>
  <si>
    <t>wydatki na zakupy inwestycyjne związane z pomocą obywatelom Ukrainy</t>
  </si>
  <si>
    <t>75085</t>
  </si>
  <si>
    <t>Wspólna obsługa jednostek samorządu terytorialnego</t>
  </si>
  <si>
    <t>Centrum Usług Wspólnych Placówek Oświatowych</t>
  </si>
  <si>
    <t>odpisy na zakładowy fundusz świadczeń socjalnych</t>
  </si>
  <si>
    <t>Centrum Obsługi Inwestora</t>
  </si>
  <si>
    <t>4190</t>
  </si>
  <si>
    <t>nagrody konkursowe</t>
  </si>
  <si>
    <t>Bezpieczeństwo publiczne i ochrona</t>
  </si>
  <si>
    <t>Straż gminna (miejska)</t>
  </si>
  <si>
    <t>Straż Miejska</t>
  </si>
  <si>
    <t>Obsługa Monitoringu</t>
  </si>
  <si>
    <t>Rezerwy ogólne i celowe</t>
  </si>
  <si>
    <t>6800</t>
  </si>
  <si>
    <t>rezerwy na inwestycje i zakupy inwestycyjne</t>
  </si>
  <si>
    <t xml:space="preserve">  - rezerwa inwestycyjna (rewitalizacja)</t>
  </si>
  <si>
    <t>dotacja podmiotowa z budżetu dla niepublicznej jednostki systemu oświaty</t>
  </si>
  <si>
    <t>dotacja podmiotowa z budżetu dla publicznej jednostki systemu oświaty prowadzonej przez osobę prawną inną niż jednostka samorządu terytorialnego lub przez osobę fizyczną</t>
  </si>
  <si>
    <t>wynagrodzenia osobowe pracowników</t>
  </si>
  <si>
    <t>zakup środków dydaktycznych i książek</t>
  </si>
  <si>
    <t>zakup usług zdrowotnych</t>
  </si>
  <si>
    <t>opłaty z tytułu zakupu usług telekomunikacyjnych</t>
  </si>
  <si>
    <t>podróże służbowe krajowe</t>
  </si>
  <si>
    <t>wynagrodzenie osobowe nauczycieli</t>
  </si>
  <si>
    <t>Jednostki oświatowe zbiorczo - Fundusz Pomocy (realizacja dodatkowych zadań oświatowych)</t>
  </si>
  <si>
    <t>wynagrodzenia i uposażenia wypłacane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</si>
  <si>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</si>
  <si>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</si>
  <si>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pozostałe wydatki bieżące na zadania związane z pomocą obywatelom Ukrainy</t>
  </si>
  <si>
    <t>Wydział Edukacji - Fundusz Pomocy (realizacja dodatkowych zadań oświatowych)</t>
  </si>
  <si>
    <t>2340</t>
  </si>
  <si>
    <t>dotacja celowa dla jednostki spoza sektora finansów publicznych na finansowanie lub dofinansowanie zadań bieżących związanych z pomocą obywatelom Ukrainy</t>
  </si>
  <si>
    <t>Przedszkola specjalne</t>
  </si>
  <si>
    <t>Świetlice szkolne</t>
  </si>
  <si>
    <t>80113</t>
  </si>
  <si>
    <t>Dowożenie uczniów do szkół</t>
  </si>
  <si>
    <t xml:space="preserve">składki na ubezpieczenie zdrowotne </t>
  </si>
  <si>
    <t xml:space="preserve">różne opłaty i składki </t>
  </si>
  <si>
    <t>Szkoły policealne</t>
  </si>
  <si>
    <t>Branżowe szkoły I i II stopnia</t>
  </si>
  <si>
    <t>Jednostki oświatowe zbiorczo - Oddział przygotowania wojskowego</t>
  </si>
  <si>
    <t>Szkoły artystyczne</t>
  </si>
  <si>
    <t>Dokształcanie i doskonalenie nauczycieli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</si>
  <si>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</si>
  <si>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</si>
  <si>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</si>
  <si>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</si>
  <si>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</si>
  <si>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</si>
  <si>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</si>
  <si>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</si>
  <si>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</si>
  <si>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</si>
  <si>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</si>
  <si>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</si>
  <si>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</si>
  <si>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nagrody o charakterze szczególnym  niezaliczone do wynagrodzeń</t>
  </si>
  <si>
    <t>dodatkowe wynagrodzenie roczne nauczycieli</t>
  </si>
  <si>
    <t>Jednostki oświatowe zbiorczo (projekty z grantów Lokalnej Grupy Działania Miasta Włocławek)</t>
  </si>
  <si>
    <t>4197</t>
  </si>
  <si>
    <t>Zespół Szkolno - Przedszkolny Nr 1 - projekt pn. "Hiszpańskie rytmy i polska cooltura"</t>
  </si>
  <si>
    <t>podróże służbowe zagraniczne</t>
  </si>
  <si>
    <t>Wydział Edukacji (projekt pn. "Hiszpańskie rytmy i polska cooltura")</t>
  </si>
  <si>
    <t>zwrot niewykorzystanych dotacji oraz płatności</t>
  </si>
  <si>
    <t>851</t>
  </si>
  <si>
    <t>Przeciwdziałanie alkoholizmowi</t>
  </si>
  <si>
    <t>Wydział Polityki Społecznej i Zdrowia Publicznego</t>
  </si>
  <si>
    <t>Miejski Ośrodek Pomocy Rodzinie</t>
  </si>
  <si>
    <t>Placówka Opiekuńczo - Wychowawcza Nr 1 "Maluch"</t>
  </si>
  <si>
    <t>Centrum Opieki nad Dzieckiem</t>
  </si>
  <si>
    <t>Centrum Wsparcia dla Osób w Kryzysie</t>
  </si>
  <si>
    <t>852</t>
  </si>
  <si>
    <t>Domy pomocy społecznej</t>
  </si>
  <si>
    <t>Dom Pomocy Społecznej ul. Dobrzyńska 102</t>
  </si>
  <si>
    <t xml:space="preserve">Dom Pomocy Społecznej ul. Nowomiejska 19 - Fundusz </t>
  </si>
  <si>
    <t>w przeciwdziałaniu skutkom rozprzestrzeniania się SARS-Cov-2)</t>
  </si>
  <si>
    <t>Miejski Ośrodek Pomocy Rodzinie - projekt pn. "Włocławek mówi przemocy stop - wzmocnienie kadr"</t>
  </si>
  <si>
    <t>świadczenia społeczne</t>
  </si>
  <si>
    <t>Miejski Ośrodek Pomocy Rodzinie - Fundusz Pomocy (zasiłki okresowe)</t>
  </si>
  <si>
    <t>świadczenia społeczne wypłacane obywatelom Ukrainy przebywającym na terytorium RP</t>
  </si>
  <si>
    <t>Dodatki mieszkaniowe</t>
  </si>
  <si>
    <t xml:space="preserve">Miejski Ośrodek Pomocy Rodzinie 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</si>
  <si>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</si>
  <si>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</si>
  <si>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</si>
  <si>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</si>
  <si>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Miejski Ośrodek Pomocy Rodzinie - Fundusz Pomocy (zapewnienie posiłku dzieciom i młodzieży)</t>
  </si>
  <si>
    <t>Wydział Polityki Społecznej i Zdrowia Publicznego - projekt pn. „Centrum Wsparcia Społecznego – wdrożenie lokalnego planu deinstytucjonalizacji usług społecznych na terenie Miasta Włocławka”</t>
  </si>
  <si>
    <t>2827</t>
  </si>
  <si>
    <t>dotacja celowa z budżetu na finansowanie lub dofinansowanie zadań zleconych do realizacji stowarzyszeniom</t>
  </si>
  <si>
    <t>2829</t>
  </si>
  <si>
    <t>Miejski Ośrodek Pomocy Rodzinie - projekt pn. „Centrum Wsparcia Społecznego – wdrożenie lokalnego planu deinstytucjonalizacji usług społecznych na terenie Miasta Włocławka”</t>
  </si>
  <si>
    <t>składki na ubezpieczenia społeczne</t>
  </si>
  <si>
    <t>składki na Fundusz Pracy oraz Fundusz Solidarnościowy</t>
  </si>
  <si>
    <t>Dom Pomocy Społecznej ul. Nowomiejska 19 - projekt pn. „Centrum Wsparcia Społecznego – wdrożenie lokalnego planu deinstytucjonalizacji usług społecznych na terenie Miasta Włocławka”</t>
  </si>
  <si>
    <t xml:space="preserve">Włocławskie Centrum Organizacji Pozarządowych i Wolontariatu </t>
  </si>
  <si>
    <t>Miejska Jadłodajnia "U Świętego Antoniego"</t>
  </si>
  <si>
    <t>Włocławskie Centrum Organizacji Pozarządowych i Wolontariatu - projekt pn. "Kawiarenka międzypokoleniowa - rozwój osobisty w duchu zero-waste" (grant Lokalnej Grupy Działania Miasta Włocławek)</t>
  </si>
  <si>
    <t>Włocławskie Centrum Organizacji Pozarządowych i Wolontariatu - projekt pn. "Kawiarenka międzypokoleniowa - rozwój osobisty w duchu różnorodności" (grant Lokalnej Grupy Działania Miasta Włocławek)</t>
  </si>
  <si>
    <t>Poradnie psychologiczno - pedagogiczne, w tym</t>
  </si>
  <si>
    <t>poradnie specjalistyczne</t>
  </si>
  <si>
    <t>Wydział Edukacji - Fundusz Pomocy (stypendia i zasiłki dla uczniów z Ukrainy)</t>
  </si>
  <si>
    <t>Miejski Ośrodek Pomocy Rodzinie - Fundusz Pomocy (świadczenia rodzinne)</t>
  </si>
  <si>
    <t>Wspieranie rodziny</t>
  </si>
  <si>
    <t>Miejski Ośrodek Pomocy Rodzinie - asystent rodziny</t>
  </si>
  <si>
    <t>opłaty na rzecz budżetów jednostek samorządu terytorialnego</t>
  </si>
  <si>
    <t>Gospodarka komunalna i ochrona środowiska</t>
  </si>
  <si>
    <t>Schroniska dla zwierząt</t>
  </si>
  <si>
    <t>Schronisko dla Zwierząt</t>
  </si>
  <si>
    <t>Kultura fizyczna</t>
  </si>
  <si>
    <t>Obiekty sportowe</t>
  </si>
  <si>
    <t>Wydatki na zadania zlecone:</t>
  </si>
  <si>
    <t>Wydział Organizacyjno - Prawny i Kadr</t>
  </si>
  <si>
    <t>Wydział Organizacyjno - Prawny i Kadr - Fundusz Pomocy (nadanie numeru PESEL)</t>
  </si>
  <si>
    <t>Miejski Ośrodek Pomocy Rodzinie - Fundusz Pomocy (świadczenie pieniężne - 40 zł za osobę dziennie)</t>
  </si>
  <si>
    <t>świadczenia związane z udzielaniem pomocy obywatelom Ukrainy</t>
  </si>
  <si>
    <t>Wydział Zarządzania Kryzysowego i Bezpieczeństwa - Fundusz Pomocy (zapewnienie zakwaterowania i wyżywienia obywatelom Ukrainy)</t>
  </si>
  <si>
    <t>dotacja celowa z budżetu na finansowanie lub dofinansowanie zadań zleconych do realizacji pozostałym jednostkom niezaliczanym do sektora finansów publicznych</t>
  </si>
  <si>
    <t>Środowiskowy Dom Samopomocy</t>
  </si>
  <si>
    <t xml:space="preserve">zakup usług pozostałych </t>
  </si>
  <si>
    <t>2820</t>
  </si>
  <si>
    <t>Miejski Ośrodek Pomocy Rodzinie - Fundusz Pomocy (świadczenie pieniężne w wysokości 300 zł)</t>
  </si>
  <si>
    <t>Prace geodezyjno-urządzeniowe na potrzeby rolnictwa</t>
  </si>
  <si>
    <t>Wydział Geodezji i Kartografii</t>
  </si>
  <si>
    <t>Nadzór budowlany</t>
  </si>
  <si>
    <t xml:space="preserve">Powiatowy Inspektorat Nadzoru Budowlanego Miasta </t>
  </si>
  <si>
    <t>Włocławka</t>
  </si>
  <si>
    <t>wynagrodzenia osobowe członków korpusu służby cywilnej</t>
  </si>
  <si>
    <t>szkolenia członków korpusu służby cywilnej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</si>
  <si>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</si>
  <si>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</si>
  <si>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wydatki osobowe niezaliczone do uposażeń wypłacane żołnierzom i funkcjonariuszom</t>
  </si>
  <si>
    <t>inne należności żołnierzy zawodowych oraz funkcjonariuszy zaliczane do wynagrodzeń</t>
  </si>
  <si>
    <t>równoważniki pieniężne i ekwiwalenty dla żołnierzy i funkcjonariuszy oraz pozostałe należności</t>
  </si>
  <si>
    <t>Wymiar sprawiedliwości</t>
  </si>
  <si>
    <t>Nieodpłatna pomoc prawna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</si>
  <si>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</si>
  <si>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</si>
  <si>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</si>
  <si>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>Miejski Ośrodek Pomocy Rodzinie - Specjalistyczny Ośrodek Wsparcia</t>
  </si>
  <si>
    <t>do Zarządzenia NR 383/2022</t>
  </si>
  <si>
    <t>z dnia 30 listopada 2022 r.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</si>
  <si>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</si>
  <si>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</si>
  <si>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</si>
  <si>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</si>
  <si>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</si>
  <si>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</si>
  <si>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</si>
  <si>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</si>
  <si>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</si>
  <si>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</si>
  <si>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</si>
  <si>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</si>
  <si>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</si>
  <si>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</si>
  <si>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</si>
  <si>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</si>
  <si>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</si>
  <si>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</si>
  <si>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</si>
  <si>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</si>
  <si>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</si>
  <si>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</si>
  <si>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</si>
  <si>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</si>
  <si>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</si>
  <si>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</si>
  <si>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</si>
  <si>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</si>
  <si>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</si>
  <si>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GOSPODARKA MIESZKANIOWA</t>
  </si>
  <si>
    <t xml:space="preserve">Gospodarowanie mieszkaniowym zasobem gminy </t>
  </si>
  <si>
    <t>Modernizacja  budynków mieszkalnych należących do zasobu gminy w ramach Gminnego Programu Rewitalizacji Miasta Włocławek</t>
  </si>
  <si>
    <t>ADMINISTRACJA PUBLICZNA</t>
  </si>
  <si>
    <t>wprowadza się nowe zadanie:</t>
  </si>
  <si>
    <t>§ 6490</t>
  </si>
  <si>
    <t>Zakup generatorów prądotwórczych dla miasta partnerskiego Izmaił (Ukraina)</t>
  </si>
  <si>
    <t xml:space="preserve"> - </t>
  </si>
  <si>
    <t>Urząd Miasta /Wydział Kultury, Promocji i Komunikacji Społecznej/</t>
  </si>
  <si>
    <t>REZERWA INWESTYCYJNA</t>
  </si>
  <si>
    <t>x</t>
  </si>
  <si>
    <t xml:space="preserve"> -</t>
  </si>
  <si>
    <t>Prezydenci</t>
  </si>
  <si>
    <t>Rezerwa inwestycyjna - rewitalizacja</t>
  </si>
  <si>
    <t>*  - łączne koszty finansowe obejmują wydatki majątkowe i wydatki bieżące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</si>
  <si>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</si>
  <si>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</si>
  <si>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</si>
  <si>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</si>
  <si>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</si>
  <si>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</si>
  <si>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2022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</si>
  <si>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</si>
  <si>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</si>
  <si>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</si>
  <si>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</si>
  <si>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</si>
  <si>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</si>
  <si>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</si>
  <si>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</si>
  <si>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</si>
  <si>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</si>
  <si>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</si>
  <si>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</si>
  <si>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</si>
  <si>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</si>
  <si>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</si>
  <si>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</si>
  <si>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</si>
  <si>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1.34</t>
  </si>
  <si>
    <t>Kawiarenka międzypokoleniowa - rozwój osobisty w duchu różnorodności</t>
  </si>
  <si>
    <t>w tym: /Włocławskie Centrum Organizacji Pozarządowych i Wolontariatu/</t>
  </si>
  <si>
    <t>dz. 853</t>
  </si>
  <si>
    <t>rozdz. 85395</t>
  </si>
  <si>
    <t>1.35</t>
  </si>
  <si>
    <t>Kawiarenka międzypokoleniowa - rozwój osobisty w duchu zero-waste</t>
  </si>
  <si>
    <t>7</t>
  </si>
  <si>
    <t>PROGRAM OPERACYJNY WIEDZA EDUKACJA ROZWÓJ 2014 - 2020</t>
  </si>
  <si>
    <t>7.3</t>
  </si>
  <si>
    <t>Hiszpańskie rytmy i polska cooltura</t>
  </si>
  <si>
    <t>w tym:  /Urząd Miasta/</t>
  </si>
  <si>
    <t>dz. 801</t>
  </si>
  <si>
    <t>rozdz. 80195</t>
  </si>
  <si>
    <t>7.4</t>
  </si>
  <si>
    <t>Centrum Wsparcia Społecznego - wdrożenie lokalnego planu deinstytucjonalizacji usług społecznych na terenie Miasta Włocławek</t>
  </si>
  <si>
    <t>w tym:  /Miejski Ośrodek Pomocy Rodzinie, Dom Pomocy Społecznej ul. Nowomiejska/</t>
  </si>
  <si>
    <t>dz. 852</t>
  </si>
  <si>
    <t>rozdz. 85295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</si>
  <si>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</si>
  <si>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</si>
  <si>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</si>
  <si>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dla jednostek spoza sektora finansów publicznych na 2022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</si>
  <si>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</si>
  <si>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</si>
  <si>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</si>
  <si>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</si>
  <si>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</si>
  <si>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</si>
  <si>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</si>
  <si>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</si>
  <si>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</si>
  <si>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Przedszkole Niepubliczne "Chatka Puchatka"</t>
  </si>
  <si>
    <t>Niepubliczne Przedszkole "Smerfna Chata"</t>
  </si>
  <si>
    <t>Przedszkole Niepubliczne "Kujawiaczek"</t>
  </si>
  <si>
    <t>Niepubliczne Przedszkole "Domowe Przedszkole"</t>
  </si>
  <si>
    <t>Niepubliczne Przedszkole "Wesoła Biedronka"</t>
  </si>
  <si>
    <t xml:space="preserve">Branżowa Szkoła I Stopnia Start we Włocławku </t>
  </si>
  <si>
    <t>Publiczne Liceum Ogólnokształcące im. Ks. J. Długosza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</si>
  <si>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</si>
  <si>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</si>
  <si>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</si>
  <si>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</si>
  <si>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</si>
  <si>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</si>
  <si>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</si>
  <si>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</si>
  <si>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</si>
  <si>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</si>
  <si>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</si>
  <si>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</si>
  <si>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</si>
  <si>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</si>
  <si>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</si>
  <si>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</si>
  <si>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</si>
  <si>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</si>
  <si>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</si>
  <si>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</si>
  <si>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</si>
  <si>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</si>
  <si>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</si>
  <si>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</si>
  <si>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</si>
  <si>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</si>
  <si>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</si>
  <si>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</si>
  <si>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</si>
  <si>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Akademii Nauk Stosowanych we Włocławku</t>
  </si>
  <si>
    <t>Oddziały przedszkolne w szkołach podstawowych</t>
  </si>
  <si>
    <t>Niepubliczne Przedszkole "Skakanka"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</si>
  <si>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</si>
  <si>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</si>
  <si>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</si>
  <si>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</si>
  <si>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</si>
  <si>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</si>
  <si>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</si>
  <si>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</si>
  <si>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</si>
  <si>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</si>
  <si>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</si>
  <si>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</si>
  <si>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</si>
  <si>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</si>
  <si>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Akademii Nauk Stosowanych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</si>
  <si>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</si>
  <si>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</si>
  <si>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</si>
  <si>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</si>
  <si>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</si>
  <si>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</si>
  <si>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</si>
  <si>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</si>
  <si>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</si>
  <si>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</si>
  <si>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</si>
  <si>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</si>
  <si>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</si>
  <si>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</si>
  <si>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</si>
  <si>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</si>
  <si>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</si>
  <si>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</si>
  <si>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</si>
  <si>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</si>
  <si>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</si>
  <si>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</si>
  <si>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</si>
  <si>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</si>
  <si>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Przedszkole Akademickie przy Państwowej  Akademii Nauk Stosowanych we Włocławku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</si>
  <si>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</si>
  <si>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</si>
  <si>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</si>
  <si>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</si>
  <si>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</si>
  <si>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</si>
  <si>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</si>
  <si>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</si>
  <si>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</si>
  <si>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</si>
  <si>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</si>
  <si>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</si>
  <si>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</si>
  <si>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</si>
  <si>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</si>
  <si>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 Zespołu Szkół Katolickich im. Ks. J. Długosza</t>
  </si>
  <si>
    <t>Ogółem:</t>
  </si>
  <si>
    <t>Załącznik Nr 5</t>
  </si>
  <si>
    <t>Ośrodki szkolenia, dokształcania i doskonalenia kadr</t>
  </si>
  <si>
    <t>10.</t>
  </si>
  <si>
    <t xml:space="preserve">Inne formy kształcenia osobno niewymienione </t>
  </si>
  <si>
    <t xml:space="preserve"> </t>
  </si>
  <si>
    <t>11.</t>
  </si>
  <si>
    <t>Załącznik Nr 6</t>
  </si>
  <si>
    <t>Plan dochodów i wydatków na wydzielonym rachunku dotyczącym przeciwdziałania COVID-19</t>
  </si>
  <si>
    <t xml:space="preserve">Dział </t>
  </si>
  <si>
    <t>Dochody na 2022 rok</t>
  </si>
  <si>
    <t>Wydatki na 2022 rok</t>
  </si>
  <si>
    <t>6370</t>
  </si>
  <si>
    <t>Przebudowa ulicy Kilińskiego we Włocławku w ramach projektu "Przebudowa ulic śródmieścia, w celu uspokojenia ruchu"</t>
  </si>
  <si>
    <t>600</t>
  </si>
  <si>
    <t>60015</t>
  </si>
  <si>
    <t xml:space="preserve"> - dofinansowanie z Rządowego Funduszu Polski Ład: Program Inwestycji Stategicznych </t>
  </si>
  <si>
    <t xml:space="preserve"> - wkład własny</t>
  </si>
  <si>
    <t>6050</t>
  </si>
  <si>
    <t>6090</t>
  </si>
  <si>
    <t>Budowa drogi stanowiącej alternatywne połączenie osiedla Michelin z osiedlem Południe</t>
  </si>
  <si>
    <t>60016</t>
  </si>
  <si>
    <t>2180</t>
  </si>
  <si>
    <t>Pomoc dla domów pomocy społecznej w przeciwdziałaniu skutkom rozprzestrzeniania się SARS-Cov-2</t>
  </si>
  <si>
    <t>85202</t>
  </si>
  <si>
    <t>Dom Pomocy Społecznej</t>
  </si>
  <si>
    <t>ul. Nowomiejska 19</t>
  </si>
  <si>
    <t>3020</t>
  </si>
  <si>
    <t>4010</t>
  </si>
  <si>
    <t>4110</t>
  </si>
  <si>
    <t>4120</t>
  </si>
  <si>
    <t>ul. Dobrzyńska 102</t>
  </si>
  <si>
    <t>4230</t>
  </si>
  <si>
    <t>Program "Korpus Wsparcia Seniorów"</t>
  </si>
  <si>
    <t>85295</t>
  </si>
  <si>
    <t>4220</t>
  </si>
  <si>
    <t>4300</t>
  </si>
  <si>
    <t>4710</t>
  </si>
  <si>
    <t>Dodatek węglowy</t>
  </si>
  <si>
    <t>853</t>
  </si>
  <si>
    <t>85395</t>
  </si>
  <si>
    <t>3110</t>
  </si>
  <si>
    <t>4700</t>
  </si>
  <si>
    <t>Dodatek dla gospodarstw domowych i dodatek dla podmiotów wrażliwych</t>
  </si>
  <si>
    <t>4430</t>
  </si>
  <si>
    <t>Załącznik Nr 7</t>
  </si>
  <si>
    <t>Plan dochodów i wydatków na wydzielonym rachunku Funduszu Pomocy</t>
  </si>
  <si>
    <t>dotyczącym realizacji zadań na rzecz pomocy Ukrainie</t>
  </si>
  <si>
    <t>Zapewnienie posiłku dzieciom i młodzieży</t>
  </si>
  <si>
    <t>85230</t>
  </si>
  <si>
    <t>3290</t>
  </si>
  <si>
    <t>4370</t>
  </si>
  <si>
    <t>Świadczenia rodzinne</t>
  </si>
  <si>
    <t>855</t>
  </si>
  <si>
    <t>85502</t>
  </si>
  <si>
    <t>4740</t>
  </si>
  <si>
    <t>4850</t>
  </si>
  <si>
    <t>Świadczenie pieniężne w wysokości          300 zł</t>
  </si>
  <si>
    <t>758</t>
  </si>
  <si>
    <t>Realizacja dodatkowych zadań oświatowych</t>
  </si>
  <si>
    <t>801</t>
  </si>
  <si>
    <t>80101</t>
  </si>
  <si>
    <t>4750</t>
  </si>
  <si>
    <t>4860</t>
  </si>
  <si>
    <t>80102</t>
  </si>
  <si>
    <t>80104</t>
  </si>
  <si>
    <t>80105</t>
  </si>
  <si>
    <t>80115</t>
  </si>
  <si>
    <t>80117</t>
  </si>
  <si>
    <t>80120</t>
  </si>
  <si>
    <t>80132</t>
  </si>
  <si>
    <t>854</t>
  </si>
  <si>
    <t>85410</t>
  </si>
  <si>
    <t>Nadanie numeru PESEL</t>
  </si>
  <si>
    <t>750</t>
  </si>
  <si>
    <t>75011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</si>
  <si>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</si>
  <si>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</si>
  <si>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</si>
  <si>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</si>
  <si>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</si>
  <si>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Miejski Zakład Zieleni i Usług Komunalnych</t>
  </si>
  <si>
    <t>Zapewnienie transportu obywatelom Ukrainy</t>
  </si>
  <si>
    <t>60095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</si>
  <si>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</si>
  <si>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</si>
  <si>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</si>
  <si>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Zasiłki okresowe</t>
  </si>
  <si>
    <t>85214</t>
  </si>
  <si>
    <t>Stypendia i zasiłki dla uczniów z Ukrainy</t>
  </si>
  <si>
    <t>85415</t>
  </si>
  <si>
    <r>
      <t xml:space="preserve">Przeciwdziałania COVID-19 </t>
    </r>
    <r>
      <rPr>
        <sz val="7"/>
        <rFont val="Arial CE"/>
        <charset val="238"/>
      </rPr>
      <t xml:space="preserve">(pomoc dla domów pomocy społecznej </t>
    </r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</si>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</sst>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5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8"/>
      <name val="Arial CE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sz val="8"/>
      <color theme="1"/>
      <name val="Arial CE"/>
      <charset val="238"/>
    </font>
    <font>
      <i/>
      <sz val="9"/>
      <name val="Arial CE"/>
      <charset val="238"/>
    </font>
    <font>
      <sz val="11"/>
      <color rgb="FF000000"/>
      <name val="Calibri"/>
      <family val="2"/>
      <charset val="1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6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Arial CE"/>
      <charset val="238"/>
    </font>
    <font>
      <sz val="11"/>
      <color rgb="FF000000"/>
      <name val="Calibri"/>
      <family val="2"/>
      <charset val="238"/>
    </font>
    <font>
      <sz val="6"/>
      <name val="Arial CE"/>
      <charset val="238"/>
    </font>
    <font>
      <u/>
      <sz val="7"/>
      <name val="Arial CE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/>
    <xf numFmtId="0" fontId="29" fillId="0" borderId="0"/>
    <xf numFmtId="0" fontId="10" fillId="0" borderId="0"/>
    <xf numFmtId="0" fontId="10" fillId="0" borderId="0"/>
    <xf numFmtId="0" fontId="10" fillId="0" borderId="0"/>
  </cellStyleXfs>
  <cellXfs count="60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5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9" fillId="0" borderId="3" xfId="0" applyFont="1" applyBorder="1"/>
    <xf numFmtId="0" fontId="10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/>
    <xf numFmtId="4" fontId="6" fillId="0" borderId="0" xfId="0" applyNumberFormat="1" applyFont="1"/>
    <xf numFmtId="3" fontId="2" fillId="0" borderId="3" xfId="0" applyNumberFormat="1" applyFont="1" applyBorder="1"/>
    <xf numFmtId="0" fontId="1" fillId="0" borderId="6" xfId="0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2" fillId="0" borderId="15" xfId="0" applyNumberFormat="1" applyFont="1" applyBorder="1"/>
    <xf numFmtId="4" fontId="2" fillId="0" borderId="15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5" fillId="0" borderId="3" xfId="0" applyFont="1" applyBorder="1"/>
    <xf numFmtId="49" fontId="1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1" fillId="0" borderId="16" xfId="0" applyNumberFormat="1" applyFont="1" applyBorder="1"/>
    <xf numFmtId="4" fontId="1" fillId="0" borderId="16" xfId="0" applyNumberFormat="1" applyFont="1" applyBorder="1" applyAlignment="1">
      <alignment horizontal="right"/>
    </xf>
    <xf numFmtId="3" fontId="2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3" fontId="1" fillId="0" borderId="6" xfId="0" applyNumberFormat="1" applyFont="1" applyBorder="1"/>
    <xf numFmtId="3" fontId="5" fillId="0" borderId="5" xfId="0" applyNumberFormat="1" applyFont="1" applyBorder="1"/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2" fillId="0" borderId="6" xfId="0" applyNumberFormat="1" applyFont="1" applyBorder="1"/>
    <xf numFmtId="0" fontId="1" fillId="0" borderId="5" xfId="1" applyNumberFormat="1" applyFont="1" applyBorder="1" applyAlignment="1">
      <alignment horizontal="left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left" wrapText="1"/>
    </xf>
    <xf numFmtId="4" fontId="2" fillId="0" borderId="5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44" fontId="16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/>
    </xf>
    <xf numFmtId="0" fontId="1" fillId="0" borderId="17" xfId="0" applyFont="1" applyBorder="1" applyAlignment="1">
      <alignment vertical="center"/>
    </xf>
    <xf numFmtId="3" fontId="2" fillId="0" borderId="5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4" fontId="16" fillId="0" borderId="10" xfId="0" applyNumberFormat="1" applyFont="1" applyBorder="1"/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top"/>
    </xf>
    <xf numFmtId="4" fontId="1" fillId="0" borderId="11" xfId="0" applyNumberFormat="1" applyFont="1" applyBorder="1"/>
    <xf numFmtId="3" fontId="16" fillId="0" borderId="3" xfId="0" applyNumberFormat="1" applyFont="1" applyBorder="1" applyAlignment="1">
      <alignment horizontal="right"/>
    </xf>
    <xf numFmtId="0" fontId="16" fillId="0" borderId="3" xfId="0" applyFont="1" applyBorder="1"/>
    <xf numFmtId="0" fontId="16" fillId="0" borderId="3" xfId="0" applyFont="1" applyBorder="1" applyAlignment="1">
      <alignment horizontal="right"/>
    </xf>
    <xf numFmtId="0" fontId="16" fillId="0" borderId="4" xfId="0" applyFont="1" applyBorder="1"/>
    <xf numFmtId="4" fontId="1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14" fillId="0" borderId="0" xfId="0" applyFont="1"/>
    <xf numFmtId="0" fontId="1" fillId="0" borderId="4" xfId="0" applyFont="1" applyBorder="1" applyAlignment="1">
      <alignment vertical="top"/>
    </xf>
    <xf numFmtId="4" fontId="16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49" fontId="5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vertical="top"/>
    </xf>
    <xf numFmtId="0" fontId="1" fillId="0" borderId="5" xfId="0" applyFont="1" applyBorder="1" applyAlignment="1">
      <alignment horizontal="left"/>
    </xf>
    <xf numFmtId="3" fontId="1" fillId="0" borderId="3" xfId="0" applyNumberFormat="1" applyFont="1" applyBorder="1"/>
    <xf numFmtId="4" fontId="18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49" fontId="5" fillId="0" borderId="3" xfId="0" applyNumberFormat="1" applyFont="1" applyBorder="1"/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top"/>
    </xf>
    <xf numFmtId="0" fontId="5" fillId="0" borderId="10" xfId="0" applyFont="1" applyBorder="1"/>
    <xf numFmtId="0" fontId="1" fillId="0" borderId="17" xfId="0" applyFont="1" applyBorder="1"/>
    <xf numFmtId="0" fontId="6" fillId="0" borderId="3" xfId="0" applyFont="1" applyBorder="1"/>
    <xf numFmtId="0" fontId="2" fillId="0" borderId="4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2" fillId="0" borderId="0" xfId="3" applyFont="1"/>
    <xf numFmtId="0" fontId="21" fillId="0" borderId="0" xfId="3" applyFont="1"/>
    <xf numFmtId="0" fontId="21" fillId="0" borderId="0" xfId="3" applyFont="1" applyAlignment="1">
      <alignment horizontal="center"/>
    </xf>
    <xf numFmtId="0" fontId="22" fillId="0" borderId="0" xfId="3" applyFont="1"/>
    <xf numFmtId="0" fontId="23" fillId="0" borderId="0" xfId="3" applyFont="1"/>
    <xf numFmtId="0" fontId="2" fillId="0" borderId="0" xfId="3" applyFont="1" applyAlignment="1">
      <alignment horizontal="left"/>
    </xf>
    <xf numFmtId="0" fontId="4" fillId="0" borderId="0" xfId="3" applyFont="1" applyAlignment="1">
      <alignment horizontal="centerContinuous"/>
    </xf>
    <xf numFmtId="3" fontId="4" fillId="0" borderId="0" xfId="3" applyNumberFormat="1" applyFont="1" applyAlignment="1">
      <alignment horizontal="left"/>
    </xf>
    <xf numFmtId="0" fontId="4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5" fillId="0" borderId="1" xfId="3" applyFont="1" applyBorder="1" applyAlignment="1">
      <alignment vertical="center"/>
    </xf>
    <xf numFmtId="0" fontId="5" fillId="0" borderId="1" xfId="3" applyFont="1" applyBorder="1"/>
    <xf numFmtId="0" fontId="5" fillId="0" borderId="2" xfId="3" applyFont="1" applyBorder="1"/>
    <xf numFmtId="0" fontId="16" fillId="0" borderId="1" xfId="3" applyFont="1" applyBorder="1" applyAlignment="1">
      <alignment horizontal="center" vertical="center"/>
    </xf>
    <xf numFmtId="0" fontId="7" fillId="0" borderId="1" xfId="3" applyFont="1" applyBorder="1"/>
    <xf numFmtId="0" fontId="7" fillId="0" borderId="0" xfId="3" applyFont="1"/>
    <xf numFmtId="0" fontId="5" fillId="0" borderId="3" xfId="3" applyFont="1" applyBorder="1" applyAlignment="1">
      <alignment vertical="center"/>
    </xf>
    <xf numFmtId="0" fontId="5" fillId="0" borderId="19" xfId="3" applyFont="1" applyBorder="1"/>
    <xf numFmtId="0" fontId="5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16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24" fillId="0" borderId="19" xfId="3" applyFont="1" applyBorder="1" applyAlignment="1">
      <alignment horizontal="center"/>
    </xf>
    <xf numFmtId="0" fontId="24" fillId="0" borderId="3" xfId="3" applyFont="1" applyBorder="1" applyAlignment="1">
      <alignment horizontal="center"/>
    </xf>
    <xf numFmtId="0" fontId="5" fillId="0" borderId="5" xfId="3" applyFont="1" applyBorder="1" applyAlignment="1">
      <alignment vertical="center"/>
    </xf>
    <xf numFmtId="0" fontId="5" fillId="0" borderId="20" xfId="3" applyFont="1" applyBorder="1"/>
    <xf numFmtId="0" fontId="5" fillId="0" borderId="20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7" fillId="0" borderId="3" xfId="3" applyFont="1" applyBorder="1"/>
    <xf numFmtId="0" fontId="2" fillId="0" borderId="12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49" fontId="13" fillId="0" borderId="12" xfId="3" applyNumberFormat="1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4" fontId="25" fillId="0" borderId="12" xfId="3" applyNumberFormat="1" applyFont="1" applyBorder="1" applyAlignment="1">
      <alignment horizontal="right" vertical="center" wrapText="1"/>
    </xf>
    <xf numFmtId="3" fontId="26" fillId="0" borderId="12" xfId="3" applyNumberFormat="1" applyFont="1" applyBorder="1" applyAlignment="1">
      <alignment horizontal="center" vertical="center" wrapText="1"/>
    </xf>
    <xf numFmtId="0" fontId="1" fillId="0" borderId="0" xfId="3" applyFont="1"/>
    <xf numFmtId="0" fontId="16" fillId="0" borderId="12" xfId="3" applyFont="1" applyBorder="1" applyAlignment="1">
      <alignment horizontal="center" vertical="center" wrapText="1"/>
    </xf>
    <xf numFmtId="49" fontId="1" fillId="0" borderId="24" xfId="3" applyNumberFormat="1" applyFont="1" applyBorder="1" applyAlignment="1">
      <alignment horizontal="center" vertical="center" wrapText="1"/>
    </xf>
    <xf numFmtId="0" fontId="16" fillId="0" borderId="23" xfId="3" applyFont="1" applyBorder="1" applyAlignment="1">
      <alignment vertical="center" wrapText="1"/>
    </xf>
    <xf numFmtId="4" fontId="16" fillId="0" borderId="23" xfId="3" applyNumberFormat="1" applyFont="1" applyBorder="1" applyAlignment="1">
      <alignment vertical="center" wrapText="1"/>
    </xf>
    <xf numFmtId="0" fontId="25" fillId="0" borderId="5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49" fontId="1" fillId="0" borderId="25" xfId="3" applyNumberFormat="1" applyFont="1" applyBorder="1" applyAlignment="1">
      <alignment horizontal="center" vertical="center" wrapText="1"/>
    </xf>
    <xf numFmtId="0" fontId="1" fillId="0" borderId="20" xfId="3" applyFont="1" applyBorder="1" applyAlignment="1">
      <alignment vertical="center" wrapText="1"/>
    </xf>
    <xf numFmtId="4" fontId="1" fillId="0" borderId="20" xfId="3" applyNumberFormat="1" applyFont="1" applyBorder="1" applyAlignment="1">
      <alignment vertical="center" wrapText="1"/>
    </xf>
    <xf numFmtId="4" fontId="1" fillId="0" borderId="5" xfId="3" applyNumberFormat="1" applyFont="1" applyBorder="1" applyAlignment="1">
      <alignment vertical="center" wrapText="1"/>
    </xf>
    <xf numFmtId="4" fontId="1" fillId="0" borderId="20" xfId="3" applyNumberFormat="1" applyFont="1" applyBorder="1" applyAlignment="1">
      <alignment horizontal="center" vertical="center" wrapText="1"/>
    </xf>
    <xf numFmtId="4" fontId="25" fillId="0" borderId="12" xfId="3" applyNumberFormat="1" applyFont="1" applyBorder="1" applyAlignment="1">
      <alignment vertical="center" wrapText="1"/>
    </xf>
    <xf numFmtId="0" fontId="2" fillId="0" borderId="5" xfId="3" applyFont="1" applyBorder="1" applyAlignment="1">
      <alignment horizontal="center" vertical="center" wrapText="1"/>
    </xf>
    <xf numFmtId="49" fontId="13" fillId="0" borderId="24" xfId="3" applyNumberFormat="1" applyFont="1" applyBorder="1" applyAlignment="1">
      <alignment vertical="center" wrapText="1"/>
    </xf>
    <xf numFmtId="43" fontId="16" fillId="0" borderId="23" xfId="3" applyNumberFormat="1" applyFont="1" applyBorder="1" applyAlignment="1">
      <alignment vertical="center" wrapText="1"/>
    </xf>
    <xf numFmtId="2" fontId="16" fillId="0" borderId="23" xfId="3" applyNumberFormat="1" applyFont="1" applyBorder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49" fontId="13" fillId="0" borderId="26" xfId="3" applyNumberFormat="1" applyFont="1" applyBorder="1" applyAlignment="1">
      <alignment vertical="center" wrapText="1"/>
    </xf>
    <xf numFmtId="0" fontId="1" fillId="0" borderId="22" xfId="3" applyFont="1" applyBorder="1" applyAlignment="1">
      <alignment vertical="center" wrapText="1"/>
    </xf>
    <xf numFmtId="4" fontId="1" fillId="0" borderId="22" xfId="3" applyNumberFormat="1" applyFont="1" applyBorder="1" applyAlignment="1">
      <alignment vertical="center" wrapText="1"/>
    </xf>
    <xf numFmtId="4" fontId="1" fillId="0" borderId="1" xfId="3" applyNumberFormat="1" applyFont="1" applyBorder="1" applyAlignment="1">
      <alignment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49" fontId="13" fillId="0" borderId="25" xfId="3" applyNumberFormat="1" applyFont="1" applyBorder="1" applyAlignment="1">
      <alignment vertical="center" wrapText="1"/>
    </xf>
    <xf numFmtId="43" fontId="1" fillId="0" borderId="20" xfId="4" applyFont="1" applyBorder="1" applyAlignment="1">
      <alignment vertical="center" wrapText="1"/>
    </xf>
    <xf numFmtId="4" fontId="5" fillId="0" borderId="20" xfId="3" applyNumberFormat="1" applyFont="1" applyBorder="1" applyAlignment="1">
      <alignment horizontal="center" vertical="center" wrapText="1"/>
    </xf>
    <xf numFmtId="0" fontId="2" fillId="0" borderId="27" xfId="3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 vertical="center" wrapText="1"/>
    </xf>
    <xf numFmtId="49" fontId="1" fillId="0" borderId="28" xfId="3" applyNumberFormat="1" applyFont="1" applyBorder="1" applyAlignment="1">
      <alignment horizontal="center" vertical="center" wrapText="1"/>
    </xf>
    <xf numFmtId="0" fontId="16" fillId="0" borderId="28" xfId="3" applyFont="1" applyBorder="1" applyAlignment="1">
      <alignment vertical="center" wrapText="1"/>
    </xf>
    <xf numFmtId="4" fontId="16" fillId="0" borderId="27" xfId="3" applyNumberFormat="1" applyFont="1" applyBorder="1" applyAlignment="1">
      <alignment horizontal="right" vertical="center" wrapText="1"/>
    </xf>
    <xf numFmtId="4" fontId="16" fillId="0" borderId="27" xfId="3" applyNumberFormat="1" applyFont="1" applyBorder="1" applyAlignment="1">
      <alignment horizontal="center" vertical="center" wrapText="1"/>
    </xf>
    <xf numFmtId="4" fontId="2" fillId="0" borderId="28" xfId="3" applyNumberFormat="1" applyFont="1" applyBorder="1" applyAlignment="1">
      <alignment horizontal="center" vertical="center" wrapText="1"/>
    </xf>
    <xf numFmtId="4" fontId="5" fillId="0" borderId="27" xfId="3" applyNumberFormat="1" applyFont="1" applyBorder="1" applyAlignment="1">
      <alignment horizontal="center" vertical="center" wrapText="1"/>
    </xf>
    <xf numFmtId="0" fontId="2" fillId="0" borderId="29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center" vertical="center" wrapText="1"/>
    </xf>
    <xf numFmtId="49" fontId="1" fillId="0" borderId="30" xfId="3" applyNumberFormat="1" applyFont="1" applyBorder="1" applyAlignment="1">
      <alignment horizontal="center" vertical="center" wrapText="1"/>
    </xf>
    <xf numFmtId="0" fontId="1" fillId="0" borderId="29" xfId="3" applyFont="1" applyBorder="1" applyAlignment="1">
      <alignment vertical="center" wrapText="1"/>
    </xf>
    <xf numFmtId="4" fontId="1" fillId="0" borderId="29" xfId="3" applyNumberFormat="1" applyFont="1" applyBorder="1" applyAlignment="1">
      <alignment vertical="center" wrapText="1"/>
    </xf>
    <xf numFmtId="4" fontId="16" fillId="0" borderId="29" xfId="3" applyNumberFormat="1" applyFont="1" applyBorder="1" applyAlignment="1">
      <alignment horizontal="center" vertical="center" wrapText="1"/>
    </xf>
    <xf numFmtId="4" fontId="1" fillId="0" borderId="29" xfId="3" applyNumberFormat="1" applyFont="1" applyBorder="1" applyAlignment="1">
      <alignment horizontal="right" vertical="center" wrapText="1"/>
    </xf>
    <xf numFmtId="4" fontId="1" fillId="0" borderId="30" xfId="3" applyNumberFormat="1" applyFont="1" applyBorder="1" applyAlignment="1">
      <alignment horizontal="center" vertical="center" wrapText="1"/>
    </xf>
    <xf numFmtId="4" fontId="1" fillId="0" borderId="29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9" fillId="0" borderId="0" xfId="5" applyFont="1"/>
    <xf numFmtId="0" fontId="2" fillId="0" borderId="0" xfId="2" applyFont="1"/>
    <xf numFmtId="0" fontId="2" fillId="0" borderId="0" xfId="2" applyFont="1" applyAlignment="1">
      <alignment horizontal="left"/>
    </xf>
    <xf numFmtId="0" fontId="11" fillId="0" borderId="0" xfId="5" applyFont="1" applyAlignment="1">
      <alignment horizontal="centerContinuous" vertical="center"/>
    </xf>
    <xf numFmtId="0" fontId="30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top" wrapText="1"/>
    </xf>
    <xf numFmtId="0" fontId="30" fillId="0" borderId="21" xfId="5" applyFont="1" applyBorder="1" applyAlignment="1">
      <alignment horizontal="centerContinuous" vertical="center"/>
    </xf>
    <xf numFmtId="0" fontId="30" fillId="0" borderId="23" xfId="5" applyFont="1" applyBorder="1" applyAlignment="1">
      <alignment horizontal="centerContinuous" vertical="center"/>
    </xf>
    <xf numFmtId="0" fontId="30" fillId="0" borderId="24" xfId="5" applyFont="1" applyBorder="1" applyAlignment="1">
      <alignment horizontal="centerContinuous" vertical="center"/>
    </xf>
    <xf numFmtId="0" fontId="30" fillId="0" borderId="3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 wrapText="1"/>
    </xf>
    <xf numFmtId="0" fontId="31" fillId="0" borderId="3" xfId="5" applyFont="1" applyBorder="1" applyAlignment="1">
      <alignment horizontal="center" vertical="center" wrapText="1"/>
    </xf>
    <xf numFmtId="0" fontId="30" fillId="0" borderId="5" xfId="5" applyFont="1" applyBorder="1" applyAlignment="1">
      <alignment horizontal="center" vertical="center"/>
    </xf>
    <xf numFmtId="0" fontId="31" fillId="0" borderId="5" xfId="5" applyFont="1" applyBorder="1" applyAlignment="1">
      <alignment horizontal="center" vertical="center" wrapText="1"/>
    </xf>
    <xf numFmtId="0" fontId="30" fillId="0" borderId="5" xfId="5" applyFont="1" applyBorder="1" applyAlignment="1">
      <alignment horizontal="center" vertical="center" wrapText="1"/>
    </xf>
    <xf numFmtId="0" fontId="32" fillId="0" borderId="12" xfId="5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2" xfId="5" applyFont="1" applyBorder="1" applyAlignment="1">
      <alignment vertical="center"/>
    </xf>
    <xf numFmtId="4" fontId="30" fillId="0" borderId="23" xfId="5" applyNumberFormat="1" applyFont="1" applyBorder="1" applyAlignment="1">
      <alignment horizontal="center" vertical="center"/>
    </xf>
    <xf numFmtId="4" fontId="30" fillId="0" borderId="12" xfId="5" applyNumberFormat="1" applyFont="1" applyBorder="1" applyAlignment="1">
      <alignment vertical="center"/>
    </xf>
    <xf numFmtId="4" fontId="30" fillId="0" borderId="23" xfId="5" applyNumberFormat="1" applyFont="1" applyBorder="1" applyAlignment="1">
      <alignment vertical="center"/>
    </xf>
    <xf numFmtId="4" fontId="30" fillId="0" borderId="0" xfId="5" applyNumberFormat="1" applyFont="1"/>
    <xf numFmtId="0" fontId="30" fillId="0" borderId="0" xfId="5" applyFont="1"/>
    <xf numFmtId="0" fontId="11" fillId="0" borderId="3" xfId="5" applyFont="1" applyBorder="1" applyAlignment="1">
      <alignment horizontal="center" vertical="center"/>
    </xf>
    <xf numFmtId="3" fontId="30" fillId="0" borderId="0" xfId="5" applyNumberFormat="1" applyFont="1"/>
    <xf numFmtId="49" fontId="30" fillId="0" borderId="33" xfId="5" applyNumberFormat="1" applyFont="1" applyBorder="1" applyAlignment="1">
      <alignment horizontal="center" vertical="center"/>
    </xf>
    <xf numFmtId="0" fontId="30" fillId="0" borderId="33" xfId="5" applyFont="1" applyBorder="1" applyAlignment="1">
      <alignment vertical="center" wrapText="1"/>
    </xf>
    <xf numFmtId="4" fontId="30" fillId="0" borderId="34" xfId="5" applyNumberFormat="1" applyFont="1" applyBorder="1" applyAlignment="1">
      <alignment vertical="center"/>
    </xf>
    <xf numFmtId="4" fontId="30" fillId="0" borderId="35" xfId="5" applyNumberFormat="1" applyFont="1" applyBorder="1" applyAlignment="1">
      <alignment vertical="center"/>
    </xf>
    <xf numFmtId="49" fontId="9" fillId="0" borderId="14" xfId="5" applyNumberFormat="1" applyFont="1" applyBorder="1" applyAlignment="1">
      <alignment horizontal="center" vertical="center"/>
    </xf>
    <xf numFmtId="0" fontId="30" fillId="0" borderId="14" xfId="5" applyFont="1" applyBorder="1" applyAlignment="1">
      <alignment vertical="center" wrapText="1"/>
    </xf>
    <xf numFmtId="4" fontId="9" fillId="0" borderId="36" xfId="5" applyNumberFormat="1" applyFont="1" applyBorder="1" applyAlignment="1">
      <alignment horizontal="center"/>
    </xf>
    <xf numFmtId="4" fontId="9" fillId="0" borderId="37" xfId="5" applyNumberFormat="1" applyFont="1" applyBorder="1"/>
    <xf numFmtId="4" fontId="9" fillId="0" borderId="38" xfId="5" applyNumberFormat="1" applyFont="1" applyBorder="1"/>
    <xf numFmtId="49" fontId="9" fillId="0" borderId="39" xfId="5" applyNumberFormat="1" applyFont="1" applyBorder="1" applyAlignment="1">
      <alignment horizontal="center" vertical="center"/>
    </xf>
    <xf numFmtId="0" fontId="9" fillId="0" borderId="39" xfId="5" applyFont="1" applyBorder="1" applyAlignment="1">
      <alignment vertical="top" wrapText="1"/>
    </xf>
    <xf numFmtId="4" fontId="9" fillId="0" borderId="40" xfId="5" applyNumberFormat="1" applyFont="1" applyBorder="1" applyAlignment="1">
      <alignment horizontal="center"/>
    </xf>
    <xf numFmtId="4" fontId="9" fillId="0" borderId="41" xfId="5" applyNumberFormat="1" applyFont="1" applyBorder="1"/>
    <xf numFmtId="4" fontId="9" fillId="0" borderId="42" xfId="5" applyNumberFormat="1" applyFont="1" applyBorder="1"/>
    <xf numFmtId="4" fontId="9" fillId="0" borderId="39" xfId="5" applyNumberFormat="1" applyFont="1" applyBorder="1" applyAlignment="1">
      <alignment horizontal="center"/>
    </xf>
    <xf numFmtId="4" fontId="9" fillId="0" borderId="39" xfId="5" applyNumberFormat="1" applyFont="1" applyBorder="1"/>
    <xf numFmtId="49" fontId="9" fillId="0" borderId="5" xfId="5" applyNumberFormat="1" applyFont="1" applyBorder="1" applyAlignment="1">
      <alignment horizontal="center" vertical="center"/>
    </xf>
    <xf numFmtId="4" fontId="9" fillId="0" borderId="5" xfId="5" applyNumberFormat="1" applyFont="1" applyBorder="1" applyAlignment="1">
      <alignment horizontal="center"/>
    </xf>
    <xf numFmtId="4" fontId="9" fillId="0" borderId="5" xfId="5" applyNumberFormat="1" applyFont="1" applyBorder="1"/>
    <xf numFmtId="4" fontId="9" fillId="0" borderId="25" xfId="5" applyNumberFormat="1" applyFont="1" applyBorder="1"/>
    <xf numFmtId="49" fontId="9" fillId="0" borderId="31" xfId="5" applyNumberFormat="1" applyFont="1" applyBorder="1" applyAlignment="1">
      <alignment horizontal="center" vertical="center"/>
    </xf>
    <xf numFmtId="0" fontId="30" fillId="0" borderId="31" xfId="5" applyFont="1" applyBorder="1" applyAlignment="1">
      <alignment vertical="center" wrapText="1"/>
    </xf>
    <xf numFmtId="4" fontId="9" fillId="0" borderId="43" xfId="5" applyNumberFormat="1" applyFont="1" applyBorder="1" applyAlignment="1">
      <alignment horizontal="center"/>
    </xf>
    <xf numFmtId="4" fontId="9" fillId="0" borderId="44" xfId="5" applyNumberFormat="1" applyFont="1" applyBorder="1"/>
    <xf numFmtId="4" fontId="9" fillId="0" borderId="45" xfId="5" applyNumberFormat="1" applyFont="1" applyBorder="1"/>
    <xf numFmtId="49" fontId="9" fillId="0" borderId="3" xfId="5" applyNumberFormat="1" applyFont="1" applyBorder="1" applyAlignment="1">
      <alignment horizontal="center" vertical="center"/>
    </xf>
    <xf numFmtId="49" fontId="30" fillId="0" borderId="46" xfId="5" applyNumberFormat="1" applyFont="1" applyBorder="1" applyAlignment="1">
      <alignment horizontal="center" vertical="center"/>
    </xf>
    <xf numFmtId="0" fontId="30" fillId="3" borderId="33" xfId="5" applyFont="1" applyFill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4" fontId="30" fillId="0" borderId="34" xfId="2" applyNumberFormat="1" applyFont="1" applyBorder="1" applyAlignment="1">
      <alignment horizontal="right" vertical="center" wrapText="1"/>
    </xf>
    <xf numFmtId="4" fontId="30" fillId="0" borderId="35" xfId="2" applyNumberFormat="1" applyFont="1" applyBorder="1" applyAlignment="1">
      <alignment horizontal="right" vertical="center" wrapText="1"/>
    </xf>
    <xf numFmtId="0" fontId="30" fillId="3" borderId="3" xfId="5" applyFont="1" applyFill="1" applyBorder="1" applyAlignment="1">
      <alignment vertical="center"/>
    </xf>
    <xf numFmtId="0" fontId="9" fillId="3" borderId="0" xfId="5" applyFont="1" applyFill="1" applyAlignment="1">
      <alignment horizontal="center"/>
    </xf>
    <xf numFmtId="4" fontId="9" fillId="0" borderId="0" xfId="5" applyNumberFormat="1" applyFont="1"/>
    <xf numFmtId="4" fontId="9" fillId="3" borderId="0" xfId="5" applyNumberFormat="1" applyFont="1" applyFill="1"/>
    <xf numFmtId="4" fontId="9" fillId="0" borderId="19" xfId="5" applyNumberFormat="1" applyFont="1" applyBorder="1"/>
    <xf numFmtId="4" fontId="9" fillId="3" borderId="19" xfId="5" applyNumberFormat="1" applyFont="1" applyFill="1" applyBorder="1"/>
    <xf numFmtId="0" fontId="9" fillId="0" borderId="39" xfId="5" applyFont="1" applyBorder="1" applyAlignment="1">
      <alignment horizontal="center" vertical="center"/>
    </xf>
    <xf numFmtId="0" fontId="9" fillId="3" borderId="39" xfId="5" applyFont="1" applyFill="1" applyBorder="1"/>
    <xf numFmtId="0" fontId="9" fillId="3" borderId="41" xfId="5" applyFont="1" applyFill="1" applyBorder="1" applyAlignment="1">
      <alignment horizontal="center"/>
    </xf>
    <xf numFmtId="4" fontId="9" fillId="3" borderId="41" xfId="5" applyNumberFormat="1" applyFont="1" applyFill="1" applyBorder="1"/>
    <xf numFmtId="4" fontId="9" fillId="3" borderId="42" xfId="5" applyNumberFormat="1" applyFont="1" applyFill="1" applyBorder="1"/>
    <xf numFmtId="0" fontId="9" fillId="3" borderId="39" xfId="5" applyFont="1" applyFill="1" applyBorder="1" applyAlignment="1">
      <alignment horizontal="center"/>
    </xf>
    <xf numFmtId="4" fontId="9" fillId="3" borderId="39" xfId="5" applyNumberFormat="1" applyFont="1" applyFill="1" applyBorder="1"/>
    <xf numFmtId="0" fontId="9" fillId="0" borderId="32" xfId="5" applyFont="1" applyBorder="1" applyAlignment="1">
      <alignment horizontal="center" vertical="center"/>
    </xf>
    <xf numFmtId="0" fontId="9" fillId="3" borderId="32" xfId="5" applyFont="1" applyFill="1" applyBorder="1" applyAlignment="1">
      <alignment horizontal="center"/>
    </xf>
    <xf numFmtId="4" fontId="9" fillId="0" borderId="32" xfId="5" applyNumberFormat="1" applyFont="1" applyBorder="1"/>
    <xf numFmtId="4" fontId="9" fillId="3" borderId="32" xfId="5" applyNumberFormat="1" applyFont="1" applyFill="1" applyBorder="1"/>
    <xf numFmtId="0" fontId="30" fillId="0" borderId="3" xfId="5" applyFont="1" applyBorder="1" applyAlignment="1">
      <alignment wrapText="1"/>
    </xf>
    <xf numFmtId="0" fontId="33" fillId="3" borderId="39" xfId="5" applyFont="1" applyFill="1" applyBorder="1"/>
    <xf numFmtId="0" fontId="9" fillId="3" borderId="47" xfId="5" applyFont="1" applyFill="1" applyBorder="1" applyAlignment="1">
      <alignment horizontal="center"/>
    </xf>
    <xf numFmtId="4" fontId="9" fillId="0" borderId="48" xfId="5" applyNumberFormat="1" applyFont="1" applyBorder="1"/>
    <xf numFmtId="4" fontId="9" fillId="3" borderId="47" xfId="5" applyNumberFormat="1" applyFont="1" applyFill="1" applyBorder="1"/>
    <xf numFmtId="4" fontId="9" fillId="3" borderId="48" xfId="5" applyNumberFormat="1" applyFont="1" applyFill="1" applyBorder="1"/>
    <xf numFmtId="0" fontId="9" fillId="0" borderId="0" xfId="5" applyFont="1" applyAlignment="1">
      <alignment horizontal="center" vertical="center"/>
    </xf>
    <xf numFmtId="4" fontId="9" fillId="0" borderId="0" xfId="5" applyNumberFormat="1" applyFont="1" applyAlignment="1">
      <alignment horizontal="center"/>
    </xf>
    <xf numFmtId="4" fontId="9" fillId="0" borderId="0" xfId="5" applyNumberFormat="1" applyFont="1" applyAlignment="1">
      <alignment horizontal="right"/>
    </xf>
    <xf numFmtId="0" fontId="9" fillId="0" borderId="0" xfId="5" applyFont="1" applyAlignment="1">
      <alignment horizontal="center"/>
    </xf>
    <xf numFmtId="3" fontId="9" fillId="0" borderId="0" xfId="5" applyNumberFormat="1" applyFont="1"/>
    <xf numFmtId="3" fontId="9" fillId="0" borderId="0" xfId="5" applyNumberFormat="1" applyFont="1" applyAlignment="1">
      <alignment horizontal="right"/>
    </xf>
    <xf numFmtId="0" fontId="9" fillId="0" borderId="0" xfId="6" applyFont="1" applyAlignment="1">
      <alignment vertical="center"/>
    </xf>
    <xf numFmtId="0" fontId="2" fillId="0" borderId="0" xfId="7" applyFont="1"/>
    <xf numFmtId="0" fontId="2" fillId="0" borderId="0" xfId="7" applyFont="1" applyAlignment="1">
      <alignment horizontal="left"/>
    </xf>
    <xf numFmtId="0" fontId="9" fillId="0" borderId="0" xfId="7" applyFont="1"/>
    <xf numFmtId="0" fontId="34" fillId="0" borderId="0" xfId="7" applyFont="1"/>
    <xf numFmtId="0" fontId="2" fillId="0" borderId="0" xfId="6" applyFont="1" applyAlignment="1">
      <alignment horizontal="left"/>
    </xf>
    <xf numFmtId="0" fontId="4" fillId="0" borderId="0" xfId="7" applyFont="1" applyAlignment="1">
      <alignment horizontal="centerContinuous" vertical="center" wrapText="1"/>
    </xf>
    <xf numFmtId="0" fontId="35" fillId="0" borderId="0" xfId="7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4" fillId="0" borderId="12" xfId="7" applyFont="1" applyBorder="1" applyAlignment="1">
      <alignment horizontal="center" vertical="center"/>
    </xf>
    <xf numFmtId="0" fontId="4" fillId="2" borderId="12" xfId="7" applyFont="1" applyFill="1" applyBorder="1" applyAlignment="1">
      <alignment horizontal="center" vertical="center"/>
    </xf>
    <xf numFmtId="0" fontId="4" fillId="2" borderId="21" xfId="7" applyFont="1" applyFill="1" applyBorder="1" applyAlignment="1">
      <alignment horizontal="centerContinuous" vertical="center"/>
    </xf>
    <xf numFmtId="0" fontId="8" fillId="0" borderId="12" xfId="7" applyFont="1" applyBorder="1" applyAlignment="1">
      <alignment horizontal="center" vertical="center"/>
    </xf>
    <xf numFmtId="0" fontId="8" fillId="0" borderId="21" xfId="7" applyFont="1" applyBorder="1" applyAlignment="1">
      <alignment horizontal="centerContinuous" vertical="center"/>
    </xf>
    <xf numFmtId="0" fontId="22" fillId="0" borderId="0" xfId="7" applyFont="1"/>
    <xf numFmtId="0" fontId="8" fillId="0" borderId="0" xfId="7" applyFont="1"/>
    <xf numFmtId="0" fontId="23" fillId="0" borderId="12" xfId="7" applyFont="1" applyBorder="1" applyAlignment="1">
      <alignment vertical="center"/>
    </xf>
    <xf numFmtId="0" fontId="36" fillId="0" borderId="12" xfId="7" applyFont="1" applyBorder="1" applyAlignment="1">
      <alignment horizontal="left" vertical="center"/>
    </xf>
    <xf numFmtId="4" fontId="23" fillId="0" borderId="12" xfId="7" applyNumberFormat="1" applyFont="1" applyBorder="1"/>
    <xf numFmtId="0" fontId="37" fillId="0" borderId="0" xfId="7" applyFont="1"/>
    <xf numFmtId="0" fontId="23" fillId="0" borderId="12" xfId="7" applyFont="1" applyBorder="1" applyAlignment="1">
      <alignment vertical="top"/>
    </xf>
    <xf numFmtId="0" fontId="23" fillId="0" borderId="21" xfId="7" applyFont="1" applyBorder="1" applyAlignment="1">
      <alignment vertical="top" wrapText="1"/>
    </xf>
    <xf numFmtId="4" fontId="23" fillId="0" borderId="12" xfId="7" applyNumberFormat="1" applyFont="1" applyBorder="1" applyAlignment="1">
      <alignment vertical="center"/>
    </xf>
    <xf numFmtId="4" fontId="34" fillId="0" borderId="0" xfId="7" applyNumberFormat="1" applyFont="1"/>
    <xf numFmtId="0" fontId="23" fillId="0" borderId="12" xfId="7" applyFont="1" applyBorder="1"/>
    <xf numFmtId="0" fontId="23" fillId="0" borderId="21" xfId="7" applyFont="1" applyBorder="1"/>
    <xf numFmtId="0" fontId="23" fillId="0" borderId="2" xfId="7" applyFont="1" applyBorder="1"/>
    <xf numFmtId="0" fontId="23" fillId="0" borderId="26" xfId="7" applyFont="1" applyBorder="1"/>
    <xf numFmtId="0" fontId="23" fillId="0" borderId="22" xfId="7" applyFont="1" applyBorder="1"/>
    <xf numFmtId="0" fontId="22" fillId="0" borderId="18" xfId="7" applyFont="1" applyBorder="1" applyAlignment="1">
      <alignment vertical="center" wrapText="1"/>
    </xf>
    <xf numFmtId="4" fontId="23" fillId="0" borderId="16" xfId="7" applyNumberFormat="1" applyFont="1" applyBorder="1"/>
    <xf numFmtId="0" fontId="23" fillId="0" borderId="4" xfId="7" applyFont="1" applyBorder="1"/>
    <xf numFmtId="0" fontId="23" fillId="0" borderId="0" xfId="7" applyFont="1"/>
    <xf numFmtId="0" fontId="23" fillId="0" borderId="19" xfId="7" applyFont="1" applyBorder="1"/>
    <xf numFmtId="0" fontId="22" fillId="0" borderId="49" xfId="7" applyFont="1" applyBorder="1" applyAlignment="1">
      <alignment horizontal="left" wrapText="1"/>
    </xf>
    <xf numFmtId="4" fontId="23" fillId="0" borderId="11" xfId="7" applyNumberFormat="1" applyFont="1" applyBorder="1"/>
    <xf numFmtId="0" fontId="23" fillId="0" borderId="6" xfId="7" applyFont="1" applyBorder="1"/>
    <xf numFmtId="0" fontId="23" fillId="0" borderId="25" xfId="7" applyFont="1" applyBorder="1"/>
    <xf numFmtId="0" fontId="23" fillId="0" borderId="20" xfId="7" applyFont="1" applyBorder="1"/>
    <xf numFmtId="0" fontId="22" fillId="0" borderId="6" xfId="7" applyFont="1" applyBorder="1" applyAlignment="1">
      <alignment vertical="center" wrapText="1"/>
    </xf>
    <xf numFmtId="4" fontId="23" fillId="0" borderId="5" xfId="7" applyNumberFormat="1" applyFont="1" applyBorder="1"/>
    <xf numFmtId="0" fontId="22" fillId="0" borderId="50" xfId="7" applyFont="1" applyBorder="1" applyAlignment="1">
      <alignment vertical="center" wrapText="1"/>
    </xf>
    <xf numFmtId="4" fontId="23" fillId="0" borderId="49" xfId="7" applyNumberFormat="1" applyFont="1" applyBorder="1"/>
    <xf numFmtId="0" fontId="22" fillId="0" borderId="49" xfId="7" applyFont="1" applyBorder="1"/>
    <xf numFmtId="0" fontId="22" fillId="0" borderId="13" xfId="7" applyFont="1" applyBorder="1" applyAlignment="1">
      <alignment wrapText="1"/>
    </xf>
    <xf numFmtId="0" fontId="22" fillId="0" borderId="13" xfId="7" applyFont="1" applyBorder="1"/>
    <xf numFmtId="0" fontId="23" fillId="0" borderId="24" xfId="7" applyFont="1" applyBorder="1"/>
    <xf numFmtId="0" fontId="23" fillId="0" borderId="23" xfId="7" applyFont="1" applyBorder="1"/>
    <xf numFmtId="0" fontId="22" fillId="0" borderId="16" xfId="7" applyFont="1" applyBorder="1" applyAlignment="1">
      <alignment horizontal="left" wrapText="1"/>
    </xf>
    <xf numFmtId="0" fontId="22" fillId="0" borderId="16" xfId="7" applyFont="1" applyBorder="1" applyAlignment="1">
      <alignment vertical="center" wrapText="1"/>
    </xf>
    <xf numFmtId="0" fontId="22" fillId="0" borderId="13" xfId="7" applyFont="1" applyBorder="1" applyAlignment="1">
      <alignment horizontal="left" vertical="center" wrapText="1"/>
    </xf>
    <xf numFmtId="0" fontId="22" fillId="0" borderId="51" xfId="7" applyFont="1" applyBorder="1" applyAlignment="1">
      <alignment horizontal="left" vertical="center" wrapText="1"/>
    </xf>
    <xf numFmtId="0" fontId="36" fillId="0" borderId="12" xfId="8" applyFont="1" applyBorder="1" applyAlignment="1">
      <alignment vertical="top"/>
    </xf>
    <xf numFmtId="0" fontId="23" fillId="0" borderId="21" xfId="8" applyFont="1" applyBorder="1" applyAlignment="1">
      <alignment vertical="top" wrapText="1"/>
    </xf>
    <xf numFmtId="4" fontId="23" fillId="0" borderId="12" xfId="8" applyNumberFormat="1" applyFont="1" applyBorder="1" applyAlignment="1">
      <alignment vertical="center"/>
    </xf>
    <xf numFmtId="0" fontId="22" fillId="0" borderId="1" xfId="8" applyFont="1" applyBorder="1" applyAlignment="1">
      <alignment vertical="top"/>
    </xf>
    <xf numFmtId="0" fontId="22" fillId="0" borderId="18" xfId="8" applyFont="1" applyBorder="1" applyAlignment="1">
      <alignment vertical="center" wrapText="1"/>
    </xf>
    <xf numFmtId="3" fontId="22" fillId="0" borderId="16" xfId="8" applyNumberFormat="1" applyFont="1" applyBorder="1"/>
    <xf numFmtId="0" fontId="22" fillId="0" borderId="3" xfId="8" applyFont="1" applyBorder="1" applyAlignment="1">
      <alignment vertical="top"/>
    </xf>
    <xf numFmtId="0" fontId="22" fillId="0" borderId="50" xfId="8" applyFont="1" applyBorder="1" applyAlignment="1">
      <alignment vertical="center" wrapText="1"/>
    </xf>
    <xf numFmtId="3" fontId="22" fillId="0" borderId="49" xfId="8" applyNumberFormat="1" applyFont="1" applyBorder="1"/>
    <xf numFmtId="0" fontId="22" fillId="0" borderId="5" xfId="8" applyFont="1" applyBorder="1" applyAlignment="1">
      <alignment vertical="top"/>
    </xf>
    <xf numFmtId="0" fontId="22" fillId="0" borderId="51" xfId="8" applyFont="1" applyBorder="1" applyAlignment="1">
      <alignment vertical="center" wrapText="1"/>
    </xf>
    <xf numFmtId="3" fontId="22" fillId="0" borderId="52" xfId="8" applyNumberFormat="1" applyFont="1" applyBorder="1"/>
    <xf numFmtId="0" fontId="23" fillId="0" borderId="5" xfId="7" applyFont="1" applyBorder="1" applyAlignment="1">
      <alignment vertical="top"/>
    </xf>
    <xf numFmtId="0" fontId="23" fillId="0" borderId="6" xfId="7" applyFont="1" applyBorder="1" applyAlignment="1">
      <alignment vertical="center" wrapText="1"/>
    </xf>
    <xf numFmtId="4" fontId="23" fillId="0" borderId="5" xfId="7" applyNumberFormat="1" applyFont="1" applyBorder="1" applyAlignment="1">
      <alignment vertical="center"/>
    </xf>
    <xf numFmtId="0" fontId="23" fillId="0" borderId="1" xfId="7" applyFont="1" applyBorder="1" applyAlignment="1">
      <alignment vertical="top"/>
    </xf>
    <xf numFmtId="0" fontId="23" fillId="0" borderId="22" xfId="7" applyFont="1" applyBorder="1" applyAlignment="1">
      <alignment vertical="top"/>
    </xf>
    <xf numFmtId="0" fontId="23" fillId="0" borderId="1" xfId="7" applyFont="1" applyBorder="1" applyAlignment="1">
      <alignment horizontal="right" vertical="center"/>
    </xf>
    <xf numFmtId="0" fontId="23" fillId="0" borderId="22" xfId="7" applyFont="1" applyBorder="1" applyAlignment="1">
      <alignment horizontal="right" vertical="center"/>
    </xf>
    <xf numFmtId="0" fontId="23" fillId="0" borderId="21" xfId="7" applyFont="1" applyBorder="1" applyAlignment="1">
      <alignment wrapText="1"/>
    </xf>
    <xf numFmtId="0" fontId="23" fillId="0" borderId="20" xfId="7" applyFont="1" applyBorder="1" applyAlignment="1">
      <alignment vertical="top"/>
    </xf>
    <xf numFmtId="0" fontId="23" fillId="0" borderId="6" xfId="7" applyFont="1" applyBorder="1" applyAlignment="1">
      <alignment wrapText="1"/>
    </xf>
    <xf numFmtId="0" fontId="22" fillId="0" borderId="50" xfId="7" applyFont="1" applyBorder="1" applyAlignment="1">
      <alignment horizontal="left" wrapText="1"/>
    </xf>
    <xf numFmtId="0" fontId="38" fillId="0" borderId="0" xfId="7" applyFont="1"/>
    <xf numFmtId="0" fontId="22" fillId="0" borderId="13" xfId="7" applyFont="1" applyBorder="1" applyAlignment="1">
      <alignment horizontal="left" wrapText="1"/>
    </xf>
    <xf numFmtId="0" fontId="22" fillId="0" borderId="50" xfId="7" applyFont="1" applyBorder="1" applyAlignment="1">
      <alignment horizontal="left" vertical="center" wrapText="1"/>
    </xf>
    <xf numFmtId="0" fontId="22" fillId="0" borderId="50" xfId="7" applyFont="1" applyBorder="1"/>
    <xf numFmtId="0" fontId="22" fillId="0" borderId="6" xfId="7" applyFont="1" applyBorder="1" applyAlignment="1">
      <alignment horizontal="left" wrapText="1"/>
    </xf>
    <xf numFmtId="0" fontId="22" fillId="0" borderId="18" xfId="7" applyFont="1" applyBorder="1" applyAlignment="1">
      <alignment horizontal="left" vertical="center" wrapText="1"/>
    </xf>
    <xf numFmtId="0" fontId="22" fillId="0" borderId="25" xfId="7" applyFont="1" applyBorder="1"/>
    <xf numFmtId="0" fontId="22" fillId="0" borderId="13" xfId="7" applyFont="1" applyBorder="1" applyAlignment="1">
      <alignment vertical="center" wrapText="1"/>
    </xf>
    <xf numFmtId="0" fontId="22" fillId="0" borderId="21" xfId="7" applyFont="1" applyBorder="1" applyAlignment="1">
      <alignment vertical="center" wrapText="1"/>
    </xf>
    <xf numFmtId="0" fontId="22" fillId="0" borderId="21" xfId="7" applyFont="1" applyBorder="1" applyAlignment="1">
      <alignment horizontal="left" vertical="center" wrapText="1"/>
    </xf>
    <xf numFmtId="0" fontId="15" fillId="0" borderId="18" xfId="7" applyFont="1" applyBorder="1"/>
    <xf numFmtId="0" fontId="22" fillId="0" borderId="53" xfId="7" applyFont="1" applyBorder="1"/>
    <xf numFmtId="4" fontId="23" fillId="0" borderId="15" xfId="7" applyNumberFormat="1" applyFont="1" applyBorder="1"/>
    <xf numFmtId="0" fontId="15" fillId="0" borderId="13" xfId="7" applyFont="1" applyBorder="1"/>
    <xf numFmtId="0" fontId="15" fillId="0" borderId="50" xfId="7" applyFont="1" applyBorder="1"/>
    <xf numFmtId="0" fontId="22" fillId="0" borderId="50" xfId="7" applyFont="1" applyBorder="1" applyAlignment="1">
      <alignment horizontal="left" vertical="top" wrapText="1"/>
    </xf>
    <xf numFmtId="4" fontId="23" fillId="0" borderId="14" xfId="7" applyNumberFormat="1" applyFont="1" applyBorder="1"/>
    <xf numFmtId="0" fontId="22" fillId="0" borderId="6" xfId="7" applyFont="1" applyBorder="1" applyAlignment="1">
      <alignment horizontal="left" vertical="center" wrapText="1"/>
    </xf>
    <xf numFmtId="0" fontId="15" fillId="0" borderId="21" xfId="7" applyFont="1" applyBorder="1"/>
    <xf numFmtId="0" fontId="22" fillId="0" borderId="6" xfId="7" applyFont="1" applyBorder="1" applyAlignment="1">
      <alignment vertical="top" wrapText="1"/>
    </xf>
    <xf numFmtId="0" fontId="22" fillId="0" borderId="18" xfId="7" applyFont="1" applyBorder="1" applyAlignment="1">
      <alignment horizontal="left" wrapText="1"/>
    </xf>
    <xf numFmtId="0" fontId="22" fillId="0" borderId="49" xfId="7" applyFont="1" applyBorder="1" applyAlignment="1">
      <alignment horizontal="left" vertical="center" wrapText="1"/>
    </xf>
    <xf numFmtId="0" fontId="23" fillId="0" borderId="5" xfId="7" applyFont="1" applyBorder="1"/>
    <xf numFmtId="0" fontId="22" fillId="0" borderId="21" xfId="7" applyFont="1" applyBorder="1" applyAlignment="1">
      <alignment vertical="top" wrapText="1"/>
    </xf>
    <xf numFmtId="0" fontId="22" fillId="0" borderId="18" xfId="7" applyFont="1" applyBorder="1"/>
    <xf numFmtId="0" fontId="22" fillId="0" borderId="36" xfId="7" applyFont="1" applyBorder="1" applyAlignment="1">
      <alignment horizontal="left" vertical="center" wrapText="1"/>
    </xf>
    <xf numFmtId="0" fontId="23" fillId="0" borderId="21" xfId="7" applyFont="1" applyBorder="1" applyAlignment="1">
      <alignment horizontal="left" vertical="top" wrapText="1"/>
    </xf>
    <xf numFmtId="0" fontId="22" fillId="0" borderId="18" xfId="7" applyFont="1" applyBorder="1" applyAlignment="1">
      <alignment vertical="top" wrapText="1"/>
    </xf>
    <xf numFmtId="0" fontId="22" fillId="0" borderId="25" xfId="7" applyFont="1" applyBorder="1" applyAlignment="1">
      <alignment vertical="top" wrapText="1"/>
    </xf>
    <xf numFmtId="0" fontId="4" fillId="0" borderId="21" xfId="7" applyFont="1" applyBorder="1" applyAlignment="1">
      <alignment horizontal="center" vertical="center"/>
    </xf>
    <xf numFmtId="0" fontId="4" fillId="0" borderId="24" xfId="7" applyFont="1" applyBorder="1" applyAlignment="1">
      <alignment horizontal="center" vertical="center"/>
    </xf>
    <xf numFmtId="4" fontId="3" fillId="0" borderId="12" xfId="7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 indent="2"/>
    </xf>
    <xf numFmtId="4" fontId="43" fillId="0" borderId="1" xfId="0" applyNumberFormat="1" applyFont="1" applyBorder="1" applyAlignment="1">
      <alignment vertical="center"/>
    </xf>
    <xf numFmtId="0" fontId="42" fillId="0" borderId="3" xfId="0" applyFont="1" applyBorder="1" applyAlignment="1">
      <alignment horizontal="left" vertical="center" indent="2"/>
    </xf>
    <xf numFmtId="4" fontId="43" fillId="0" borderId="3" xfId="0" applyNumberFormat="1" applyFont="1" applyBorder="1" applyAlignment="1">
      <alignment vertical="center"/>
    </xf>
    <xf numFmtId="4" fontId="43" fillId="0" borderId="3" xfId="0" applyNumberFormat="1" applyFont="1" applyBorder="1" applyAlignment="1">
      <alignment vertical="top"/>
    </xf>
    <xf numFmtId="4" fontId="43" fillId="0" borderId="3" xfId="0" applyNumberFormat="1" applyFont="1" applyBorder="1" applyAlignment="1">
      <alignment horizontal="right" vertical="center"/>
    </xf>
    <xf numFmtId="0" fontId="42" fillId="0" borderId="3" xfId="0" applyFont="1" applyBorder="1" applyAlignment="1">
      <alignment horizontal="center" vertical="top"/>
    </xf>
    <xf numFmtId="0" fontId="43" fillId="0" borderId="3" xfId="0" applyFont="1" applyBorder="1" applyAlignment="1">
      <alignment horizontal="center" vertical="top"/>
    </xf>
    <xf numFmtId="0" fontId="42" fillId="0" borderId="3" xfId="0" applyFont="1" applyBorder="1" applyAlignment="1">
      <alignment horizontal="left" vertical="top" wrapText="1" indent="2"/>
    </xf>
    <xf numFmtId="0" fontId="42" fillId="0" borderId="5" xfId="0" applyFont="1" applyBorder="1" applyAlignment="1">
      <alignment horizontal="center" vertical="top"/>
    </xf>
    <xf numFmtId="0" fontId="43" fillId="0" borderId="5" xfId="0" applyFont="1" applyBorder="1" applyAlignment="1">
      <alignment horizontal="center" vertical="top"/>
    </xf>
    <xf numFmtId="4" fontId="43" fillId="0" borderId="5" xfId="0" applyNumberFormat="1" applyFont="1" applyBorder="1" applyAlignment="1">
      <alignment vertical="top"/>
    </xf>
    <xf numFmtId="0" fontId="43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/>
    </xf>
    <xf numFmtId="0" fontId="42" fillId="0" borderId="12" xfId="0" applyFont="1" applyBorder="1" applyAlignment="1">
      <alignment horizontal="left" vertical="center" indent="2"/>
    </xf>
    <xf numFmtId="4" fontId="43" fillId="0" borderId="12" xfId="0" applyNumberFormat="1" applyFont="1" applyBorder="1" applyAlignment="1">
      <alignment vertical="center"/>
    </xf>
    <xf numFmtId="0" fontId="42" fillId="0" borderId="3" xfId="0" applyFont="1" applyBorder="1" applyAlignment="1">
      <alignment horizontal="left" vertical="center" wrapText="1" indent="2"/>
    </xf>
    <xf numFmtId="0" fontId="42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 indent="2"/>
    </xf>
    <xf numFmtId="4" fontId="43" fillId="0" borderId="5" xfId="0" applyNumberFormat="1" applyFont="1" applyBorder="1" applyAlignment="1">
      <alignment vertical="center"/>
    </xf>
    <xf numFmtId="4" fontId="43" fillId="0" borderId="5" xfId="0" applyNumberFormat="1" applyFont="1" applyBorder="1" applyAlignment="1">
      <alignment horizontal="right" vertical="center"/>
    </xf>
    <xf numFmtId="0" fontId="43" fillId="3" borderId="5" xfId="0" applyFont="1" applyFill="1" applyBorder="1" applyAlignment="1">
      <alignment horizontal="center" vertical="center"/>
    </xf>
    <xf numFmtId="0" fontId="43" fillId="3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" fontId="46" fillId="0" borderId="12" xfId="0" applyNumberFormat="1" applyFont="1" applyBorder="1" applyAlignment="1">
      <alignment vertical="center"/>
    </xf>
    <xf numFmtId="4" fontId="34" fillId="0" borderId="12" xfId="0" applyNumberFormat="1" applyFont="1" applyBorder="1" applyAlignment="1">
      <alignment horizontal="center" vertical="center"/>
    </xf>
    <xf numFmtId="0" fontId="37" fillId="0" borderId="0" xfId="0" applyFont="1"/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vertical="center" wrapText="1"/>
    </xf>
    <xf numFmtId="49" fontId="34" fillId="0" borderId="3" xfId="0" applyNumberFormat="1" applyFont="1" applyBorder="1" applyAlignment="1">
      <alignment horizontal="center"/>
    </xf>
    <xf numFmtId="49" fontId="34" fillId="0" borderId="12" xfId="0" applyNumberFormat="1" applyFont="1" applyBorder="1" applyAlignment="1">
      <alignment horizontal="center"/>
    </xf>
    <xf numFmtId="4" fontId="34" fillId="0" borderId="12" xfId="0" applyNumberFormat="1" applyFont="1" applyBorder="1" applyAlignment="1">
      <alignment horizontal="center"/>
    </xf>
    <xf numFmtId="4" fontId="46" fillId="0" borderId="12" xfId="0" applyNumberFormat="1" applyFont="1" applyBorder="1" applyAlignment="1">
      <alignment horizontal="right"/>
    </xf>
    <xf numFmtId="49" fontId="34" fillId="0" borderId="3" xfId="0" applyNumberFormat="1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34" fillId="0" borderId="3" xfId="0" applyNumberFormat="1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49" fontId="34" fillId="0" borderId="5" xfId="0" applyNumberFormat="1" applyFont="1" applyBorder="1" applyAlignment="1">
      <alignment horizontal="center" vertical="center"/>
    </xf>
    <xf numFmtId="4" fontId="34" fillId="0" borderId="5" xfId="0" applyNumberFormat="1" applyFont="1" applyBorder="1" applyAlignment="1">
      <alignment vertical="center"/>
    </xf>
    <xf numFmtId="4" fontId="46" fillId="0" borderId="5" xfId="0" applyNumberFormat="1" applyFont="1" applyBorder="1" applyAlignment="1">
      <alignment vertical="center"/>
    </xf>
    <xf numFmtId="4" fontId="34" fillId="0" borderId="5" xfId="0" applyNumberFormat="1" applyFont="1" applyBorder="1" applyAlignment="1">
      <alignment horizontal="center" vertical="center"/>
    </xf>
    <xf numFmtId="4" fontId="46" fillId="0" borderId="12" xfId="0" applyNumberFormat="1" applyFont="1" applyBorder="1"/>
    <xf numFmtId="0" fontId="47" fillId="0" borderId="0" xfId="0" applyFont="1" applyAlignment="1">
      <alignment wrapText="1"/>
    </xf>
    <xf numFmtId="0" fontId="47" fillId="0" borderId="0" xfId="0" applyFont="1"/>
    <xf numFmtId="49" fontId="34" fillId="0" borderId="19" xfId="0" applyNumberFormat="1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centerContinuous" vertical="center" wrapText="1"/>
    </xf>
    <xf numFmtId="0" fontId="45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right" vertical="center"/>
    </xf>
    <xf numFmtId="4" fontId="48" fillId="0" borderId="0" xfId="0" applyNumberFormat="1" applyFont="1"/>
    <xf numFmtId="0" fontId="48" fillId="0" borderId="0" xfId="0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3" xfId="0" applyFont="1" applyBorder="1"/>
    <xf numFmtId="4" fontId="1" fillId="0" borderId="11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3" fontId="1" fillId="0" borderId="11" xfId="0" applyNumberFormat="1" applyFont="1" applyBorder="1"/>
    <xf numFmtId="4" fontId="2" fillId="0" borderId="11" xfId="0" applyNumberFormat="1" applyFont="1" applyBorder="1"/>
    <xf numFmtId="0" fontId="1" fillId="0" borderId="11" xfId="0" applyFont="1" applyBorder="1"/>
    <xf numFmtId="0" fontId="2" fillId="0" borderId="13" xfId="0" applyFont="1" applyBorder="1" applyAlignment="1">
      <alignment wrapText="1"/>
    </xf>
    <xf numFmtId="4" fontId="2" fillId="0" borderId="11" xfId="0" applyNumberFormat="1" applyFont="1" applyBorder="1" applyAlignment="1">
      <alignment horizontal="right"/>
    </xf>
    <xf numFmtId="0" fontId="1" fillId="0" borderId="18" xfId="0" applyFont="1" applyBorder="1"/>
    <xf numFmtId="0" fontId="1" fillId="0" borderId="11" xfId="2" applyFont="1" applyBorder="1"/>
    <xf numFmtId="49" fontId="1" fillId="0" borderId="3" xfId="0" applyNumberFormat="1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11" xfId="0" applyFont="1" applyBorder="1" applyAlignment="1">
      <alignment vertical="center"/>
    </xf>
    <xf numFmtId="0" fontId="2" fillId="0" borderId="11" xfId="0" applyFont="1" applyBorder="1"/>
    <xf numFmtId="0" fontId="50" fillId="0" borderId="13" xfId="0" applyFont="1" applyBorder="1" applyAlignment="1">
      <alignment vertical="center"/>
    </xf>
    <xf numFmtId="0" fontId="9" fillId="0" borderId="13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left"/>
    </xf>
    <xf numFmtId="0" fontId="1" fillId="0" borderId="16" xfId="0" applyFont="1" applyBorder="1" applyAlignment="1">
      <alignment vertical="center" wrapText="1"/>
    </xf>
    <xf numFmtId="0" fontId="51" fillId="0" borderId="0" xfId="3" applyFont="1"/>
    <xf numFmtId="0" fontId="5" fillId="0" borderId="12" xfId="3" applyFont="1" applyBorder="1" applyAlignment="1">
      <alignment horizontal="center" vertical="center" wrapText="1"/>
    </xf>
    <xf numFmtId="4" fontId="45" fillId="0" borderId="12" xfId="3" applyNumberFormat="1" applyFont="1" applyBorder="1" applyAlignment="1">
      <alignment horizontal="right" vertical="center" wrapText="1"/>
    </xf>
    <xf numFmtId="3" fontId="45" fillId="0" borderId="0" xfId="3" applyNumberFormat="1" applyFont="1"/>
    <xf numFmtId="0" fontId="45" fillId="0" borderId="0" xfId="3" applyFont="1"/>
    <xf numFmtId="3" fontId="52" fillId="0" borderId="1" xfId="3" applyNumberFormat="1" applyFont="1" applyBorder="1" applyAlignment="1">
      <alignment horizontal="center" vertical="center" wrapText="1"/>
    </xf>
    <xf numFmtId="3" fontId="52" fillId="0" borderId="3" xfId="3" applyNumberFormat="1" applyFont="1" applyBorder="1" applyAlignment="1">
      <alignment horizontal="center" vertical="center" wrapText="1"/>
    </xf>
    <xf numFmtId="0" fontId="53" fillId="0" borderId="22" xfId="3" applyFont="1" applyBorder="1" applyAlignment="1">
      <alignment vertical="center" wrapText="1"/>
    </xf>
    <xf numFmtId="3" fontId="52" fillId="0" borderId="27" xfId="3" applyNumberFormat="1" applyFont="1" applyBorder="1" applyAlignment="1">
      <alignment horizontal="center" vertical="center" wrapText="1"/>
    </xf>
    <xf numFmtId="3" fontId="52" fillId="0" borderId="29" xfId="3" applyNumberFormat="1" applyFont="1" applyBorder="1" applyAlignment="1">
      <alignment horizontal="center" vertical="center" wrapText="1"/>
    </xf>
    <xf numFmtId="0" fontId="29" fillId="0" borderId="0" xfId="5" applyFont="1"/>
    <xf numFmtId="0" fontId="9" fillId="0" borderId="31" xfId="5" applyFont="1" applyBorder="1" applyAlignment="1">
      <alignment vertical="center"/>
    </xf>
    <xf numFmtId="4" fontId="9" fillId="0" borderId="31" xfId="5" applyNumberFormat="1" applyFont="1" applyBorder="1" applyAlignment="1">
      <alignment horizontal="center" vertical="center"/>
    </xf>
    <xf numFmtId="4" fontId="9" fillId="0" borderId="31" xfId="5" applyNumberFormat="1" applyFont="1" applyBorder="1" applyAlignment="1">
      <alignment vertical="center"/>
    </xf>
    <xf numFmtId="0" fontId="9" fillId="0" borderId="32" xfId="5" applyFont="1" applyBorder="1" applyAlignment="1">
      <alignment vertical="center"/>
    </xf>
    <xf numFmtId="4" fontId="9" fillId="0" borderId="32" xfId="5" applyNumberFormat="1" applyFont="1" applyBorder="1" applyAlignment="1">
      <alignment horizontal="center" vertical="center"/>
    </xf>
    <xf numFmtId="4" fontId="9" fillId="0" borderId="32" xfId="5" applyNumberFormat="1" applyFont="1" applyBorder="1" applyAlignment="1">
      <alignment vertical="center"/>
    </xf>
    <xf numFmtId="4" fontId="9" fillId="0" borderId="34" xfId="5" applyNumberFormat="1" applyFont="1" applyBorder="1" applyAlignment="1">
      <alignment horizontal="center" vertical="center"/>
    </xf>
    <xf numFmtId="0" fontId="9" fillId="0" borderId="39" xfId="5" applyFont="1" applyBorder="1" applyAlignment="1">
      <alignment wrapText="1"/>
    </xf>
    <xf numFmtId="0" fontId="9" fillId="0" borderId="32" xfId="5" applyFont="1" applyBorder="1"/>
    <xf numFmtId="0" fontId="10" fillId="0" borderId="0" xfId="7" applyFont="1"/>
    <xf numFmtId="0" fontId="3" fillId="0" borderId="21" xfId="7" applyFont="1" applyBorder="1" applyAlignment="1">
      <alignment horizontal="left" vertical="center"/>
    </xf>
    <xf numFmtId="0" fontId="3" fillId="0" borderId="24" xfId="7" applyFont="1" applyBorder="1" applyAlignment="1">
      <alignment horizontal="left" vertical="center"/>
    </xf>
    <xf numFmtId="0" fontId="3" fillId="0" borderId="23" xfId="7" applyFont="1" applyBorder="1" applyAlignment="1">
      <alignment horizontal="left" vertical="center"/>
    </xf>
    <xf numFmtId="0" fontId="15" fillId="0" borderId="21" xfId="7" applyFont="1" applyBorder="1" applyAlignment="1">
      <alignment horizontal="center"/>
    </xf>
    <xf numFmtId="0" fontId="15" fillId="0" borderId="24" xfId="7" applyFont="1" applyBorder="1" applyAlignment="1">
      <alignment horizontal="center"/>
    </xf>
    <xf numFmtId="4" fontId="15" fillId="0" borderId="12" xfId="7" applyNumberFormat="1" applyFont="1" applyBorder="1"/>
    <xf numFmtId="0" fontId="36" fillId="0" borderId="0" xfId="7" applyFont="1" applyAlignment="1">
      <alignment vertical="center"/>
    </xf>
    <xf numFmtId="3" fontId="10" fillId="0" borderId="0" xfId="7" applyNumberFormat="1" applyFont="1"/>
    <xf numFmtId="4" fontId="10" fillId="0" borderId="0" xfId="7" applyNumberFormat="1" applyFont="1"/>
    <xf numFmtId="0" fontId="0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3" fontId="0" fillId="0" borderId="14" xfId="0" applyNumberFormat="1" applyFont="1" applyBorder="1" applyAlignment="1">
      <alignment vertical="center"/>
    </xf>
    <xf numFmtId="0" fontId="40" fillId="3" borderId="12" xfId="0" applyFont="1" applyFill="1" applyBorder="1" applyAlignment="1">
      <alignment horizontal="left" vertical="center" indent="2"/>
    </xf>
    <xf numFmtId="4" fontId="40" fillId="3" borderId="5" xfId="0" applyNumberFormat="1" applyFont="1" applyFill="1" applyBorder="1" applyAlignment="1">
      <alignment vertical="center"/>
    </xf>
    <xf numFmtId="0" fontId="0" fillId="3" borderId="0" xfId="0" applyFont="1" applyFill="1"/>
    <xf numFmtId="0" fontId="1" fillId="0" borderId="0" xfId="0" applyFont="1"/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4" fontId="54" fillId="0" borderId="3" xfId="0" applyNumberFormat="1" applyFont="1" applyBorder="1" applyAlignment="1">
      <alignment vertical="center"/>
    </xf>
    <xf numFmtId="0" fontId="34" fillId="0" borderId="3" xfId="0" applyFont="1" applyBorder="1"/>
    <xf numFmtId="0" fontId="45" fillId="0" borderId="21" xfId="0" applyFont="1" applyBorder="1" applyAlignment="1">
      <alignment horizontal="center" vertical="center"/>
    </xf>
    <xf numFmtId="0" fontId="49" fillId="0" borderId="24" xfId="0" applyFont="1" applyBorder="1" applyAlignment="1">
      <alignment horizontal="right" vertical="center"/>
    </xf>
    <xf numFmtId="0" fontId="0" fillId="0" borderId="24" xfId="0" applyFont="1" applyBorder="1" applyAlignment="1">
      <alignment horizontal="center" vertical="center"/>
    </xf>
    <xf numFmtId="4" fontId="45" fillId="0" borderId="23" xfId="0" applyNumberFormat="1" applyFont="1" applyBorder="1" applyAlignment="1">
      <alignment vertical="center"/>
    </xf>
    <xf numFmtId="4" fontId="45" fillId="0" borderId="12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34" fillId="0" borderId="3" xfId="0" applyFont="1" applyBorder="1" applyAlignment="1">
      <alignment wrapText="1"/>
    </xf>
    <xf numFmtId="4" fontId="0" fillId="0" borderId="0" xfId="0" applyNumberFormat="1" applyFont="1"/>
    <xf numFmtId="0" fontId="5" fillId="0" borderId="12" xfId="3" applyFont="1" applyBorder="1" applyAlignment="1">
      <alignment horizontal="center" vertical="center"/>
    </xf>
  </cellXfs>
  <cellStyles count="9">
    <cellStyle name="Dziesiętny" xfId="1" builtinId="3"/>
    <cellStyle name="Dziesiętny 2" xfId="4" xr:uid="{AF2F5CA0-8EF6-4A06-8593-7423781B1BCB}"/>
    <cellStyle name="Normalny" xfId="0" builtinId="0"/>
    <cellStyle name="Normalny 2" xfId="3" xr:uid="{75F068B0-8468-4B75-BE1E-7E37A6A8CC56}"/>
    <cellStyle name="Normalny 3" xfId="2" xr:uid="{72AE4272-4754-49A1-8D7A-E0C3D137A218}"/>
    <cellStyle name="Normalny 3 2" xfId="7" xr:uid="{7FC8F71D-B128-45A5-BF13-F6F880F4382F}"/>
    <cellStyle name="Normalny 4" xfId="6" xr:uid="{75047E6F-4DDC-4C81-8052-4D8F8C7DB3AC}"/>
    <cellStyle name="Normalny 5" xfId="8" xr:uid="{37D437FE-F818-4F1F-A05C-5F2B5D82AECC}"/>
    <cellStyle name="Normalny_zal_Szczecin" xfId="5" xr:uid="{F8BA79DF-C825-4D18-A30D-3707D9349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575A-31E2-47B2-997F-89C4523F6619}">
  <dimension ref="A1:H1133"/>
  <sheetViews>
    <sheetView tabSelected="1" zoomScale="160" zoomScaleNormal="160" workbookViewId="0">
      <selection activeCell="J5" sqref="J5"/>
    </sheetView>
  </sheetViews>
  <sheetFormatPr defaultRowHeight="15" x14ac:dyDescent="0.25"/>
  <cols>
    <col min="1" max="1" width="3.7109375" style="516" customWidth="1"/>
    <col min="2" max="2" width="6" style="516" customWidth="1"/>
    <col min="3" max="3" width="5" style="516" customWidth="1"/>
    <col min="4" max="4" width="39.5703125" style="516" customWidth="1"/>
    <col min="5" max="5" width="13" style="516" customWidth="1"/>
    <col min="6" max="6" width="10.5703125" style="516" customWidth="1"/>
    <col min="7" max="7" width="10.28515625" style="516" customWidth="1"/>
    <col min="8" max="8" width="12.5703125" style="516" customWidth="1"/>
    <col min="9" max="16384" width="9.140625" style="516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336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16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337</v>
      </c>
      <c r="G4" s="1"/>
      <c r="H4" s="1"/>
    </row>
    <row r="5" spans="1:8" ht="30" customHeight="1" x14ac:dyDescent="0.25">
      <c r="A5" s="4" t="s">
        <v>21</v>
      </c>
      <c r="B5" s="517"/>
      <c r="C5" s="5"/>
      <c r="D5" s="5"/>
      <c r="E5" s="517"/>
      <c r="F5" s="517"/>
      <c r="G5" s="6"/>
      <c r="H5" s="517"/>
    </row>
    <row r="6" spans="1:8" ht="12" customHeight="1" x14ac:dyDescent="0.25">
      <c r="A6" s="1"/>
      <c r="B6" s="1"/>
      <c r="C6" s="2"/>
      <c r="D6" s="2"/>
      <c r="E6" s="7"/>
      <c r="F6" s="1"/>
      <c r="G6" s="8"/>
      <c r="H6" s="52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18</v>
      </c>
      <c r="F8" s="22" t="s">
        <v>7</v>
      </c>
      <c r="G8" s="19" t="s">
        <v>8</v>
      </c>
      <c r="H8" s="19" t="s">
        <v>9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18.75" customHeight="1" thickBot="1" x14ac:dyDescent="0.25">
      <c r="A10" s="66"/>
      <c r="B10" s="66"/>
      <c r="C10" s="27"/>
      <c r="D10" s="28" t="s">
        <v>73</v>
      </c>
      <c r="E10" s="29">
        <v>843204181.09000003</v>
      </c>
      <c r="F10" s="29">
        <f>SUM(F11,F68,F118)</f>
        <v>8003300.5600000005</v>
      </c>
      <c r="G10" s="29">
        <f>SUM(G11,G68,G118)</f>
        <v>247457.83000000002</v>
      </c>
      <c r="H10" s="29">
        <f t="shared" ref="H10:H11" si="0">SUM(E10+F10-G10)</f>
        <v>850960023.81999993</v>
      </c>
    </row>
    <row r="11" spans="1:8" s="18" customFormat="1" ht="19.5" customHeight="1" thickBot="1" x14ac:dyDescent="0.25">
      <c r="A11" s="66"/>
      <c r="B11" s="66"/>
      <c r="C11" s="27"/>
      <c r="D11" s="30" t="s">
        <v>74</v>
      </c>
      <c r="E11" s="31">
        <v>712957949.45000005</v>
      </c>
      <c r="F11" s="31">
        <f>SUM(F12,F17,F21,F25,F29,F52,F60,F64)</f>
        <v>3937989.41</v>
      </c>
      <c r="G11" s="31">
        <f>SUM(G12,G17,G21,G25,G29,G52,G60,G64)</f>
        <v>159700.21000000002</v>
      </c>
      <c r="H11" s="31">
        <f t="shared" si="0"/>
        <v>716736238.64999998</v>
      </c>
    </row>
    <row r="12" spans="1:8" s="18" customFormat="1" ht="17.25" customHeight="1" thickTop="1" thickBot="1" x14ac:dyDescent="0.25">
      <c r="A12" s="32">
        <v>750</v>
      </c>
      <c r="B12" s="33"/>
      <c r="C12" s="34"/>
      <c r="D12" s="35" t="s">
        <v>19</v>
      </c>
      <c r="E12" s="36">
        <v>26584915.539999999</v>
      </c>
      <c r="F12" s="36">
        <f>SUM(F13)</f>
        <v>22795.200000000001</v>
      </c>
      <c r="G12" s="36">
        <f>SUM(G103)</f>
        <v>0</v>
      </c>
      <c r="H12" s="36">
        <f>SUM(E12+F12-G12)</f>
        <v>26607710.739999998</v>
      </c>
    </row>
    <row r="13" spans="1:8" s="18" customFormat="1" ht="12" customHeight="1" thickTop="1" x14ac:dyDescent="0.2">
      <c r="A13" s="66"/>
      <c r="B13" s="46">
        <v>75079</v>
      </c>
      <c r="C13" s="46"/>
      <c r="D13" s="67" t="s">
        <v>75</v>
      </c>
      <c r="E13" s="39">
        <v>50000</v>
      </c>
      <c r="F13" s="40">
        <f t="shared" ref="F13:G13" si="1">SUM(F14)</f>
        <v>22795.200000000001</v>
      </c>
      <c r="G13" s="40">
        <f t="shared" si="1"/>
        <v>0</v>
      </c>
      <c r="H13" s="39">
        <f>SUM(E13+F13-G13)</f>
        <v>72795.199999999997</v>
      </c>
    </row>
    <row r="14" spans="1:8" s="18" customFormat="1" ht="12" customHeight="1" x14ac:dyDescent="0.2">
      <c r="A14" s="66"/>
      <c r="B14" s="37"/>
      <c r="C14" s="27"/>
      <c r="D14" s="518" t="s">
        <v>76</v>
      </c>
      <c r="E14" s="125">
        <v>50000</v>
      </c>
      <c r="F14" s="519">
        <f>SUM(F15)</f>
        <v>22795.200000000001</v>
      </c>
      <c r="G14" s="519">
        <f>SUM(G15)</f>
        <v>0</v>
      </c>
      <c r="H14" s="125">
        <f t="shared" ref="H14:H15" si="2">SUM(E14+F14-G14)</f>
        <v>72795.199999999997</v>
      </c>
    </row>
    <row r="15" spans="1:8" s="18" customFormat="1" ht="12" customHeight="1" x14ac:dyDescent="0.2">
      <c r="A15" s="66"/>
      <c r="B15" s="33"/>
      <c r="C15" s="68" t="s">
        <v>77</v>
      </c>
      <c r="D15" s="69" t="s">
        <v>78</v>
      </c>
      <c r="E15" s="70">
        <v>50000</v>
      </c>
      <c r="F15" s="70">
        <v>22795.200000000001</v>
      </c>
      <c r="G15" s="71"/>
      <c r="H15" s="70">
        <f t="shared" si="2"/>
        <v>72795.199999999997</v>
      </c>
    </row>
    <row r="16" spans="1:8" s="18" customFormat="1" ht="12" customHeight="1" x14ac:dyDescent="0.2">
      <c r="A16" s="32">
        <v>754</v>
      </c>
      <c r="B16" s="33"/>
      <c r="C16" s="34"/>
      <c r="D16" s="35" t="s">
        <v>79</v>
      </c>
      <c r="E16" s="55"/>
      <c r="F16" s="55"/>
      <c r="G16" s="55"/>
      <c r="H16" s="55"/>
    </row>
    <row r="17" spans="1:8" s="18" customFormat="1" ht="12" customHeight="1" thickBot="1" x14ac:dyDescent="0.25">
      <c r="A17" s="32"/>
      <c r="B17" s="33"/>
      <c r="C17" s="34"/>
      <c r="D17" s="35" t="s">
        <v>80</v>
      </c>
      <c r="E17" s="31">
        <v>499859.17</v>
      </c>
      <c r="F17" s="36">
        <f t="shared" ref="F17:G19" si="3">SUM(F18)</f>
        <v>22795.200000000001</v>
      </c>
      <c r="G17" s="36">
        <f t="shared" si="3"/>
        <v>22795.200000000001</v>
      </c>
      <c r="H17" s="31">
        <f t="shared" ref="H17" si="4">SUM(E17+F17-G17)</f>
        <v>499859.17</v>
      </c>
    </row>
    <row r="18" spans="1:8" s="18" customFormat="1" ht="12" customHeight="1" thickTop="1" x14ac:dyDescent="0.2">
      <c r="A18" s="72"/>
      <c r="B18" s="27" t="s">
        <v>81</v>
      </c>
      <c r="C18" s="45"/>
      <c r="D18" s="38" t="s">
        <v>82</v>
      </c>
      <c r="E18" s="39">
        <v>59323.17</v>
      </c>
      <c r="F18" s="40">
        <f t="shared" si="3"/>
        <v>22795.200000000001</v>
      </c>
      <c r="G18" s="40">
        <f t="shared" si="3"/>
        <v>22795.200000000001</v>
      </c>
      <c r="H18" s="39">
        <f>SUM(E18+F18-G18)</f>
        <v>59323.17</v>
      </c>
    </row>
    <row r="19" spans="1:8" s="18" customFormat="1" ht="12" customHeight="1" x14ac:dyDescent="0.2">
      <c r="A19" s="66"/>
      <c r="B19" s="33"/>
      <c r="C19" s="27"/>
      <c r="D19" s="518" t="s">
        <v>83</v>
      </c>
      <c r="E19" s="125">
        <v>0</v>
      </c>
      <c r="F19" s="519">
        <f t="shared" si="3"/>
        <v>22795.200000000001</v>
      </c>
      <c r="G19" s="519">
        <f t="shared" si="3"/>
        <v>22795.200000000001</v>
      </c>
      <c r="H19" s="125">
        <f t="shared" ref="H19:H29" si="5">SUM(E19+F19-G19)</f>
        <v>0</v>
      </c>
    </row>
    <row r="20" spans="1:8" s="18" customFormat="1" ht="12" customHeight="1" x14ac:dyDescent="0.2">
      <c r="A20" s="66"/>
      <c r="B20" s="33"/>
      <c r="C20" s="68" t="s">
        <v>77</v>
      </c>
      <c r="D20" s="69" t="s">
        <v>78</v>
      </c>
      <c r="E20" s="70">
        <v>0</v>
      </c>
      <c r="F20" s="70">
        <v>22795.200000000001</v>
      </c>
      <c r="G20" s="70">
        <v>22795.200000000001</v>
      </c>
      <c r="H20" s="70">
        <f t="shared" si="5"/>
        <v>0</v>
      </c>
    </row>
    <row r="21" spans="1:8" s="18" customFormat="1" ht="12" customHeight="1" thickBot="1" x14ac:dyDescent="0.25">
      <c r="A21" s="72">
        <v>758</v>
      </c>
      <c r="B21" s="19"/>
      <c r="C21" s="19"/>
      <c r="D21" s="73" t="s">
        <v>84</v>
      </c>
      <c r="E21" s="31">
        <v>199558456.31</v>
      </c>
      <c r="F21" s="36">
        <f>SUM(F22)</f>
        <v>250178</v>
      </c>
      <c r="G21" s="36">
        <f t="shared" ref="F21:G22" si="6">SUM(G22)</f>
        <v>0</v>
      </c>
      <c r="H21" s="31">
        <f t="shared" si="5"/>
        <v>199808634.31</v>
      </c>
    </row>
    <row r="22" spans="1:8" s="18" customFormat="1" ht="12" customHeight="1" thickTop="1" x14ac:dyDescent="0.2">
      <c r="A22" s="72"/>
      <c r="B22" s="27" t="s">
        <v>85</v>
      </c>
      <c r="C22" s="74"/>
      <c r="D22" s="38" t="s">
        <v>86</v>
      </c>
      <c r="E22" s="39">
        <v>2281238.31</v>
      </c>
      <c r="F22" s="40">
        <f t="shared" si="6"/>
        <v>250178</v>
      </c>
      <c r="G22" s="40">
        <f t="shared" si="6"/>
        <v>0</v>
      </c>
      <c r="H22" s="39">
        <f t="shared" si="5"/>
        <v>2531416.31</v>
      </c>
    </row>
    <row r="23" spans="1:8" s="18" customFormat="1" ht="21.75" customHeight="1" x14ac:dyDescent="0.2">
      <c r="A23" s="66"/>
      <c r="B23" s="56"/>
      <c r="C23" s="27"/>
      <c r="D23" s="520" t="s">
        <v>87</v>
      </c>
      <c r="E23" s="125">
        <v>1490683</v>
      </c>
      <c r="F23" s="519">
        <f>SUM(F24:F24)</f>
        <v>250178</v>
      </c>
      <c r="G23" s="519">
        <f>SUM(G24:G24)</f>
        <v>0</v>
      </c>
      <c r="H23" s="125">
        <f t="shared" si="5"/>
        <v>1740861</v>
      </c>
    </row>
    <row r="24" spans="1:8" s="18" customFormat="1" ht="33.75" customHeight="1" x14ac:dyDescent="0.2">
      <c r="A24" s="66"/>
      <c r="B24" s="56"/>
      <c r="C24" s="68" t="s">
        <v>88</v>
      </c>
      <c r="D24" s="69" t="s">
        <v>89</v>
      </c>
      <c r="E24" s="43">
        <v>1490683</v>
      </c>
      <c r="F24" s="43">
        <f>208094+42084</f>
        <v>250178</v>
      </c>
      <c r="G24" s="42"/>
      <c r="H24" s="43">
        <f t="shared" si="5"/>
        <v>1740861</v>
      </c>
    </row>
    <row r="25" spans="1:8" s="18" customFormat="1" ht="12.75" customHeight="1" thickBot="1" x14ac:dyDescent="0.25">
      <c r="A25" s="32">
        <v>801</v>
      </c>
      <c r="B25" s="33"/>
      <c r="C25" s="34"/>
      <c r="D25" s="35" t="s">
        <v>90</v>
      </c>
      <c r="E25" s="31">
        <v>25445033.810000002</v>
      </c>
      <c r="F25" s="36">
        <f>SUM(F26)</f>
        <v>95952</v>
      </c>
      <c r="G25" s="36">
        <f>SUM(G26)</f>
        <v>0</v>
      </c>
      <c r="H25" s="31">
        <f t="shared" si="5"/>
        <v>25540985.810000002</v>
      </c>
    </row>
    <row r="26" spans="1:8" s="18" customFormat="1" ht="12" customHeight="1" thickTop="1" x14ac:dyDescent="0.2">
      <c r="A26" s="66"/>
      <c r="B26" s="46">
        <v>80120</v>
      </c>
      <c r="C26" s="75"/>
      <c r="D26" s="76" t="s">
        <v>53</v>
      </c>
      <c r="E26" s="39">
        <v>38316.550000000003</v>
      </c>
      <c r="F26" s="40">
        <f t="shared" ref="F26:G26" si="7">SUM(F27)</f>
        <v>95952</v>
      </c>
      <c r="G26" s="40">
        <f t="shared" si="7"/>
        <v>0</v>
      </c>
      <c r="H26" s="39">
        <f>SUM(E26+F26-G26)</f>
        <v>134268.54999999999</v>
      </c>
    </row>
    <row r="27" spans="1:8" s="18" customFormat="1" ht="12" customHeight="1" x14ac:dyDescent="0.2">
      <c r="A27" s="66"/>
      <c r="B27" s="77"/>
      <c r="C27" s="78"/>
      <c r="D27" s="521" t="s">
        <v>91</v>
      </c>
      <c r="E27" s="125">
        <v>26000</v>
      </c>
      <c r="F27" s="519">
        <f>SUM(F28:F28)</f>
        <v>95952</v>
      </c>
      <c r="G27" s="519">
        <f>SUM(G28:G28)</f>
        <v>0</v>
      </c>
      <c r="H27" s="125">
        <f>SUM(E27+F27-G27)</f>
        <v>121952</v>
      </c>
    </row>
    <row r="28" spans="1:8" s="18" customFormat="1" ht="24" customHeight="1" x14ac:dyDescent="0.2">
      <c r="A28" s="66"/>
      <c r="B28" s="33"/>
      <c r="C28" s="68" t="s">
        <v>92</v>
      </c>
      <c r="D28" s="79" t="s">
        <v>93</v>
      </c>
      <c r="E28" s="43">
        <v>26000</v>
      </c>
      <c r="F28" s="43">
        <v>95952</v>
      </c>
      <c r="G28" s="42"/>
      <c r="H28" s="43">
        <f t="shared" ref="H28" si="8">SUM(E28+F28-G28)</f>
        <v>121952</v>
      </c>
    </row>
    <row r="29" spans="1:8" s="18" customFormat="1" ht="12" customHeight="1" thickBot="1" x14ac:dyDescent="0.25">
      <c r="A29" s="33">
        <v>852</v>
      </c>
      <c r="B29" s="33"/>
      <c r="C29" s="34"/>
      <c r="D29" s="35" t="s">
        <v>94</v>
      </c>
      <c r="E29" s="31">
        <v>25473836.789999999</v>
      </c>
      <c r="F29" s="36">
        <f>SUM(F33,F37,F42,F45,F48)</f>
        <v>329625.01</v>
      </c>
      <c r="G29" s="36">
        <f>SUM(G33,G37,G42,G45,G48)</f>
        <v>136905.01</v>
      </c>
      <c r="H29" s="31">
        <f t="shared" si="5"/>
        <v>25666556.789999999</v>
      </c>
    </row>
    <row r="30" spans="1:8" s="18" customFormat="1" ht="12" customHeight="1" thickTop="1" x14ac:dyDescent="0.2">
      <c r="A30" s="33"/>
      <c r="B30" s="46">
        <v>85213</v>
      </c>
      <c r="C30" s="75"/>
      <c r="D30" s="80" t="s">
        <v>95</v>
      </c>
      <c r="E30" s="44"/>
      <c r="F30" s="44"/>
      <c r="G30" s="44"/>
      <c r="H30" s="44"/>
    </row>
    <row r="31" spans="1:8" s="18" customFormat="1" ht="12" customHeight="1" x14ac:dyDescent="0.2">
      <c r="A31" s="33"/>
      <c r="B31" s="75"/>
      <c r="C31" s="75"/>
      <c r="D31" s="10" t="s">
        <v>96</v>
      </c>
      <c r="E31" s="48"/>
      <c r="F31" s="44"/>
      <c r="G31" s="44"/>
      <c r="H31" s="48"/>
    </row>
    <row r="32" spans="1:8" s="18" customFormat="1" ht="12" customHeight="1" x14ac:dyDescent="0.2">
      <c r="A32" s="33"/>
      <c r="B32" s="75"/>
      <c r="C32" s="75"/>
      <c r="D32" s="10" t="s">
        <v>97</v>
      </c>
      <c r="E32" s="48"/>
      <c r="F32" s="44"/>
      <c r="G32" s="44"/>
      <c r="H32" s="48"/>
    </row>
    <row r="33" spans="1:8" s="18" customFormat="1" ht="12" customHeight="1" x14ac:dyDescent="0.2">
      <c r="A33" s="33"/>
      <c r="B33" s="81"/>
      <c r="C33" s="10"/>
      <c r="D33" s="76" t="s">
        <v>98</v>
      </c>
      <c r="E33" s="82">
        <v>385300</v>
      </c>
      <c r="F33" s="82"/>
      <c r="G33" s="82">
        <f>SUM(G34)</f>
        <v>6000</v>
      </c>
      <c r="H33" s="39">
        <f>SUM(E33+F33-G33)</f>
        <v>379300</v>
      </c>
    </row>
    <row r="34" spans="1:8" s="18" customFormat="1" ht="12" customHeight="1" x14ac:dyDescent="0.2">
      <c r="A34" s="33"/>
      <c r="B34" s="81"/>
      <c r="C34" s="10"/>
      <c r="D34" s="522" t="s">
        <v>91</v>
      </c>
      <c r="E34" s="83">
        <v>385300</v>
      </c>
      <c r="F34" s="84"/>
      <c r="G34" s="84">
        <f>SUM(G35)</f>
        <v>6000</v>
      </c>
      <c r="H34" s="125">
        <f>SUM(E34+F34-G34)</f>
        <v>379300</v>
      </c>
    </row>
    <row r="35" spans="1:8" s="18" customFormat="1" ht="33.75" customHeight="1" x14ac:dyDescent="0.2">
      <c r="A35" s="33"/>
      <c r="B35" s="10"/>
      <c r="C35" s="68" t="s">
        <v>99</v>
      </c>
      <c r="D35" s="69" t="s">
        <v>100</v>
      </c>
      <c r="E35" s="44">
        <v>385300</v>
      </c>
      <c r="F35" s="44"/>
      <c r="G35" s="44">
        <v>6000</v>
      </c>
      <c r="H35" s="44">
        <f>SUM(E35+F35-G35)</f>
        <v>379300</v>
      </c>
    </row>
    <row r="36" spans="1:8" s="18" customFormat="1" ht="12" customHeight="1" x14ac:dyDescent="0.2">
      <c r="A36" s="33"/>
      <c r="B36" s="37">
        <v>85214</v>
      </c>
      <c r="C36" s="27"/>
      <c r="D36" s="85" t="s">
        <v>101</v>
      </c>
      <c r="E36" s="55"/>
      <c r="F36" s="86"/>
      <c r="G36" s="86"/>
      <c r="H36" s="55"/>
    </row>
    <row r="37" spans="1:8" s="18" customFormat="1" ht="12" customHeight="1" x14ac:dyDescent="0.2">
      <c r="A37" s="33"/>
      <c r="B37" s="37"/>
      <c r="C37" s="27"/>
      <c r="D37" s="87" t="s">
        <v>102</v>
      </c>
      <c r="E37" s="39">
        <v>7936194</v>
      </c>
      <c r="F37" s="40">
        <f>SUM(F38,F40)</f>
        <v>1050</v>
      </c>
      <c r="G37" s="40">
        <f>SUM(G38,G40)</f>
        <v>130905</v>
      </c>
      <c r="H37" s="39">
        <f>SUM(E37+F37-G37)</f>
        <v>7806339</v>
      </c>
    </row>
    <row r="38" spans="1:8" s="18" customFormat="1" ht="12" customHeight="1" x14ac:dyDescent="0.2">
      <c r="A38" s="33"/>
      <c r="B38" s="37"/>
      <c r="C38" s="27"/>
      <c r="D38" s="522" t="s">
        <v>91</v>
      </c>
      <c r="E38" s="125">
        <v>7885444</v>
      </c>
      <c r="F38" s="519">
        <f>SUM(F39)</f>
        <v>0</v>
      </c>
      <c r="G38" s="519">
        <f>SUM(G39)</f>
        <v>130905</v>
      </c>
      <c r="H38" s="125">
        <f t="shared" ref="H38:H68" si="9">SUM(E38+F38-G38)</f>
        <v>7754539</v>
      </c>
    </row>
    <row r="39" spans="1:8" s="18" customFormat="1" ht="33.75" customHeight="1" x14ac:dyDescent="0.2">
      <c r="A39" s="33"/>
      <c r="B39" s="37"/>
      <c r="C39" s="68" t="s">
        <v>99</v>
      </c>
      <c r="D39" s="69" t="s">
        <v>100</v>
      </c>
      <c r="E39" s="44">
        <v>7885444</v>
      </c>
      <c r="F39" s="42"/>
      <c r="G39" s="42">
        <v>130905</v>
      </c>
      <c r="H39" s="44">
        <f t="shared" si="9"/>
        <v>7754539</v>
      </c>
    </row>
    <row r="40" spans="1:8" s="18" customFormat="1" ht="12" customHeight="1" x14ac:dyDescent="0.2">
      <c r="A40" s="33"/>
      <c r="B40" s="33"/>
      <c r="C40" s="9"/>
      <c r="D40" s="521" t="s">
        <v>103</v>
      </c>
      <c r="E40" s="125">
        <v>1760</v>
      </c>
      <c r="F40" s="519">
        <f>SUM(F41:F41)</f>
        <v>1050</v>
      </c>
      <c r="G40" s="519">
        <f>SUM(G41:G41)</f>
        <v>0</v>
      </c>
      <c r="H40" s="125">
        <f t="shared" si="9"/>
        <v>2810</v>
      </c>
    </row>
    <row r="41" spans="1:8" s="18" customFormat="1" ht="33" customHeight="1" x14ac:dyDescent="0.2">
      <c r="A41" s="33"/>
      <c r="B41" s="33"/>
      <c r="C41" s="68" t="s">
        <v>88</v>
      </c>
      <c r="D41" s="69" t="s">
        <v>89</v>
      </c>
      <c r="E41" s="43">
        <v>1760</v>
      </c>
      <c r="F41" s="43">
        <v>1050</v>
      </c>
      <c r="G41" s="42"/>
      <c r="H41" s="43">
        <f t="shared" si="9"/>
        <v>2810</v>
      </c>
    </row>
    <row r="42" spans="1:8" s="18" customFormat="1" ht="12" customHeight="1" x14ac:dyDescent="0.2">
      <c r="A42" s="33"/>
      <c r="B42" s="37">
        <v>85216</v>
      </c>
      <c r="C42" s="27"/>
      <c r="D42" s="38" t="s">
        <v>104</v>
      </c>
      <c r="E42" s="39">
        <v>4301417</v>
      </c>
      <c r="F42" s="40">
        <f t="shared" ref="F42:G42" si="10">SUM(F43)</f>
        <v>324650</v>
      </c>
      <c r="G42" s="40">
        <f t="shared" si="10"/>
        <v>0</v>
      </c>
      <c r="H42" s="39">
        <f>SUM(E42+F42-G42)</f>
        <v>4626067</v>
      </c>
    </row>
    <row r="43" spans="1:8" s="18" customFormat="1" ht="12" customHeight="1" x14ac:dyDescent="0.2">
      <c r="A43" s="33"/>
      <c r="B43" s="37"/>
      <c r="C43" s="27"/>
      <c r="D43" s="522" t="s">
        <v>91</v>
      </c>
      <c r="E43" s="125">
        <v>4217600</v>
      </c>
      <c r="F43" s="519">
        <f>SUM(F44)</f>
        <v>324650</v>
      </c>
      <c r="G43" s="519">
        <f>SUM(G44)</f>
        <v>0</v>
      </c>
      <c r="H43" s="125">
        <f>SUM(E43+F43-G43)</f>
        <v>4542250</v>
      </c>
    </row>
    <row r="44" spans="1:8" s="18" customFormat="1" ht="34.5" customHeight="1" x14ac:dyDescent="0.2">
      <c r="A44" s="33"/>
      <c r="B44" s="33"/>
      <c r="C44" s="68" t="s">
        <v>99</v>
      </c>
      <c r="D44" s="69" t="s">
        <v>100</v>
      </c>
      <c r="E44" s="44">
        <v>4217600</v>
      </c>
      <c r="F44" s="42">
        <v>324650</v>
      </c>
      <c r="G44" s="42"/>
      <c r="H44" s="44">
        <f>SUM(E44+F44-G44)</f>
        <v>4542250</v>
      </c>
    </row>
    <row r="45" spans="1:8" s="18" customFormat="1" ht="12" customHeight="1" x14ac:dyDescent="0.2">
      <c r="A45" s="33"/>
      <c r="B45" s="37">
        <v>85230</v>
      </c>
      <c r="C45" s="27"/>
      <c r="D45" s="38" t="s">
        <v>105</v>
      </c>
      <c r="E45" s="39">
        <v>4506848</v>
      </c>
      <c r="F45" s="40">
        <f t="shared" ref="F45:G45" si="11">SUM(F46)</f>
        <v>3925</v>
      </c>
      <c r="G45" s="40">
        <f t="shared" si="11"/>
        <v>0</v>
      </c>
      <c r="H45" s="39">
        <f>SUM(E45+F45-G45)</f>
        <v>4510773</v>
      </c>
    </row>
    <row r="46" spans="1:8" s="18" customFormat="1" ht="21.75" customHeight="1" x14ac:dyDescent="0.2">
      <c r="A46" s="33"/>
      <c r="B46" s="33"/>
      <c r="C46" s="9"/>
      <c r="D46" s="521" t="s">
        <v>106</v>
      </c>
      <c r="E46" s="125">
        <v>51125</v>
      </c>
      <c r="F46" s="519">
        <f>SUM(F47:F47)</f>
        <v>3925</v>
      </c>
      <c r="G46" s="519">
        <f>SUM(G47:G47)</f>
        <v>0</v>
      </c>
      <c r="H46" s="125">
        <f t="shared" ref="H46:H47" si="12">SUM(E46+F46-G46)</f>
        <v>55050</v>
      </c>
    </row>
    <row r="47" spans="1:8" s="18" customFormat="1" ht="33.75" customHeight="1" x14ac:dyDescent="0.2">
      <c r="A47" s="88"/>
      <c r="B47" s="88"/>
      <c r="C47" s="89" t="s">
        <v>88</v>
      </c>
      <c r="D47" s="90" t="s">
        <v>89</v>
      </c>
      <c r="E47" s="39">
        <v>51125</v>
      </c>
      <c r="F47" s="39">
        <v>3925</v>
      </c>
      <c r="G47" s="40"/>
      <c r="H47" s="39">
        <f t="shared" si="12"/>
        <v>55050</v>
      </c>
    </row>
    <row r="48" spans="1:8" s="18" customFormat="1" ht="12.75" customHeight="1" x14ac:dyDescent="0.2">
      <c r="A48" s="33"/>
      <c r="B48" s="37">
        <v>85295</v>
      </c>
      <c r="C48" s="27"/>
      <c r="D48" s="38" t="s">
        <v>10</v>
      </c>
      <c r="E48" s="39">
        <v>2796389.79</v>
      </c>
      <c r="F48" s="40">
        <f>SUM(F49)</f>
        <v>0.01</v>
      </c>
      <c r="G48" s="40">
        <f>SUM(G49)</f>
        <v>0.01</v>
      </c>
      <c r="H48" s="39">
        <f>SUM(E48+F48-G48)</f>
        <v>2796389.79</v>
      </c>
    </row>
    <row r="49" spans="1:8" s="18" customFormat="1" ht="33" customHeight="1" x14ac:dyDescent="0.2">
      <c r="A49" s="33"/>
      <c r="B49" s="33"/>
      <c r="C49" s="9"/>
      <c r="D49" s="520" t="s">
        <v>107</v>
      </c>
      <c r="E49" s="125">
        <v>1002874.77</v>
      </c>
      <c r="F49" s="519">
        <f>SUM(F50:F51)</f>
        <v>0.01</v>
      </c>
      <c r="G49" s="519">
        <f>SUM(G50:G51)</f>
        <v>0.01</v>
      </c>
      <c r="H49" s="125">
        <f t="shared" ref="H49:H59" si="13">SUM(E49+F49-G49)</f>
        <v>1002874.77</v>
      </c>
    </row>
    <row r="50" spans="1:8" s="18" customFormat="1" ht="56.25" customHeight="1" x14ac:dyDescent="0.2">
      <c r="A50" s="33"/>
      <c r="B50" s="33"/>
      <c r="C50" s="68" t="s">
        <v>108</v>
      </c>
      <c r="D50" s="69" t="s">
        <v>109</v>
      </c>
      <c r="E50" s="43">
        <v>819938.86</v>
      </c>
      <c r="F50" s="43"/>
      <c r="G50" s="43">
        <v>0.01</v>
      </c>
      <c r="H50" s="43">
        <f t="shared" si="13"/>
        <v>819938.85</v>
      </c>
    </row>
    <row r="51" spans="1:8" s="18" customFormat="1" ht="57.75" customHeight="1" x14ac:dyDescent="0.2">
      <c r="A51" s="33"/>
      <c r="B51" s="33"/>
      <c r="C51" s="68" t="s">
        <v>110</v>
      </c>
      <c r="D51" s="69" t="s">
        <v>109</v>
      </c>
      <c r="E51" s="43">
        <v>152935.91</v>
      </c>
      <c r="F51" s="43">
        <v>0.01</v>
      </c>
      <c r="G51" s="43"/>
      <c r="H51" s="43">
        <f t="shared" si="13"/>
        <v>152935.92000000001</v>
      </c>
    </row>
    <row r="52" spans="1:8" s="18" customFormat="1" ht="12" customHeight="1" thickBot="1" x14ac:dyDescent="0.25">
      <c r="A52" s="32">
        <v>853</v>
      </c>
      <c r="B52" s="33"/>
      <c r="C52" s="34"/>
      <c r="D52" s="35" t="s">
        <v>111</v>
      </c>
      <c r="E52" s="31">
        <v>3740334.9499999997</v>
      </c>
      <c r="F52" s="36">
        <f>SUM(F53)</f>
        <v>3100000</v>
      </c>
      <c r="G52" s="36">
        <f t="shared" ref="G52" si="14">SUM(G53)</f>
        <v>0</v>
      </c>
      <c r="H52" s="31">
        <f t="shared" si="13"/>
        <v>6840334.9499999993</v>
      </c>
    </row>
    <row r="53" spans="1:8" s="18" customFormat="1" ht="12" customHeight="1" thickTop="1" x14ac:dyDescent="0.2">
      <c r="A53" s="72"/>
      <c r="B53" s="37">
        <v>85395</v>
      </c>
      <c r="C53" s="27"/>
      <c r="D53" s="38" t="s">
        <v>10</v>
      </c>
      <c r="E53" s="39">
        <v>3709256.9499999997</v>
      </c>
      <c r="F53" s="40">
        <f>SUM(F54,F56,F58)</f>
        <v>3100000</v>
      </c>
      <c r="G53" s="40">
        <f>SUM(G54,G56,G58)</f>
        <v>0</v>
      </c>
      <c r="H53" s="39">
        <f t="shared" si="13"/>
        <v>6809256.9499999993</v>
      </c>
    </row>
    <row r="54" spans="1:8" s="18" customFormat="1" ht="33.75" customHeight="1" x14ac:dyDescent="0.2">
      <c r="A54" s="66"/>
      <c r="B54" s="56"/>
      <c r="C54" s="9"/>
      <c r="D54" s="521" t="s">
        <v>112</v>
      </c>
      <c r="E54" s="125">
        <v>0</v>
      </c>
      <c r="F54" s="519">
        <f>SUM(F55:F55)</f>
        <v>50000</v>
      </c>
      <c r="G54" s="519">
        <f>SUM(G55:G55)</f>
        <v>0</v>
      </c>
      <c r="H54" s="125">
        <f t="shared" si="13"/>
        <v>50000</v>
      </c>
    </row>
    <row r="55" spans="1:8" s="18" customFormat="1" ht="57" customHeight="1" x14ac:dyDescent="0.2">
      <c r="A55" s="66"/>
      <c r="B55" s="56"/>
      <c r="C55" s="68" t="s">
        <v>108</v>
      </c>
      <c r="D55" s="69" t="s">
        <v>109</v>
      </c>
      <c r="E55" s="43">
        <v>0</v>
      </c>
      <c r="F55" s="43">
        <v>50000</v>
      </c>
      <c r="G55" s="42"/>
      <c r="H55" s="43">
        <f t="shared" si="13"/>
        <v>50000</v>
      </c>
    </row>
    <row r="56" spans="1:8" s="18" customFormat="1" ht="34.5" customHeight="1" x14ac:dyDescent="0.2">
      <c r="A56" s="33"/>
      <c r="B56" s="33"/>
      <c r="C56" s="9"/>
      <c r="D56" s="521" t="s">
        <v>113</v>
      </c>
      <c r="E56" s="125">
        <v>0</v>
      </c>
      <c r="F56" s="519">
        <f>SUM(F57:F57)</f>
        <v>50000</v>
      </c>
      <c r="G56" s="519">
        <f>SUM(G57:G57)</f>
        <v>0</v>
      </c>
      <c r="H56" s="125">
        <f t="shared" si="13"/>
        <v>50000</v>
      </c>
    </row>
    <row r="57" spans="1:8" s="18" customFormat="1" ht="56.25" customHeight="1" x14ac:dyDescent="0.2">
      <c r="A57" s="33"/>
      <c r="B57" s="33"/>
      <c r="C57" s="68" t="s">
        <v>108</v>
      </c>
      <c r="D57" s="69" t="s">
        <v>109</v>
      </c>
      <c r="E57" s="70">
        <v>0</v>
      </c>
      <c r="F57" s="70">
        <v>50000</v>
      </c>
      <c r="G57" s="71"/>
      <c r="H57" s="43">
        <f t="shared" si="13"/>
        <v>50000</v>
      </c>
    </row>
    <row r="58" spans="1:8" s="18" customFormat="1" ht="12" customHeight="1" x14ac:dyDescent="0.2">
      <c r="A58" s="33"/>
      <c r="B58" s="33"/>
      <c r="C58" s="9"/>
      <c r="D58" s="523" t="s">
        <v>114</v>
      </c>
      <c r="E58" s="125">
        <v>0</v>
      </c>
      <c r="F58" s="519">
        <f>SUM(F59)</f>
        <v>3000000</v>
      </c>
      <c r="G58" s="519">
        <f>SUM(G59)</f>
        <v>0</v>
      </c>
      <c r="H58" s="125">
        <f t="shared" si="13"/>
        <v>3000000</v>
      </c>
    </row>
    <row r="59" spans="1:8" s="18" customFormat="1" ht="12" customHeight="1" x14ac:dyDescent="0.2">
      <c r="A59" s="33"/>
      <c r="B59" s="33"/>
      <c r="C59" s="9" t="s">
        <v>115</v>
      </c>
      <c r="D59" s="80" t="s">
        <v>116</v>
      </c>
      <c r="E59" s="48">
        <v>0</v>
      </c>
      <c r="F59" s="44">
        <v>3000000</v>
      </c>
      <c r="G59" s="44"/>
      <c r="H59" s="44">
        <f t="shared" si="13"/>
        <v>3000000</v>
      </c>
    </row>
    <row r="60" spans="1:8" s="18" customFormat="1" ht="12" customHeight="1" thickBot="1" x14ac:dyDescent="0.25">
      <c r="A60" s="32">
        <v>854</v>
      </c>
      <c r="B60" s="33"/>
      <c r="C60" s="34"/>
      <c r="D60" s="35" t="s">
        <v>24</v>
      </c>
      <c r="E60" s="36">
        <v>1168741.57</v>
      </c>
      <c r="F60" s="36">
        <f>SUM(F61)</f>
        <v>110000</v>
      </c>
      <c r="G60" s="36">
        <f>SUM(G61)</f>
        <v>0</v>
      </c>
      <c r="H60" s="36">
        <f>SUM(E60+F60-G60)</f>
        <v>1278741.57</v>
      </c>
    </row>
    <row r="61" spans="1:8" s="18" customFormat="1" ht="12" customHeight="1" thickTop="1" x14ac:dyDescent="0.2">
      <c r="A61" s="32"/>
      <c r="B61" s="37">
        <v>85415</v>
      </c>
      <c r="C61" s="27"/>
      <c r="D61" s="38" t="s">
        <v>117</v>
      </c>
      <c r="E61" s="39">
        <v>800875</v>
      </c>
      <c r="F61" s="40">
        <f t="shared" ref="F61:G61" si="15">SUM(F62)</f>
        <v>110000</v>
      </c>
      <c r="G61" s="40">
        <f t="shared" si="15"/>
        <v>0</v>
      </c>
      <c r="H61" s="39">
        <f>SUM(E61+F61-G61)</f>
        <v>910875</v>
      </c>
    </row>
    <row r="62" spans="1:8" s="18" customFormat="1" ht="22.5" customHeight="1" x14ac:dyDescent="0.2">
      <c r="A62" s="32"/>
      <c r="B62" s="37"/>
      <c r="C62" s="9"/>
      <c r="D62" s="521" t="s">
        <v>118</v>
      </c>
      <c r="E62" s="125">
        <v>0</v>
      </c>
      <c r="F62" s="519">
        <f>SUM(F63)</f>
        <v>110000</v>
      </c>
      <c r="G62" s="519">
        <f>SUM(G63)</f>
        <v>0</v>
      </c>
      <c r="H62" s="125">
        <f>SUM(E62+F62-G62)</f>
        <v>110000</v>
      </c>
    </row>
    <row r="63" spans="1:8" s="18" customFormat="1" ht="36" customHeight="1" x14ac:dyDescent="0.2">
      <c r="A63" s="91"/>
      <c r="B63" s="33"/>
      <c r="C63" s="68" t="s">
        <v>88</v>
      </c>
      <c r="D63" s="69" t="s">
        <v>89</v>
      </c>
      <c r="E63" s="43">
        <v>0</v>
      </c>
      <c r="F63" s="43">
        <v>110000</v>
      </c>
      <c r="G63" s="42"/>
      <c r="H63" s="43">
        <f t="shared" ref="H63" si="16">SUM(E63+F63-G63)</f>
        <v>110000</v>
      </c>
    </row>
    <row r="64" spans="1:8" s="18" customFormat="1" ht="12" customHeight="1" thickBot="1" x14ac:dyDescent="0.25">
      <c r="A64" s="33">
        <v>855</v>
      </c>
      <c r="B64" s="33"/>
      <c r="C64" s="34"/>
      <c r="D64" s="35" t="s">
        <v>119</v>
      </c>
      <c r="E64" s="36">
        <v>2225442</v>
      </c>
      <c r="F64" s="36">
        <f>SUM(F65)</f>
        <v>6644</v>
      </c>
      <c r="G64" s="36">
        <f>SUM(G65)</f>
        <v>0</v>
      </c>
      <c r="H64" s="36">
        <f>SUM(E64+F64-G64)</f>
        <v>2232086</v>
      </c>
    </row>
    <row r="65" spans="1:8" s="18" customFormat="1" ht="33.75" customHeight="1" thickTop="1" x14ac:dyDescent="0.2">
      <c r="A65" s="45"/>
      <c r="B65" s="53">
        <v>85502</v>
      </c>
      <c r="C65" s="27"/>
      <c r="D65" s="92" t="s">
        <v>120</v>
      </c>
      <c r="E65" s="39">
        <v>513890</v>
      </c>
      <c r="F65" s="40">
        <f t="shared" ref="F65:G65" si="17">SUM(F66)</f>
        <v>6644</v>
      </c>
      <c r="G65" s="40">
        <f t="shared" si="17"/>
        <v>0</v>
      </c>
      <c r="H65" s="39">
        <f>SUM(E65+F65-G65)</f>
        <v>520534</v>
      </c>
    </row>
    <row r="66" spans="1:8" s="18" customFormat="1" ht="12" customHeight="1" x14ac:dyDescent="0.2">
      <c r="A66" s="91"/>
      <c r="B66" s="33"/>
      <c r="C66" s="9"/>
      <c r="D66" s="521" t="s">
        <v>121</v>
      </c>
      <c r="E66" s="125">
        <v>82560</v>
      </c>
      <c r="F66" s="519">
        <f>SUM(F67:F67)</f>
        <v>6644</v>
      </c>
      <c r="G66" s="519">
        <f>SUM(G67:G67)</f>
        <v>0</v>
      </c>
      <c r="H66" s="125">
        <f t="shared" ref="H66:H67" si="18">SUM(E66+F66-G66)</f>
        <v>89204</v>
      </c>
    </row>
    <row r="67" spans="1:8" s="18" customFormat="1" ht="35.25" customHeight="1" x14ac:dyDescent="0.2">
      <c r="A67" s="91"/>
      <c r="B67" s="33"/>
      <c r="C67" s="68" t="s">
        <v>88</v>
      </c>
      <c r="D67" s="69" t="s">
        <v>89</v>
      </c>
      <c r="E67" s="43">
        <v>82560</v>
      </c>
      <c r="F67" s="43">
        <v>6644</v>
      </c>
      <c r="G67" s="42"/>
      <c r="H67" s="43">
        <f t="shared" si="18"/>
        <v>89204</v>
      </c>
    </row>
    <row r="68" spans="1:8" s="18" customFormat="1" ht="18.75" customHeight="1" thickBot="1" x14ac:dyDescent="0.25">
      <c r="A68" s="66"/>
      <c r="B68" s="66"/>
      <c r="C68" s="27"/>
      <c r="D68" s="30" t="s">
        <v>122</v>
      </c>
      <c r="E68" s="31">
        <v>109715089.34</v>
      </c>
      <c r="F68" s="36">
        <f>SUM(F69,F75,F81,F87,F97,F101)</f>
        <v>3982468.33</v>
      </c>
      <c r="G68" s="36">
        <f>SUM(G69,G75,G81,G87,G97,G101)</f>
        <v>0</v>
      </c>
      <c r="H68" s="31">
        <f t="shared" si="9"/>
        <v>113697557.67</v>
      </c>
    </row>
    <row r="69" spans="1:8" s="18" customFormat="1" ht="18.75" customHeight="1" thickTop="1" thickBot="1" x14ac:dyDescent="0.25">
      <c r="A69" s="32">
        <v>750</v>
      </c>
      <c r="B69" s="33"/>
      <c r="C69" s="34"/>
      <c r="D69" s="35" t="s">
        <v>19</v>
      </c>
      <c r="E69" s="36">
        <v>1793716.16</v>
      </c>
      <c r="F69" s="36">
        <f t="shared" ref="F69:G69" si="19">SUM(F70)</f>
        <v>20980.67</v>
      </c>
      <c r="G69" s="36">
        <f t="shared" si="19"/>
        <v>0</v>
      </c>
      <c r="H69" s="36">
        <f t="shared" ref="H69:H74" si="20">SUM(E69+F69-G69)</f>
        <v>1814696.8299999998</v>
      </c>
    </row>
    <row r="70" spans="1:8" s="18" customFormat="1" ht="12" customHeight="1" thickTop="1" x14ac:dyDescent="0.2">
      <c r="A70" s="32"/>
      <c r="B70" s="74">
        <v>75011</v>
      </c>
      <c r="C70" s="74"/>
      <c r="D70" s="93" t="s">
        <v>123</v>
      </c>
      <c r="E70" s="39">
        <v>1793716.16</v>
      </c>
      <c r="F70" s="40">
        <f>SUM(F71,F73)</f>
        <v>20980.67</v>
      </c>
      <c r="G70" s="40">
        <f>SUM(G71,G73)</f>
        <v>0</v>
      </c>
      <c r="H70" s="39">
        <f t="shared" si="20"/>
        <v>1814696.8299999998</v>
      </c>
    </row>
    <row r="71" spans="1:8" s="18" customFormat="1" ht="12" customHeight="1" x14ac:dyDescent="0.2">
      <c r="A71" s="32"/>
      <c r="B71" s="37"/>
      <c r="C71" s="27"/>
      <c r="D71" s="522" t="s">
        <v>91</v>
      </c>
      <c r="E71" s="125">
        <v>1776885</v>
      </c>
      <c r="F71" s="519">
        <f>SUM(F72)</f>
        <v>20000</v>
      </c>
      <c r="G71" s="519">
        <f>SUM(G72)</f>
        <v>0</v>
      </c>
      <c r="H71" s="125">
        <f t="shared" si="20"/>
        <v>1796885</v>
      </c>
    </row>
    <row r="72" spans="1:8" s="18" customFormat="1" ht="45.75" customHeight="1" x14ac:dyDescent="0.2">
      <c r="A72" s="94"/>
      <c r="B72" s="88"/>
      <c r="C72" s="89" t="s">
        <v>124</v>
      </c>
      <c r="D72" s="95" t="s">
        <v>125</v>
      </c>
      <c r="E72" s="82">
        <v>1776885</v>
      </c>
      <c r="F72" s="39">
        <v>20000</v>
      </c>
      <c r="G72" s="39"/>
      <c r="H72" s="82">
        <f t="shared" si="20"/>
        <v>1796885</v>
      </c>
    </row>
    <row r="73" spans="1:8" s="18" customFormat="1" ht="12" customHeight="1" x14ac:dyDescent="0.2">
      <c r="A73" s="32"/>
      <c r="B73" s="33"/>
      <c r="C73" s="27"/>
      <c r="D73" s="521" t="s">
        <v>126</v>
      </c>
      <c r="E73" s="125">
        <v>16831.16</v>
      </c>
      <c r="F73" s="519">
        <f>SUM(F74:F74)</f>
        <v>980.67</v>
      </c>
      <c r="G73" s="519">
        <f>SUM(G74:G74)</f>
        <v>0</v>
      </c>
      <c r="H73" s="125">
        <f t="shared" si="20"/>
        <v>17811.829999999998</v>
      </c>
    </row>
    <row r="74" spans="1:8" s="18" customFormat="1" ht="33.75" customHeight="1" x14ac:dyDescent="0.2">
      <c r="A74" s="32"/>
      <c r="B74" s="33"/>
      <c r="C74" s="68" t="s">
        <v>88</v>
      </c>
      <c r="D74" s="69" t="s">
        <v>89</v>
      </c>
      <c r="E74" s="43">
        <v>16831.16</v>
      </c>
      <c r="F74" s="43">
        <v>980.67</v>
      </c>
      <c r="G74" s="42"/>
      <c r="H74" s="43">
        <f t="shared" si="20"/>
        <v>17811.829999999998</v>
      </c>
    </row>
    <row r="75" spans="1:8" s="18" customFormat="1" ht="12" customHeight="1" thickBot="1" x14ac:dyDescent="0.25">
      <c r="A75" s="33">
        <v>754</v>
      </c>
      <c r="B75" s="33"/>
      <c r="C75" s="34"/>
      <c r="D75" s="35" t="s">
        <v>127</v>
      </c>
      <c r="E75" s="36">
        <v>3435412</v>
      </c>
      <c r="F75" s="36">
        <f>SUM(F76)</f>
        <v>457562</v>
      </c>
      <c r="G75" s="36">
        <f>SUM(G76)</f>
        <v>0</v>
      </c>
      <c r="H75" s="36">
        <f>SUM(E75+F75-G75)</f>
        <v>3892974</v>
      </c>
    </row>
    <row r="76" spans="1:8" s="18" customFormat="1" ht="12" customHeight="1" thickTop="1" x14ac:dyDescent="0.2">
      <c r="A76" s="37"/>
      <c r="B76" s="37">
        <v>75495</v>
      </c>
      <c r="C76" s="27"/>
      <c r="D76" s="38" t="s">
        <v>10</v>
      </c>
      <c r="E76" s="39">
        <v>3435412</v>
      </c>
      <c r="F76" s="40">
        <f>SUM(F77,F79)</f>
        <v>457562</v>
      </c>
      <c r="G76" s="40">
        <f>SUM(G77,G79)</f>
        <v>0</v>
      </c>
      <c r="H76" s="39">
        <f>SUM(E76+F76-G76)</f>
        <v>3892974</v>
      </c>
    </row>
    <row r="77" spans="1:8" s="18" customFormat="1" ht="21.75" customHeight="1" x14ac:dyDescent="0.2">
      <c r="A77" s="66"/>
      <c r="B77" s="66"/>
      <c r="C77" s="9"/>
      <c r="D77" s="521" t="s">
        <v>128</v>
      </c>
      <c r="E77" s="125">
        <v>1998952</v>
      </c>
      <c r="F77" s="519">
        <f>SUM(F78:F78)</f>
        <v>213752</v>
      </c>
      <c r="G77" s="519">
        <f>SUM(G78:G78)</f>
        <v>0</v>
      </c>
      <c r="H77" s="125">
        <f t="shared" ref="H77:H80" si="21">SUM(E77+F77-G77)</f>
        <v>2212704</v>
      </c>
    </row>
    <row r="78" spans="1:8" s="18" customFormat="1" ht="35.25" customHeight="1" x14ac:dyDescent="0.2">
      <c r="A78" s="66"/>
      <c r="B78" s="66"/>
      <c r="C78" s="68" t="s">
        <v>88</v>
      </c>
      <c r="D78" s="69" t="s">
        <v>89</v>
      </c>
      <c r="E78" s="43">
        <v>1998952</v>
      </c>
      <c r="F78" s="43">
        <f>183000+30000+752</f>
        <v>213752</v>
      </c>
      <c r="G78" s="42"/>
      <c r="H78" s="43">
        <f t="shared" si="21"/>
        <v>2212704</v>
      </c>
    </row>
    <row r="79" spans="1:8" s="18" customFormat="1" ht="22.5" customHeight="1" x14ac:dyDescent="0.2">
      <c r="A79" s="32"/>
      <c r="B79" s="33"/>
      <c r="C79" s="9"/>
      <c r="D79" s="521" t="s">
        <v>129</v>
      </c>
      <c r="E79" s="125">
        <v>1436460</v>
      </c>
      <c r="F79" s="519">
        <f>SUM(F80:F80)</f>
        <v>243810</v>
      </c>
      <c r="G79" s="519">
        <f>SUM(G80:G80)</f>
        <v>0</v>
      </c>
      <c r="H79" s="125">
        <f t="shared" si="21"/>
        <v>1680270</v>
      </c>
    </row>
    <row r="80" spans="1:8" s="18" customFormat="1" ht="36" customHeight="1" x14ac:dyDescent="0.2">
      <c r="A80" s="32"/>
      <c r="B80" s="33"/>
      <c r="C80" s="68" t="s">
        <v>88</v>
      </c>
      <c r="D80" s="69" t="s">
        <v>89</v>
      </c>
      <c r="E80" s="43">
        <v>1436460</v>
      </c>
      <c r="F80" s="43">
        <v>243810</v>
      </c>
      <c r="G80" s="42"/>
      <c r="H80" s="43">
        <f t="shared" si="21"/>
        <v>1680270</v>
      </c>
    </row>
    <row r="81" spans="1:8" s="18" customFormat="1" ht="12" customHeight="1" thickBot="1" x14ac:dyDescent="0.25">
      <c r="A81" s="32">
        <v>801</v>
      </c>
      <c r="B81" s="33"/>
      <c r="C81" s="34"/>
      <c r="D81" s="35" t="s">
        <v>90</v>
      </c>
      <c r="E81" s="31">
        <v>560734.6</v>
      </c>
      <c r="F81" s="31">
        <f>SUM(F84)</f>
        <v>34670.660000000003</v>
      </c>
      <c r="G81" s="31">
        <f>SUM(G84)</f>
        <v>0</v>
      </c>
      <c r="H81" s="31">
        <f>SUM(E81+F81-G81)</f>
        <v>595405.26</v>
      </c>
    </row>
    <row r="82" spans="1:8" s="18" customFormat="1" ht="12" customHeight="1" thickTop="1" x14ac:dyDescent="0.2">
      <c r="A82" s="32"/>
      <c r="B82" s="37">
        <v>80153</v>
      </c>
      <c r="C82" s="34"/>
      <c r="D82" s="11" t="s">
        <v>130</v>
      </c>
      <c r="E82" s="55"/>
      <c r="F82" s="55"/>
      <c r="G82" s="55"/>
      <c r="H82" s="55"/>
    </row>
    <row r="83" spans="1:8" s="18" customFormat="1" ht="12" customHeight="1" x14ac:dyDescent="0.2">
      <c r="A83" s="32"/>
      <c r="B83" s="33"/>
      <c r="C83" s="34"/>
      <c r="D83" s="11" t="s">
        <v>131</v>
      </c>
      <c r="E83" s="55"/>
      <c r="F83" s="55"/>
      <c r="G83" s="55"/>
      <c r="H83" s="55"/>
    </row>
    <row r="84" spans="1:8" s="18" customFormat="1" ht="12" customHeight="1" x14ac:dyDescent="0.2">
      <c r="A84" s="33"/>
      <c r="B84" s="37"/>
      <c r="C84" s="27"/>
      <c r="D84" s="38" t="s">
        <v>132</v>
      </c>
      <c r="E84" s="39">
        <v>560734.6</v>
      </c>
      <c r="F84" s="39">
        <f t="shared" ref="F84:G84" si="22">SUM(F85)</f>
        <v>34670.660000000003</v>
      </c>
      <c r="G84" s="39">
        <f t="shared" si="22"/>
        <v>0</v>
      </c>
      <c r="H84" s="39">
        <f>SUM(E84+F84-G84)</f>
        <v>595405.26</v>
      </c>
    </row>
    <row r="85" spans="1:8" s="18" customFormat="1" ht="12" customHeight="1" x14ac:dyDescent="0.2">
      <c r="A85" s="91"/>
      <c r="B85" s="37"/>
      <c r="C85" s="27"/>
      <c r="D85" s="522" t="s">
        <v>91</v>
      </c>
      <c r="E85" s="125">
        <v>560734.6</v>
      </c>
      <c r="F85" s="519">
        <f>SUM(F86)</f>
        <v>34670.660000000003</v>
      </c>
      <c r="G85" s="519">
        <f>SUM(G86)</f>
        <v>0</v>
      </c>
      <c r="H85" s="125">
        <f>SUM(E85+F85-G85)</f>
        <v>595405.26</v>
      </c>
    </row>
    <row r="86" spans="1:8" s="18" customFormat="1" ht="44.25" customHeight="1" x14ac:dyDescent="0.2">
      <c r="A86" s="33"/>
      <c r="B86" s="33"/>
      <c r="C86" s="68" t="s">
        <v>124</v>
      </c>
      <c r="D86" s="96" t="s">
        <v>125</v>
      </c>
      <c r="E86" s="44">
        <v>560734.6</v>
      </c>
      <c r="F86" s="43">
        <v>34670.660000000003</v>
      </c>
      <c r="G86" s="43"/>
      <c r="H86" s="44">
        <f t="shared" ref="H86" si="23">SUM(E86+F86-G86)</f>
        <v>595405.26</v>
      </c>
    </row>
    <row r="87" spans="1:8" s="18" customFormat="1" ht="12" customHeight="1" thickBot="1" x14ac:dyDescent="0.25">
      <c r="A87" s="33">
        <v>852</v>
      </c>
      <c r="B87" s="33"/>
      <c r="C87" s="34"/>
      <c r="D87" s="35" t="s">
        <v>94</v>
      </c>
      <c r="E87" s="31">
        <v>11560038.07</v>
      </c>
      <c r="F87" s="36">
        <f>SUM(F88,F91,F94)</f>
        <v>196886</v>
      </c>
      <c r="G87" s="36">
        <f>SUM(G88,G91,G94)</f>
        <v>0</v>
      </c>
      <c r="H87" s="36">
        <f>SUM(E87+F87-G87)</f>
        <v>11756924.07</v>
      </c>
    </row>
    <row r="88" spans="1:8" s="18" customFormat="1" ht="12" customHeight="1" thickTop="1" x14ac:dyDescent="0.2">
      <c r="A88" s="33"/>
      <c r="B88" s="37">
        <v>85203</v>
      </c>
      <c r="C88" s="27"/>
      <c r="D88" s="97" t="s">
        <v>133</v>
      </c>
      <c r="E88" s="39">
        <v>1140872</v>
      </c>
      <c r="F88" s="40">
        <f t="shared" ref="F88:G89" si="24">SUM(F89)</f>
        <v>5720</v>
      </c>
      <c r="G88" s="40">
        <f t="shared" si="24"/>
        <v>0</v>
      </c>
      <c r="H88" s="39">
        <f t="shared" ref="H88:H100" si="25">SUM(E88+F88-G88)</f>
        <v>1146592</v>
      </c>
    </row>
    <row r="89" spans="1:8" s="18" customFormat="1" ht="12" customHeight="1" x14ac:dyDescent="0.2">
      <c r="A89" s="33"/>
      <c r="B89" s="37"/>
      <c r="C89" s="27"/>
      <c r="D89" s="522" t="s">
        <v>91</v>
      </c>
      <c r="E89" s="125">
        <v>1140872</v>
      </c>
      <c r="F89" s="519">
        <f t="shared" si="24"/>
        <v>5720</v>
      </c>
      <c r="G89" s="519">
        <f t="shared" si="24"/>
        <v>0</v>
      </c>
      <c r="H89" s="125">
        <f t="shared" si="25"/>
        <v>1146592</v>
      </c>
    </row>
    <row r="90" spans="1:8" s="18" customFormat="1" ht="45" customHeight="1" x14ac:dyDescent="0.2">
      <c r="A90" s="33"/>
      <c r="B90" s="33"/>
      <c r="C90" s="68" t="s">
        <v>124</v>
      </c>
      <c r="D90" s="96" t="s">
        <v>125</v>
      </c>
      <c r="E90" s="44">
        <v>1140872</v>
      </c>
      <c r="F90" s="43">
        <v>5720</v>
      </c>
      <c r="G90" s="43"/>
      <c r="H90" s="44">
        <f t="shared" si="25"/>
        <v>1146592</v>
      </c>
    </row>
    <row r="91" spans="1:8" s="18" customFormat="1" ht="12" customHeight="1" x14ac:dyDescent="0.2">
      <c r="A91" s="33"/>
      <c r="B91" s="37">
        <v>85219</v>
      </c>
      <c r="C91" s="27"/>
      <c r="D91" s="38" t="s">
        <v>134</v>
      </c>
      <c r="E91" s="39">
        <v>30578</v>
      </c>
      <c r="F91" s="40">
        <f t="shared" ref="F91:G92" si="26">SUM(F92)</f>
        <v>1582</v>
      </c>
      <c r="G91" s="40">
        <f t="shared" si="26"/>
        <v>0</v>
      </c>
      <c r="H91" s="39">
        <f t="shared" si="25"/>
        <v>32160</v>
      </c>
    </row>
    <row r="92" spans="1:8" s="18" customFormat="1" ht="12" customHeight="1" x14ac:dyDescent="0.2">
      <c r="A92" s="33"/>
      <c r="B92" s="37"/>
      <c r="C92" s="27"/>
      <c r="D92" s="522" t="s">
        <v>91</v>
      </c>
      <c r="E92" s="125">
        <v>30578</v>
      </c>
      <c r="F92" s="519">
        <f t="shared" si="26"/>
        <v>1582</v>
      </c>
      <c r="G92" s="519">
        <f t="shared" si="26"/>
        <v>0</v>
      </c>
      <c r="H92" s="125">
        <f t="shared" si="25"/>
        <v>32160</v>
      </c>
    </row>
    <row r="93" spans="1:8" s="18" customFormat="1" ht="45.75" customHeight="1" x14ac:dyDescent="0.2">
      <c r="A93" s="33"/>
      <c r="B93" s="33"/>
      <c r="C93" s="68" t="s">
        <v>124</v>
      </c>
      <c r="D93" s="96" t="s">
        <v>125</v>
      </c>
      <c r="E93" s="44">
        <v>30578</v>
      </c>
      <c r="F93" s="43">
        <v>1582</v>
      </c>
      <c r="G93" s="43"/>
      <c r="H93" s="44">
        <f t="shared" si="25"/>
        <v>32160</v>
      </c>
    </row>
    <row r="94" spans="1:8" s="18" customFormat="1" ht="12" customHeight="1" x14ac:dyDescent="0.2">
      <c r="A94" s="33"/>
      <c r="B94" s="37">
        <v>85228</v>
      </c>
      <c r="C94" s="27"/>
      <c r="D94" s="97" t="s">
        <v>135</v>
      </c>
      <c r="E94" s="39">
        <v>3182192</v>
      </c>
      <c r="F94" s="40">
        <f t="shared" ref="F94:G95" si="27">SUM(F95)</f>
        <v>189584</v>
      </c>
      <c r="G94" s="40">
        <f t="shared" si="27"/>
        <v>0</v>
      </c>
      <c r="H94" s="39">
        <f t="shared" si="25"/>
        <v>3371776</v>
      </c>
    </row>
    <row r="95" spans="1:8" s="18" customFormat="1" ht="12" customHeight="1" x14ac:dyDescent="0.2">
      <c r="A95" s="33"/>
      <c r="B95" s="37"/>
      <c r="C95" s="27"/>
      <c r="D95" s="522" t="s">
        <v>91</v>
      </c>
      <c r="E95" s="125">
        <v>3182192</v>
      </c>
      <c r="F95" s="519">
        <f t="shared" si="27"/>
        <v>189584</v>
      </c>
      <c r="G95" s="519">
        <f t="shared" si="27"/>
        <v>0</v>
      </c>
      <c r="H95" s="125">
        <f t="shared" si="25"/>
        <v>3371776</v>
      </c>
    </row>
    <row r="96" spans="1:8" s="18" customFormat="1" ht="44.25" customHeight="1" x14ac:dyDescent="0.2">
      <c r="A96" s="33"/>
      <c r="B96" s="33"/>
      <c r="C96" s="68" t="s">
        <v>124</v>
      </c>
      <c r="D96" s="96" t="s">
        <v>125</v>
      </c>
      <c r="E96" s="44">
        <v>3182192</v>
      </c>
      <c r="F96" s="43">
        <v>189584</v>
      </c>
      <c r="G96" s="43"/>
      <c r="H96" s="44">
        <f t="shared" si="25"/>
        <v>3371776</v>
      </c>
    </row>
    <row r="97" spans="1:8" s="18" customFormat="1" ht="12" customHeight="1" thickBot="1" x14ac:dyDescent="0.25">
      <c r="A97" s="33">
        <v>853</v>
      </c>
      <c r="B97" s="33"/>
      <c r="C97" s="34"/>
      <c r="D97" s="35" t="s">
        <v>111</v>
      </c>
      <c r="E97" s="36">
        <v>17108172.77</v>
      </c>
      <c r="F97" s="36">
        <f>SUM(F98)</f>
        <v>18666</v>
      </c>
      <c r="G97" s="36">
        <f>SUM(G98)</f>
        <v>0</v>
      </c>
      <c r="H97" s="36">
        <f t="shared" si="25"/>
        <v>17126838.77</v>
      </c>
    </row>
    <row r="98" spans="1:8" s="18" customFormat="1" ht="12" customHeight="1" thickTop="1" x14ac:dyDescent="0.2">
      <c r="A98" s="33"/>
      <c r="B98" s="37">
        <v>85395</v>
      </c>
      <c r="C98" s="27"/>
      <c r="D98" s="38" t="s">
        <v>10</v>
      </c>
      <c r="E98" s="39">
        <v>17108172.77</v>
      </c>
      <c r="F98" s="40">
        <f t="shared" ref="F98:G98" si="28">SUM(F99)</f>
        <v>18666</v>
      </c>
      <c r="G98" s="40">
        <f t="shared" si="28"/>
        <v>0</v>
      </c>
      <c r="H98" s="39">
        <f t="shared" si="25"/>
        <v>17126838.77</v>
      </c>
    </row>
    <row r="99" spans="1:8" s="18" customFormat="1" ht="21" customHeight="1" x14ac:dyDescent="0.2">
      <c r="A99" s="33"/>
      <c r="B99" s="37"/>
      <c r="C99" s="27"/>
      <c r="D99" s="520" t="s">
        <v>136</v>
      </c>
      <c r="E99" s="125">
        <v>340884</v>
      </c>
      <c r="F99" s="519">
        <f>SUM(F100:F100)</f>
        <v>18666</v>
      </c>
      <c r="G99" s="519">
        <f>SUM(G100:G100)</f>
        <v>0</v>
      </c>
      <c r="H99" s="125">
        <f t="shared" si="25"/>
        <v>359550</v>
      </c>
    </row>
    <row r="100" spans="1:8" s="18" customFormat="1" ht="33" customHeight="1" x14ac:dyDescent="0.2">
      <c r="A100" s="33"/>
      <c r="B100" s="37"/>
      <c r="C100" s="68" t="s">
        <v>88</v>
      </c>
      <c r="D100" s="69" t="s">
        <v>89</v>
      </c>
      <c r="E100" s="43">
        <v>340884</v>
      </c>
      <c r="F100" s="43">
        <v>18666</v>
      </c>
      <c r="G100" s="42"/>
      <c r="H100" s="43">
        <f t="shared" si="25"/>
        <v>359550</v>
      </c>
    </row>
    <row r="101" spans="1:8" s="18" customFormat="1" ht="12.75" customHeight="1" thickBot="1" x14ac:dyDescent="0.25">
      <c r="A101" s="33">
        <v>855</v>
      </c>
      <c r="B101" s="33"/>
      <c r="C101" s="34"/>
      <c r="D101" s="35" t="s">
        <v>119</v>
      </c>
      <c r="E101" s="36">
        <v>75227816</v>
      </c>
      <c r="F101" s="36">
        <f>SUM(F102,F107,F110,F115)</f>
        <v>3253703</v>
      </c>
      <c r="G101" s="36">
        <f>SUM(G102,G107,G110,G115)</f>
        <v>0</v>
      </c>
      <c r="H101" s="36">
        <f>SUM(E101+F101-G101)</f>
        <v>78481519</v>
      </c>
    </row>
    <row r="102" spans="1:8" s="18" customFormat="1" ht="12.75" customHeight="1" thickTop="1" x14ac:dyDescent="0.2">
      <c r="A102" s="33"/>
      <c r="B102" s="45">
        <v>85501</v>
      </c>
      <c r="C102" s="56"/>
      <c r="D102" s="98" t="s">
        <v>137</v>
      </c>
      <c r="E102" s="39">
        <v>36808041</v>
      </c>
      <c r="F102" s="40">
        <f t="shared" ref="F102:G102" si="29">SUM(F103)</f>
        <v>25083</v>
      </c>
      <c r="G102" s="40">
        <f t="shared" si="29"/>
        <v>0</v>
      </c>
      <c r="H102" s="39">
        <f>SUM(E102+F102-G102)</f>
        <v>36833124</v>
      </c>
    </row>
    <row r="103" spans="1:8" s="18" customFormat="1" ht="12.75" customHeight="1" x14ac:dyDescent="0.2">
      <c r="A103" s="33"/>
      <c r="B103" s="37"/>
      <c r="C103" s="27"/>
      <c r="D103" s="522" t="s">
        <v>91</v>
      </c>
      <c r="E103" s="125">
        <v>36808041</v>
      </c>
      <c r="F103" s="519">
        <f>SUM(F104)</f>
        <v>25083</v>
      </c>
      <c r="G103" s="519">
        <f>SUM(G104)</f>
        <v>0</v>
      </c>
      <c r="H103" s="125">
        <f>SUM(E103+F103-G103)</f>
        <v>36833124</v>
      </c>
    </row>
    <row r="104" spans="1:8" s="18" customFormat="1" ht="55.5" customHeight="1" x14ac:dyDescent="0.2">
      <c r="A104" s="88"/>
      <c r="B104" s="88"/>
      <c r="C104" s="99">
        <v>2060</v>
      </c>
      <c r="D104" s="100" t="s">
        <v>138</v>
      </c>
      <c r="E104" s="82">
        <v>36808041</v>
      </c>
      <c r="F104" s="40">
        <v>25083</v>
      </c>
      <c r="G104" s="101"/>
      <c r="H104" s="82">
        <f t="shared" ref="H104" si="30">SUM(E104+F104-G104)</f>
        <v>36833124</v>
      </c>
    </row>
    <row r="105" spans="1:8" s="18" customFormat="1" ht="12" customHeight="1" x14ac:dyDescent="0.2">
      <c r="A105" s="33"/>
      <c r="B105" s="10">
        <v>85502</v>
      </c>
      <c r="C105" s="9"/>
      <c r="D105" s="57" t="s">
        <v>139</v>
      </c>
      <c r="E105" s="86"/>
      <c r="F105" s="86"/>
      <c r="G105" s="86"/>
      <c r="H105" s="86"/>
    </row>
    <row r="106" spans="1:8" s="18" customFormat="1" ht="12" customHeight="1" x14ac:dyDescent="0.2">
      <c r="A106" s="33"/>
      <c r="B106" s="10"/>
      <c r="C106" s="9"/>
      <c r="D106" s="57" t="s">
        <v>140</v>
      </c>
      <c r="E106" s="86"/>
      <c r="F106" s="86"/>
      <c r="G106" s="86"/>
      <c r="H106" s="86"/>
    </row>
    <row r="107" spans="1:8" s="18" customFormat="1" ht="12" customHeight="1" x14ac:dyDescent="0.2">
      <c r="A107" s="33"/>
      <c r="B107" s="10"/>
      <c r="C107" s="9"/>
      <c r="D107" s="87" t="s">
        <v>141</v>
      </c>
      <c r="E107" s="39">
        <v>38036920</v>
      </c>
      <c r="F107" s="40">
        <f t="shared" ref="F107:G107" si="31">SUM(F108)</f>
        <v>3222199</v>
      </c>
      <c r="G107" s="40">
        <f t="shared" si="31"/>
        <v>0</v>
      </c>
      <c r="H107" s="39">
        <f>SUM(E107+F107-G107)</f>
        <v>41259119</v>
      </c>
    </row>
    <row r="108" spans="1:8" s="18" customFormat="1" ht="12" customHeight="1" x14ac:dyDescent="0.2">
      <c r="A108" s="33"/>
      <c r="B108" s="37"/>
      <c r="C108" s="27"/>
      <c r="D108" s="522" t="s">
        <v>91</v>
      </c>
      <c r="E108" s="125">
        <v>38036920</v>
      </c>
      <c r="F108" s="519">
        <f>SUM(F109)</f>
        <v>3222199</v>
      </c>
      <c r="G108" s="519">
        <f>SUM(G109)</f>
        <v>0</v>
      </c>
      <c r="H108" s="125">
        <f>SUM(E108+F108-G108)</f>
        <v>41259119</v>
      </c>
    </row>
    <row r="109" spans="1:8" s="18" customFormat="1" ht="45" customHeight="1" x14ac:dyDescent="0.2">
      <c r="A109" s="33"/>
      <c r="B109" s="33"/>
      <c r="C109" s="68" t="s">
        <v>124</v>
      </c>
      <c r="D109" s="96" t="s">
        <v>125</v>
      </c>
      <c r="E109" s="44">
        <v>38036920</v>
      </c>
      <c r="F109" s="43">
        <v>3222199</v>
      </c>
      <c r="G109" s="43"/>
      <c r="H109" s="44">
        <f t="shared" ref="H109:H118" si="32">SUM(E109+F109-G109)</f>
        <v>41259119</v>
      </c>
    </row>
    <row r="110" spans="1:8" s="18" customFormat="1" ht="12" customHeight="1" x14ac:dyDescent="0.2">
      <c r="A110" s="33"/>
      <c r="B110" s="45">
        <v>85503</v>
      </c>
      <c r="C110" s="37"/>
      <c r="D110" s="38" t="s">
        <v>142</v>
      </c>
      <c r="E110" s="39">
        <v>4180</v>
      </c>
      <c r="F110" s="40">
        <f t="shared" ref="F110:G110" si="33">SUM(F111)</f>
        <v>2140</v>
      </c>
      <c r="G110" s="40">
        <f t="shared" si="33"/>
        <v>0</v>
      </c>
      <c r="H110" s="39">
        <f t="shared" si="32"/>
        <v>6320</v>
      </c>
    </row>
    <row r="111" spans="1:8" s="18" customFormat="1" ht="12" customHeight="1" x14ac:dyDescent="0.2">
      <c r="A111" s="33"/>
      <c r="B111" s="37"/>
      <c r="C111" s="27"/>
      <c r="D111" s="522" t="s">
        <v>91</v>
      </c>
      <c r="E111" s="125">
        <v>4180</v>
      </c>
      <c r="F111" s="519">
        <f>SUM(F112)</f>
        <v>2140</v>
      </c>
      <c r="G111" s="519">
        <f>SUM(G112)</f>
        <v>0</v>
      </c>
      <c r="H111" s="125">
        <f t="shared" si="32"/>
        <v>6320</v>
      </c>
    </row>
    <row r="112" spans="1:8" s="18" customFormat="1" ht="45" customHeight="1" x14ac:dyDescent="0.2">
      <c r="A112" s="33"/>
      <c r="B112" s="33"/>
      <c r="C112" s="68" t="s">
        <v>124</v>
      </c>
      <c r="D112" s="96" t="s">
        <v>125</v>
      </c>
      <c r="E112" s="44">
        <v>4180</v>
      </c>
      <c r="F112" s="43">
        <v>2140</v>
      </c>
      <c r="G112" s="43"/>
      <c r="H112" s="44">
        <f t="shared" si="32"/>
        <v>6320</v>
      </c>
    </row>
    <row r="113" spans="1:8" s="18" customFormat="1" ht="12" customHeight="1" x14ac:dyDescent="0.2">
      <c r="A113" s="33"/>
      <c r="B113" s="37">
        <v>85513</v>
      </c>
      <c r="C113" s="27"/>
      <c r="D113" s="10" t="s">
        <v>143</v>
      </c>
      <c r="E113" s="44"/>
      <c r="F113" s="43"/>
      <c r="G113" s="43"/>
      <c r="H113" s="44"/>
    </row>
    <row r="114" spans="1:8" s="18" customFormat="1" ht="12" customHeight="1" x14ac:dyDescent="0.2">
      <c r="A114" s="33"/>
      <c r="B114" s="66"/>
      <c r="C114" s="27"/>
      <c r="D114" s="85" t="s">
        <v>144</v>
      </c>
      <c r="E114" s="44"/>
      <c r="F114" s="43"/>
      <c r="G114" s="43"/>
      <c r="H114" s="44"/>
    </row>
    <row r="115" spans="1:8" s="18" customFormat="1" ht="12" customHeight="1" x14ac:dyDescent="0.2">
      <c r="A115" s="33"/>
      <c r="B115" s="37"/>
      <c r="C115" s="27"/>
      <c r="D115" s="38" t="s">
        <v>145</v>
      </c>
      <c r="E115" s="39">
        <v>378675</v>
      </c>
      <c r="F115" s="40">
        <f t="shared" ref="F115:G116" si="34">SUM(F116)</f>
        <v>4281</v>
      </c>
      <c r="G115" s="40">
        <f t="shared" si="34"/>
        <v>0</v>
      </c>
      <c r="H115" s="39">
        <f t="shared" ref="H115:H117" si="35">SUM(E115+F115-G115)</f>
        <v>382956</v>
      </c>
    </row>
    <row r="116" spans="1:8" s="18" customFormat="1" ht="12" customHeight="1" x14ac:dyDescent="0.2">
      <c r="A116" s="33"/>
      <c r="B116" s="37"/>
      <c r="C116" s="27"/>
      <c r="D116" s="522" t="s">
        <v>91</v>
      </c>
      <c r="E116" s="125">
        <v>378675</v>
      </c>
      <c r="F116" s="519">
        <f t="shared" si="34"/>
        <v>4281</v>
      </c>
      <c r="G116" s="519">
        <f t="shared" si="34"/>
        <v>0</v>
      </c>
      <c r="H116" s="125">
        <f t="shared" si="35"/>
        <v>382956</v>
      </c>
    </row>
    <row r="117" spans="1:8" s="18" customFormat="1" ht="45" customHeight="1" x14ac:dyDescent="0.2">
      <c r="A117" s="33"/>
      <c r="B117" s="33"/>
      <c r="C117" s="68" t="s">
        <v>124</v>
      </c>
      <c r="D117" s="96" t="s">
        <v>125</v>
      </c>
      <c r="E117" s="44">
        <v>378675</v>
      </c>
      <c r="F117" s="43">
        <v>4281</v>
      </c>
      <c r="G117" s="43"/>
      <c r="H117" s="44">
        <f t="shared" si="35"/>
        <v>382956</v>
      </c>
    </row>
    <row r="118" spans="1:8" s="18" customFormat="1" ht="20.25" customHeight="1" thickBot="1" x14ac:dyDescent="0.25">
      <c r="A118" s="66"/>
      <c r="B118" s="66"/>
      <c r="C118" s="27"/>
      <c r="D118" s="30" t="s">
        <v>146</v>
      </c>
      <c r="E118" s="31">
        <v>20531142.300000001</v>
      </c>
      <c r="F118" s="31">
        <f>SUM(F119,F123,F127,F131,F136,F140,F146,F152,F156,F160)</f>
        <v>82842.820000000007</v>
      </c>
      <c r="G118" s="31">
        <f>SUM(G119,G123,G127,G131,G136,G140,G146,G152,G156,G160)</f>
        <v>87757.62</v>
      </c>
      <c r="H118" s="31">
        <f t="shared" si="32"/>
        <v>20526227.5</v>
      </c>
    </row>
    <row r="119" spans="1:8" s="18" customFormat="1" ht="18" customHeight="1" thickTop="1" thickBot="1" x14ac:dyDescent="0.25">
      <c r="A119" s="102" t="s">
        <v>147</v>
      </c>
      <c r="B119" s="74"/>
      <c r="C119" s="74"/>
      <c r="D119" s="103" t="s">
        <v>148</v>
      </c>
      <c r="E119" s="31">
        <v>20000</v>
      </c>
      <c r="F119" s="31">
        <f t="shared" ref="F119:G121" si="36">SUM(F120)</f>
        <v>5000</v>
      </c>
      <c r="G119" s="31">
        <f t="shared" si="36"/>
        <v>0</v>
      </c>
      <c r="H119" s="31">
        <f>SUM(E119+F119-G119)</f>
        <v>25000</v>
      </c>
    </row>
    <row r="120" spans="1:8" s="18" customFormat="1" ht="12" customHeight="1" thickTop="1" x14ac:dyDescent="0.2">
      <c r="A120" s="91"/>
      <c r="B120" s="104" t="s">
        <v>149</v>
      </c>
      <c r="C120" s="105"/>
      <c r="D120" s="106" t="s">
        <v>150</v>
      </c>
      <c r="E120" s="39">
        <v>20000</v>
      </c>
      <c r="F120" s="39">
        <f t="shared" si="36"/>
        <v>5000</v>
      </c>
      <c r="G120" s="39">
        <f t="shared" si="36"/>
        <v>0</v>
      </c>
      <c r="H120" s="39">
        <f>SUM(E120+F120-G120)</f>
        <v>25000</v>
      </c>
    </row>
    <row r="121" spans="1:8" s="18" customFormat="1" ht="12" customHeight="1" x14ac:dyDescent="0.2">
      <c r="A121" s="66"/>
      <c r="B121" s="37"/>
      <c r="C121" s="27"/>
      <c r="D121" s="522" t="s">
        <v>91</v>
      </c>
      <c r="E121" s="125">
        <v>20000</v>
      </c>
      <c r="F121" s="519">
        <f t="shared" si="36"/>
        <v>5000</v>
      </c>
      <c r="G121" s="519">
        <f t="shared" si="36"/>
        <v>0</v>
      </c>
      <c r="H121" s="125">
        <f>SUM(E121+F121-G121)</f>
        <v>25000</v>
      </c>
    </row>
    <row r="122" spans="1:8" s="18" customFormat="1" ht="35.25" customHeight="1" x14ac:dyDescent="0.2">
      <c r="A122" s="33"/>
      <c r="B122" s="66"/>
      <c r="C122" s="53">
        <v>2110</v>
      </c>
      <c r="D122" s="54" t="s">
        <v>151</v>
      </c>
      <c r="E122" s="107">
        <v>20000</v>
      </c>
      <c r="F122" s="70">
        <v>5000</v>
      </c>
      <c r="G122" s="70"/>
      <c r="H122" s="107">
        <f t="shared" ref="H122" si="37">SUM(E122+F122-G122)</f>
        <v>25000</v>
      </c>
    </row>
    <row r="123" spans="1:8" s="18" customFormat="1" ht="12.75" customHeight="1" thickBot="1" x14ac:dyDescent="0.25">
      <c r="A123" s="33">
        <v>700</v>
      </c>
      <c r="B123" s="33"/>
      <c r="C123" s="34"/>
      <c r="D123" s="35" t="s">
        <v>17</v>
      </c>
      <c r="E123" s="31">
        <v>433655.8</v>
      </c>
      <c r="F123" s="31">
        <f t="shared" ref="F123:G125" si="38">SUM(F124)</f>
        <v>0</v>
      </c>
      <c r="G123" s="31">
        <f t="shared" si="38"/>
        <v>20181.8</v>
      </c>
      <c r="H123" s="31">
        <f>SUM(E123+F123-G123)</f>
        <v>413474</v>
      </c>
    </row>
    <row r="124" spans="1:8" s="18" customFormat="1" ht="12" customHeight="1" thickTop="1" x14ac:dyDescent="0.2">
      <c r="A124" s="33"/>
      <c r="B124" s="37">
        <v>70005</v>
      </c>
      <c r="C124" s="27"/>
      <c r="D124" s="87" t="s">
        <v>35</v>
      </c>
      <c r="E124" s="39">
        <v>433655.8</v>
      </c>
      <c r="F124" s="39">
        <f t="shared" si="38"/>
        <v>0</v>
      </c>
      <c r="G124" s="39">
        <f t="shared" si="38"/>
        <v>20181.8</v>
      </c>
      <c r="H124" s="39">
        <f>SUM(E124+F124-G124)</f>
        <v>413474</v>
      </c>
    </row>
    <row r="125" spans="1:8" s="18" customFormat="1" ht="12" customHeight="1" x14ac:dyDescent="0.2">
      <c r="A125" s="66"/>
      <c r="B125" s="37"/>
      <c r="C125" s="27"/>
      <c r="D125" s="522" t="s">
        <v>91</v>
      </c>
      <c r="E125" s="125">
        <v>433655.8</v>
      </c>
      <c r="F125" s="519">
        <f t="shared" si="38"/>
        <v>0</v>
      </c>
      <c r="G125" s="519">
        <f t="shared" si="38"/>
        <v>20181.8</v>
      </c>
      <c r="H125" s="125">
        <f>SUM(E125+F125-G125)</f>
        <v>413474</v>
      </c>
    </row>
    <row r="126" spans="1:8" s="18" customFormat="1" ht="34.5" customHeight="1" x14ac:dyDescent="0.2">
      <c r="A126" s="33"/>
      <c r="B126" s="66"/>
      <c r="C126" s="53">
        <v>2110</v>
      </c>
      <c r="D126" s="54" t="s">
        <v>151</v>
      </c>
      <c r="E126" s="107">
        <v>433655.8</v>
      </c>
      <c r="F126" s="70"/>
      <c r="G126" s="70">
        <v>20181.8</v>
      </c>
      <c r="H126" s="107">
        <f t="shared" ref="H126:H134" si="39">SUM(E126+F126-G126)</f>
        <v>413474</v>
      </c>
    </row>
    <row r="127" spans="1:8" s="18" customFormat="1" ht="12" customHeight="1" thickBot="1" x14ac:dyDescent="0.25">
      <c r="A127" s="34" t="s">
        <v>152</v>
      </c>
      <c r="B127" s="33"/>
      <c r="C127" s="34"/>
      <c r="D127" s="35" t="s">
        <v>153</v>
      </c>
      <c r="E127" s="31">
        <v>1032677</v>
      </c>
      <c r="F127" s="31">
        <f>SUM(F128)</f>
        <v>0</v>
      </c>
      <c r="G127" s="31">
        <f>SUM(G128)</f>
        <v>35461.82</v>
      </c>
      <c r="H127" s="31">
        <f t="shared" si="39"/>
        <v>997215.18</v>
      </c>
    </row>
    <row r="128" spans="1:8" s="18" customFormat="1" ht="12" customHeight="1" thickTop="1" x14ac:dyDescent="0.2">
      <c r="A128" s="33"/>
      <c r="B128" s="37">
        <v>71012</v>
      </c>
      <c r="C128" s="45"/>
      <c r="D128" s="38" t="s">
        <v>154</v>
      </c>
      <c r="E128" s="39">
        <v>339577</v>
      </c>
      <c r="F128" s="39">
        <f t="shared" ref="F128:G128" si="40">SUM(F129)</f>
        <v>0</v>
      </c>
      <c r="G128" s="39">
        <f t="shared" si="40"/>
        <v>35461.82</v>
      </c>
      <c r="H128" s="39">
        <f t="shared" si="39"/>
        <v>304115.18</v>
      </c>
    </row>
    <row r="129" spans="1:8" s="18" customFormat="1" ht="12" customHeight="1" x14ac:dyDescent="0.2">
      <c r="A129" s="91"/>
      <c r="B129" s="37"/>
      <c r="C129" s="27"/>
      <c r="D129" s="522" t="s">
        <v>91</v>
      </c>
      <c r="E129" s="125">
        <v>339577</v>
      </c>
      <c r="F129" s="519">
        <f>SUM(F130:F130)</f>
        <v>0</v>
      </c>
      <c r="G129" s="519">
        <f>SUM(G130:G130)</f>
        <v>35461.82</v>
      </c>
      <c r="H129" s="125">
        <f t="shared" si="39"/>
        <v>304115.18</v>
      </c>
    </row>
    <row r="130" spans="1:8" s="18" customFormat="1" ht="33.75" customHeight="1" x14ac:dyDescent="0.2">
      <c r="A130" s="32"/>
      <c r="B130" s="66"/>
      <c r="C130" s="53">
        <v>2110</v>
      </c>
      <c r="D130" s="54" t="s">
        <v>151</v>
      </c>
      <c r="E130" s="43">
        <v>339577</v>
      </c>
      <c r="F130" s="43"/>
      <c r="G130" s="43">
        <v>35461.82</v>
      </c>
      <c r="H130" s="43">
        <f>SUM(E130+F130-G130)</f>
        <v>304115.18</v>
      </c>
    </row>
    <row r="131" spans="1:8" s="18" customFormat="1" ht="12" customHeight="1" thickBot="1" x14ac:dyDescent="0.25">
      <c r="A131" s="32">
        <v>752</v>
      </c>
      <c r="B131" s="33"/>
      <c r="C131" s="34"/>
      <c r="D131" s="35" t="s">
        <v>155</v>
      </c>
      <c r="E131" s="36">
        <v>6000</v>
      </c>
      <c r="F131" s="36">
        <f t="shared" ref="F131:G131" si="41">SUM(F132)</f>
        <v>0</v>
      </c>
      <c r="G131" s="36">
        <f t="shared" si="41"/>
        <v>2094</v>
      </c>
      <c r="H131" s="36">
        <f t="shared" si="39"/>
        <v>3906</v>
      </c>
    </row>
    <row r="132" spans="1:8" s="18" customFormat="1" ht="12" customHeight="1" thickTop="1" x14ac:dyDescent="0.2">
      <c r="A132" s="32"/>
      <c r="B132" s="45">
        <v>75212</v>
      </c>
      <c r="C132" s="74"/>
      <c r="D132" s="108" t="s">
        <v>156</v>
      </c>
      <c r="E132" s="39">
        <v>6000</v>
      </c>
      <c r="F132" s="40">
        <f>SUM(F133)</f>
        <v>0</v>
      </c>
      <c r="G132" s="40">
        <f>SUM(G133)</f>
        <v>2094</v>
      </c>
      <c r="H132" s="39">
        <f t="shared" si="39"/>
        <v>3906</v>
      </c>
    </row>
    <row r="133" spans="1:8" s="18" customFormat="1" ht="12" customHeight="1" x14ac:dyDescent="0.2">
      <c r="A133" s="32"/>
      <c r="B133" s="37"/>
      <c r="C133" s="27"/>
      <c r="D133" s="522" t="s">
        <v>91</v>
      </c>
      <c r="E133" s="125">
        <v>6000</v>
      </c>
      <c r="F133" s="519">
        <f>SUM(F134)</f>
        <v>0</v>
      </c>
      <c r="G133" s="519">
        <f>SUM(G134)</f>
        <v>2094</v>
      </c>
      <c r="H133" s="125">
        <f t="shared" si="39"/>
        <v>3906</v>
      </c>
    </row>
    <row r="134" spans="1:8" s="18" customFormat="1" ht="33.75" customHeight="1" x14ac:dyDescent="0.2">
      <c r="A134" s="32"/>
      <c r="B134" s="33"/>
      <c r="C134" s="53">
        <v>2110</v>
      </c>
      <c r="D134" s="54" t="s">
        <v>151</v>
      </c>
      <c r="E134" s="44">
        <v>6000</v>
      </c>
      <c r="F134" s="43"/>
      <c r="G134" s="43">
        <v>2094</v>
      </c>
      <c r="H134" s="44">
        <f t="shared" si="39"/>
        <v>3906</v>
      </c>
    </row>
    <row r="135" spans="1:8" s="18" customFormat="1" ht="12" customHeight="1" x14ac:dyDescent="0.2">
      <c r="A135" s="32">
        <v>754</v>
      </c>
      <c r="B135" s="33"/>
      <c r="C135" s="34"/>
      <c r="D135" s="35" t="s">
        <v>79</v>
      </c>
      <c r="E135" s="55"/>
      <c r="F135" s="55"/>
      <c r="G135" s="55"/>
      <c r="H135" s="55"/>
    </row>
    <row r="136" spans="1:8" s="18" customFormat="1" ht="12" customHeight="1" thickBot="1" x14ac:dyDescent="0.25">
      <c r="A136" s="32"/>
      <c r="B136" s="33"/>
      <c r="C136" s="34"/>
      <c r="D136" s="35" t="s">
        <v>80</v>
      </c>
      <c r="E136" s="31">
        <v>17071707</v>
      </c>
      <c r="F136" s="31">
        <f t="shared" ref="F136:G138" si="42">SUM(F137)</f>
        <v>40000</v>
      </c>
      <c r="G136" s="31">
        <f t="shared" si="42"/>
        <v>29043</v>
      </c>
      <c r="H136" s="31">
        <f>SUM(E136+F136-G136)</f>
        <v>17082664</v>
      </c>
    </row>
    <row r="137" spans="1:8" s="18" customFormat="1" ht="12" customHeight="1" thickTop="1" x14ac:dyDescent="0.2">
      <c r="A137" s="91"/>
      <c r="B137" s="37">
        <v>75411</v>
      </c>
      <c r="C137" s="27"/>
      <c r="D137" s="97" t="s">
        <v>157</v>
      </c>
      <c r="E137" s="39">
        <v>17071707</v>
      </c>
      <c r="F137" s="39">
        <f t="shared" si="42"/>
        <v>40000</v>
      </c>
      <c r="G137" s="39">
        <f t="shared" si="42"/>
        <v>29043</v>
      </c>
      <c r="H137" s="39">
        <f>SUM(E137+F137-G137)</f>
        <v>17082664</v>
      </c>
    </row>
    <row r="138" spans="1:8" s="18" customFormat="1" ht="12" customHeight="1" x14ac:dyDescent="0.2">
      <c r="A138" s="66"/>
      <c r="B138" s="37"/>
      <c r="C138" s="27"/>
      <c r="D138" s="522" t="s">
        <v>91</v>
      </c>
      <c r="E138" s="125">
        <v>17071707</v>
      </c>
      <c r="F138" s="519">
        <f t="shared" si="42"/>
        <v>40000</v>
      </c>
      <c r="G138" s="519">
        <f t="shared" si="42"/>
        <v>29043</v>
      </c>
      <c r="H138" s="125">
        <f>SUM(E138+F138-G138)</f>
        <v>17082664</v>
      </c>
    </row>
    <row r="139" spans="1:8" s="18" customFormat="1" ht="35.25" customHeight="1" x14ac:dyDescent="0.2">
      <c r="A139" s="88"/>
      <c r="B139" s="109"/>
      <c r="C139" s="99">
        <v>2110</v>
      </c>
      <c r="D139" s="92" t="s">
        <v>151</v>
      </c>
      <c r="E139" s="82">
        <v>16921707</v>
      </c>
      <c r="F139" s="39">
        <f>7000+33000</f>
        <v>40000</v>
      </c>
      <c r="G139" s="39">
        <f>3294+25749</f>
        <v>29043</v>
      </c>
      <c r="H139" s="82">
        <f t="shared" ref="H139" si="43">SUM(E139+F139-G139)</f>
        <v>16932664</v>
      </c>
    </row>
    <row r="140" spans="1:8" s="18" customFormat="1" ht="12" customHeight="1" thickBot="1" x14ac:dyDescent="0.25">
      <c r="A140" s="32">
        <v>801</v>
      </c>
      <c r="B140" s="33"/>
      <c r="C140" s="34"/>
      <c r="D140" s="35" t="s">
        <v>90</v>
      </c>
      <c r="E140" s="31">
        <v>32216.5</v>
      </c>
      <c r="F140" s="31">
        <f>SUM(F143)</f>
        <v>2300.8200000000002</v>
      </c>
      <c r="G140" s="31">
        <f>SUM(G143)</f>
        <v>0</v>
      </c>
      <c r="H140" s="31">
        <f>SUM(E140+F140-G140)</f>
        <v>34517.32</v>
      </c>
    </row>
    <row r="141" spans="1:8" s="18" customFormat="1" ht="12" customHeight="1" thickTop="1" x14ac:dyDescent="0.2">
      <c r="A141" s="32"/>
      <c r="B141" s="37">
        <v>80153</v>
      </c>
      <c r="C141" s="34"/>
      <c r="D141" s="11" t="s">
        <v>130</v>
      </c>
      <c r="E141" s="55"/>
      <c r="F141" s="55"/>
      <c r="G141" s="55"/>
      <c r="H141" s="55"/>
    </row>
    <row r="142" spans="1:8" s="18" customFormat="1" ht="12" customHeight="1" x14ac:dyDescent="0.2">
      <c r="A142" s="32"/>
      <c r="B142" s="33"/>
      <c r="C142" s="34"/>
      <c r="D142" s="11" t="s">
        <v>131</v>
      </c>
      <c r="E142" s="55"/>
      <c r="F142" s="55"/>
      <c r="G142" s="55"/>
      <c r="H142" s="55"/>
    </row>
    <row r="143" spans="1:8" s="18" customFormat="1" ht="12" customHeight="1" x14ac:dyDescent="0.2">
      <c r="A143" s="33"/>
      <c r="B143" s="37"/>
      <c r="C143" s="27"/>
      <c r="D143" s="38" t="s">
        <v>132</v>
      </c>
      <c r="E143" s="39">
        <v>32216.5</v>
      </c>
      <c r="F143" s="39">
        <f t="shared" ref="F143:G143" si="44">SUM(F144)</f>
        <v>2300.8200000000002</v>
      </c>
      <c r="G143" s="39">
        <f t="shared" si="44"/>
        <v>0</v>
      </c>
      <c r="H143" s="39">
        <f t="shared" ref="H143:H159" si="45">SUM(E143+F143-G143)</f>
        <v>34517.32</v>
      </c>
    </row>
    <row r="144" spans="1:8" s="18" customFormat="1" ht="12" customHeight="1" x14ac:dyDescent="0.2">
      <c r="A144" s="91"/>
      <c r="B144" s="37"/>
      <c r="C144" s="27"/>
      <c r="D144" s="522" t="s">
        <v>91</v>
      </c>
      <c r="E144" s="125">
        <v>32216.5</v>
      </c>
      <c r="F144" s="519">
        <f>SUM(F145:F145)</f>
        <v>2300.8200000000002</v>
      </c>
      <c r="G144" s="519">
        <f>SUM(G145:G145)</f>
        <v>0</v>
      </c>
      <c r="H144" s="125">
        <f t="shared" si="45"/>
        <v>34517.32</v>
      </c>
    </row>
    <row r="145" spans="1:8" s="18" customFormat="1" ht="34.5" customHeight="1" x14ac:dyDescent="0.2">
      <c r="A145" s="32"/>
      <c r="B145" s="66"/>
      <c r="C145" s="53">
        <v>2110</v>
      </c>
      <c r="D145" s="54" t="s">
        <v>151</v>
      </c>
      <c r="E145" s="43">
        <v>32216.5</v>
      </c>
      <c r="F145" s="42">
        <v>2300.8200000000002</v>
      </c>
      <c r="G145" s="110"/>
      <c r="H145" s="43">
        <f t="shared" si="45"/>
        <v>34517.32</v>
      </c>
    </row>
    <row r="146" spans="1:8" s="18" customFormat="1" ht="12" customHeight="1" thickBot="1" x14ac:dyDescent="0.25">
      <c r="A146" s="32">
        <v>851</v>
      </c>
      <c r="B146" s="33"/>
      <c r="C146" s="34"/>
      <c r="D146" s="35" t="s">
        <v>158</v>
      </c>
      <c r="E146" s="31">
        <v>59038</v>
      </c>
      <c r="F146" s="31">
        <f>SUM(F149)</f>
        <v>11662</v>
      </c>
      <c r="G146" s="31">
        <f>SUM(G149)</f>
        <v>0</v>
      </c>
      <c r="H146" s="31">
        <f>SUM(E146+F146-G146)</f>
        <v>70700</v>
      </c>
    </row>
    <row r="147" spans="1:8" s="18" customFormat="1" ht="12" customHeight="1" thickTop="1" x14ac:dyDescent="0.2">
      <c r="A147" s="32"/>
      <c r="B147" s="46">
        <v>85156</v>
      </c>
      <c r="C147" s="81"/>
      <c r="D147" s="10" t="s">
        <v>159</v>
      </c>
      <c r="E147" s="55"/>
      <c r="F147" s="55"/>
      <c r="G147" s="55"/>
      <c r="H147" s="55"/>
    </row>
    <row r="148" spans="1:8" s="18" customFormat="1" ht="12" customHeight="1" x14ac:dyDescent="0.2">
      <c r="A148" s="32"/>
      <c r="B148" s="75"/>
      <c r="C148" s="81"/>
      <c r="D148" s="10" t="s">
        <v>160</v>
      </c>
      <c r="E148" s="55"/>
      <c r="F148" s="55"/>
      <c r="G148" s="55"/>
      <c r="H148" s="55"/>
    </row>
    <row r="149" spans="1:8" s="18" customFormat="1" ht="12" customHeight="1" x14ac:dyDescent="0.2">
      <c r="A149" s="32"/>
      <c r="B149" s="75"/>
      <c r="C149" s="81"/>
      <c r="D149" s="76" t="s">
        <v>161</v>
      </c>
      <c r="E149" s="39">
        <v>59038</v>
      </c>
      <c r="F149" s="39">
        <f t="shared" ref="F149:G149" si="46">SUM(F150)</f>
        <v>11662</v>
      </c>
      <c r="G149" s="39">
        <f t="shared" si="46"/>
        <v>0</v>
      </c>
      <c r="H149" s="39">
        <f>SUM(E149+F149-G149)</f>
        <v>70700</v>
      </c>
    </row>
    <row r="150" spans="1:8" s="18" customFormat="1" ht="12" customHeight="1" x14ac:dyDescent="0.2">
      <c r="A150" s="91"/>
      <c r="B150" s="37"/>
      <c r="C150" s="27"/>
      <c r="D150" s="522" t="s">
        <v>91</v>
      </c>
      <c r="E150" s="125">
        <v>59038</v>
      </c>
      <c r="F150" s="519">
        <f>SUM(F151:F151)</f>
        <v>11662</v>
      </c>
      <c r="G150" s="519">
        <f>SUM(G151:G151)</f>
        <v>0</v>
      </c>
      <c r="H150" s="125">
        <f>SUM(E150+F150-G150)</f>
        <v>70700</v>
      </c>
    </row>
    <row r="151" spans="1:8" s="18" customFormat="1" ht="35.25" customHeight="1" x14ac:dyDescent="0.2">
      <c r="A151" s="32"/>
      <c r="B151" s="66"/>
      <c r="C151" s="53">
        <v>2110</v>
      </c>
      <c r="D151" s="54" t="s">
        <v>151</v>
      </c>
      <c r="E151" s="43">
        <v>59038</v>
      </c>
      <c r="F151" s="42">
        <v>11662</v>
      </c>
      <c r="G151" s="42"/>
      <c r="H151" s="43">
        <f>SUM(E151+F151-G151)</f>
        <v>70700</v>
      </c>
    </row>
    <row r="152" spans="1:8" s="18" customFormat="1" ht="12" customHeight="1" thickBot="1" x14ac:dyDescent="0.25">
      <c r="A152" s="33">
        <v>852</v>
      </c>
      <c r="B152" s="33"/>
      <c r="C152" s="34"/>
      <c r="D152" s="35" t="s">
        <v>94</v>
      </c>
      <c r="E152" s="31">
        <v>487200</v>
      </c>
      <c r="F152" s="31">
        <f>SUM(F153)</f>
        <v>5400</v>
      </c>
      <c r="G152" s="31">
        <f>SUM(G153)</f>
        <v>0</v>
      </c>
      <c r="H152" s="31">
        <f>SUM(E152+F152-G152)</f>
        <v>492600</v>
      </c>
    </row>
    <row r="153" spans="1:8" s="18" customFormat="1" ht="12" customHeight="1" thickTop="1" x14ac:dyDescent="0.2">
      <c r="A153" s="33"/>
      <c r="B153" s="37">
        <v>85205</v>
      </c>
      <c r="C153" s="27"/>
      <c r="D153" s="87" t="s">
        <v>162</v>
      </c>
      <c r="E153" s="39">
        <v>487200</v>
      </c>
      <c r="F153" s="39">
        <f t="shared" ref="F153:G153" si="47">SUM(F154)</f>
        <v>5400</v>
      </c>
      <c r="G153" s="39">
        <f t="shared" si="47"/>
        <v>0</v>
      </c>
      <c r="H153" s="39">
        <f t="shared" ref="H153:H155" si="48">SUM(E153+F153-G153)</f>
        <v>492600</v>
      </c>
    </row>
    <row r="154" spans="1:8" s="18" customFormat="1" ht="12" customHeight="1" x14ac:dyDescent="0.2">
      <c r="A154" s="91"/>
      <c r="B154" s="37"/>
      <c r="C154" s="27"/>
      <c r="D154" s="522" t="s">
        <v>91</v>
      </c>
      <c r="E154" s="125">
        <v>487200</v>
      </c>
      <c r="F154" s="519">
        <f>SUM(F155:F155)</f>
        <v>5400</v>
      </c>
      <c r="G154" s="519">
        <f>SUM(G155:G155)</f>
        <v>0</v>
      </c>
      <c r="H154" s="125">
        <f t="shared" si="48"/>
        <v>492600</v>
      </c>
    </row>
    <row r="155" spans="1:8" s="18" customFormat="1" ht="33.75" customHeight="1" x14ac:dyDescent="0.2">
      <c r="A155" s="32"/>
      <c r="B155" s="66"/>
      <c r="C155" s="53">
        <v>2110</v>
      </c>
      <c r="D155" s="54" t="s">
        <v>151</v>
      </c>
      <c r="E155" s="43">
        <v>487200</v>
      </c>
      <c r="F155" s="42">
        <v>5400</v>
      </c>
      <c r="G155" s="110"/>
      <c r="H155" s="43">
        <f t="shared" si="48"/>
        <v>492600</v>
      </c>
    </row>
    <row r="156" spans="1:8" s="18" customFormat="1" ht="12" customHeight="1" thickBot="1" x14ac:dyDescent="0.25">
      <c r="A156" s="32">
        <v>853</v>
      </c>
      <c r="B156" s="33"/>
      <c r="C156" s="34"/>
      <c r="D156" s="35" t="s">
        <v>111</v>
      </c>
      <c r="E156" s="31">
        <v>506850</v>
      </c>
      <c r="F156" s="31">
        <f>SUM(F157)</f>
        <v>18480</v>
      </c>
      <c r="G156" s="31">
        <f>SUM(G157)</f>
        <v>0</v>
      </c>
      <c r="H156" s="31">
        <f t="shared" si="45"/>
        <v>525330</v>
      </c>
    </row>
    <row r="157" spans="1:8" s="18" customFormat="1" ht="12" customHeight="1" thickTop="1" x14ac:dyDescent="0.2">
      <c r="A157" s="32"/>
      <c r="B157" s="37">
        <v>85395</v>
      </c>
      <c r="C157" s="27"/>
      <c r="D157" s="38" t="s">
        <v>10</v>
      </c>
      <c r="E157" s="39">
        <v>9240</v>
      </c>
      <c r="F157" s="39">
        <f t="shared" ref="F157:G157" si="49">SUM(F158)</f>
        <v>18480</v>
      </c>
      <c r="G157" s="39">
        <f t="shared" si="49"/>
        <v>0</v>
      </c>
      <c r="H157" s="39">
        <f t="shared" si="45"/>
        <v>27720</v>
      </c>
    </row>
    <row r="158" spans="1:8" s="18" customFormat="1" ht="12" customHeight="1" x14ac:dyDescent="0.2">
      <c r="A158" s="91"/>
      <c r="B158" s="37"/>
      <c r="C158" s="27"/>
      <c r="D158" s="522" t="s">
        <v>91</v>
      </c>
      <c r="E158" s="125">
        <v>9240</v>
      </c>
      <c r="F158" s="519">
        <f>SUM(F159:F159)</f>
        <v>18480</v>
      </c>
      <c r="G158" s="519">
        <f>SUM(G159:G159)</f>
        <v>0</v>
      </c>
      <c r="H158" s="125">
        <f t="shared" si="45"/>
        <v>27720</v>
      </c>
    </row>
    <row r="159" spans="1:8" s="18" customFormat="1" ht="33.75" customHeight="1" x14ac:dyDescent="0.2">
      <c r="A159" s="32"/>
      <c r="B159" s="66"/>
      <c r="C159" s="53">
        <v>2110</v>
      </c>
      <c r="D159" s="54" t="s">
        <v>151</v>
      </c>
      <c r="E159" s="43">
        <v>9240</v>
      </c>
      <c r="F159" s="42">
        <v>18480</v>
      </c>
      <c r="G159" s="110"/>
      <c r="H159" s="43">
        <f t="shared" si="45"/>
        <v>27720</v>
      </c>
    </row>
    <row r="160" spans="1:8" s="18" customFormat="1" ht="12" customHeight="1" thickBot="1" x14ac:dyDescent="0.25">
      <c r="A160" s="33">
        <v>855</v>
      </c>
      <c r="B160" s="33"/>
      <c r="C160" s="34"/>
      <c r="D160" s="35" t="s">
        <v>119</v>
      </c>
      <c r="E160" s="31">
        <v>474707</v>
      </c>
      <c r="F160" s="31">
        <f>SUM(F161)</f>
        <v>0</v>
      </c>
      <c r="G160" s="31">
        <f>SUM(G161)</f>
        <v>977</v>
      </c>
      <c r="H160" s="31">
        <f>SUM(E160+F160-G160)</f>
        <v>473730</v>
      </c>
    </row>
    <row r="161" spans="1:8" s="18" customFormat="1" ht="12" customHeight="1" thickTop="1" x14ac:dyDescent="0.2">
      <c r="A161" s="33"/>
      <c r="B161" s="37">
        <v>85510</v>
      </c>
      <c r="C161" s="45"/>
      <c r="D161" s="38" t="s">
        <v>163</v>
      </c>
      <c r="E161" s="39">
        <v>247794</v>
      </c>
      <c r="F161" s="39">
        <f t="shared" ref="F161:G161" si="50">SUM(F162)</f>
        <v>0</v>
      </c>
      <c r="G161" s="39">
        <f t="shared" si="50"/>
        <v>977</v>
      </c>
      <c r="H161" s="39">
        <f>SUM(E161+F161-G161)</f>
        <v>246817</v>
      </c>
    </row>
    <row r="162" spans="1:8" s="18" customFormat="1" ht="12" customHeight="1" x14ac:dyDescent="0.2">
      <c r="A162" s="33"/>
      <c r="B162" s="37"/>
      <c r="C162" s="27"/>
      <c r="D162" s="522" t="s">
        <v>91</v>
      </c>
      <c r="E162" s="125">
        <v>247794</v>
      </c>
      <c r="F162" s="519">
        <f>SUM(F163)</f>
        <v>0</v>
      </c>
      <c r="G162" s="519">
        <f>SUM(G163)</f>
        <v>977</v>
      </c>
      <c r="H162" s="125">
        <f>SUM(E162+F162-G162)</f>
        <v>246817</v>
      </c>
    </row>
    <row r="163" spans="1:8" s="18" customFormat="1" ht="57" customHeight="1" x14ac:dyDescent="0.2">
      <c r="A163" s="33"/>
      <c r="B163" s="66"/>
      <c r="C163" s="53">
        <v>2160</v>
      </c>
      <c r="D163" s="54" t="s">
        <v>164</v>
      </c>
      <c r="E163" s="43">
        <v>247794</v>
      </c>
      <c r="F163" s="42"/>
      <c r="G163" s="42">
        <v>977</v>
      </c>
      <c r="H163" s="43">
        <f t="shared" ref="H163:H165" si="51">SUM(E163+F163-G163)</f>
        <v>246817</v>
      </c>
    </row>
    <row r="164" spans="1:8" s="18" customFormat="1" ht="25.5" customHeight="1" thickBot="1" x14ac:dyDescent="0.25">
      <c r="A164" s="37"/>
      <c r="B164" s="37"/>
      <c r="C164" s="27"/>
      <c r="D164" s="28" t="s">
        <v>11</v>
      </c>
      <c r="E164" s="29">
        <v>1001327747.1899999</v>
      </c>
      <c r="F164" s="29">
        <f>SUM(F165,F717,F789)</f>
        <v>11136685.540000001</v>
      </c>
      <c r="G164" s="29">
        <f>SUM(G165,G717,G789)</f>
        <v>3380842.8100000005</v>
      </c>
      <c r="H164" s="29">
        <f t="shared" si="51"/>
        <v>1009083589.92</v>
      </c>
    </row>
    <row r="165" spans="1:8" s="18" customFormat="1" ht="17.25" customHeight="1" thickBot="1" x14ac:dyDescent="0.25">
      <c r="A165" s="37"/>
      <c r="B165" s="37"/>
      <c r="C165" s="27"/>
      <c r="D165" s="30" t="s">
        <v>12</v>
      </c>
      <c r="E165" s="31">
        <v>871081515.55000007</v>
      </c>
      <c r="F165" s="31">
        <f>SUM(F166,F191,F209,F243,F251,F255,F519,F545,F621,F663,F687,F704,F712)</f>
        <v>7001558.2700000005</v>
      </c>
      <c r="G165" s="31">
        <f>SUM(G166,G191,G209,G243,G251,G255,G519,G545,G621,G663,G687,G704,G712)</f>
        <v>3223269.0700000003</v>
      </c>
      <c r="H165" s="31">
        <f t="shared" si="51"/>
        <v>874859804.75</v>
      </c>
    </row>
    <row r="166" spans="1:8" s="18" customFormat="1" ht="17.25" customHeight="1" thickTop="1" thickBot="1" x14ac:dyDescent="0.25">
      <c r="A166" s="33">
        <v>600</v>
      </c>
      <c r="B166" s="33"/>
      <c r="C166" s="34"/>
      <c r="D166" s="35" t="s">
        <v>165</v>
      </c>
      <c r="E166" s="31">
        <v>108408342.73999999</v>
      </c>
      <c r="F166" s="31">
        <f>SUM(F167,F170,F175,F179,F183)</f>
        <v>138050</v>
      </c>
      <c r="G166" s="31">
        <f>SUM(G167,G170,G175,G179,G183)</f>
        <v>138050</v>
      </c>
      <c r="H166" s="31">
        <f>SUM(E166+F166-G166)</f>
        <v>108408342.73999999</v>
      </c>
    </row>
    <row r="167" spans="1:8" s="18" customFormat="1" ht="12" customHeight="1" thickTop="1" x14ac:dyDescent="0.2">
      <c r="A167" s="33"/>
      <c r="B167" s="37">
        <v>60004</v>
      </c>
      <c r="C167" s="27"/>
      <c r="D167" s="38" t="s">
        <v>166</v>
      </c>
      <c r="E167" s="111">
        <v>35617820.589999996</v>
      </c>
      <c r="F167" s="111">
        <f>SUM(F168)</f>
        <v>2000</v>
      </c>
      <c r="G167" s="111">
        <f>SUM(G168)</f>
        <v>0</v>
      </c>
      <c r="H167" s="39">
        <f>SUM(E167+F167-G167)</f>
        <v>35619820.589999996</v>
      </c>
    </row>
    <row r="168" spans="1:8" s="18" customFormat="1" ht="12" customHeight="1" x14ac:dyDescent="0.2">
      <c r="A168" s="33"/>
      <c r="B168" s="37"/>
      <c r="C168" s="112"/>
      <c r="D168" s="518" t="s">
        <v>167</v>
      </c>
      <c r="E168" s="125">
        <v>162000</v>
      </c>
      <c r="F168" s="125">
        <f>SUM(F169:F169)</f>
        <v>2000</v>
      </c>
      <c r="G168" s="125">
        <f>SUM(G169:G169)</f>
        <v>0</v>
      </c>
      <c r="H168" s="125">
        <f>SUM(E168+F168-G168)</f>
        <v>164000</v>
      </c>
    </row>
    <row r="169" spans="1:8" s="18" customFormat="1" ht="12" customHeight="1" x14ac:dyDescent="0.2">
      <c r="A169" s="33"/>
      <c r="B169" s="33"/>
      <c r="C169" s="46">
        <v>4610</v>
      </c>
      <c r="D169" s="10" t="s">
        <v>168</v>
      </c>
      <c r="E169" s="48">
        <v>6000</v>
      </c>
      <c r="F169" s="48">
        <v>2000</v>
      </c>
      <c r="G169" s="48"/>
      <c r="H169" s="43">
        <f t="shared" ref="H169" si="52">SUM(E169+F169-G169)</f>
        <v>8000</v>
      </c>
    </row>
    <row r="170" spans="1:8" s="18" customFormat="1" ht="12" customHeight="1" x14ac:dyDescent="0.2">
      <c r="A170" s="33"/>
      <c r="B170" s="37">
        <v>60015</v>
      </c>
      <c r="C170" s="27"/>
      <c r="D170" s="38" t="s">
        <v>169</v>
      </c>
      <c r="E170" s="111">
        <v>31221735.77</v>
      </c>
      <c r="F170" s="111">
        <f>SUM(F171)</f>
        <v>107000</v>
      </c>
      <c r="G170" s="111">
        <f>SUM(G171)</f>
        <v>50000</v>
      </c>
      <c r="H170" s="39">
        <f>SUM(E170+F170-G170)</f>
        <v>31278735.77</v>
      </c>
    </row>
    <row r="171" spans="1:8" s="18" customFormat="1" ht="12" customHeight="1" x14ac:dyDescent="0.2">
      <c r="A171" s="33"/>
      <c r="B171" s="37"/>
      <c r="C171" s="112"/>
      <c r="D171" s="518" t="s">
        <v>167</v>
      </c>
      <c r="E171" s="125">
        <v>11973885</v>
      </c>
      <c r="F171" s="125">
        <f>SUM(F172:F174)</f>
        <v>107000</v>
      </c>
      <c r="G171" s="125">
        <f>SUM(G172:G174)</f>
        <v>50000</v>
      </c>
      <c r="H171" s="125">
        <f>SUM(E171+F171-G171)</f>
        <v>12030885</v>
      </c>
    </row>
    <row r="172" spans="1:8" s="18" customFormat="1" ht="12" customHeight="1" x14ac:dyDescent="0.2">
      <c r="A172" s="33"/>
      <c r="B172" s="37"/>
      <c r="C172" s="9" t="s">
        <v>170</v>
      </c>
      <c r="D172" s="11" t="s">
        <v>13</v>
      </c>
      <c r="E172" s="48">
        <v>264000</v>
      </c>
      <c r="F172" s="48">
        <v>20000</v>
      </c>
      <c r="G172" s="48"/>
      <c r="H172" s="43">
        <f t="shared" ref="H172:H174" si="53">SUM(E172+F172-G172)</f>
        <v>284000</v>
      </c>
    </row>
    <row r="173" spans="1:8" s="18" customFormat="1" ht="12" customHeight="1" x14ac:dyDescent="0.2">
      <c r="A173" s="33"/>
      <c r="B173" s="37"/>
      <c r="C173" s="46">
        <v>4270</v>
      </c>
      <c r="D173" s="10" t="s">
        <v>171</v>
      </c>
      <c r="E173" s="48">
        <v>3920000</v>
      </c>
      <c r="F173" s="48">
        <v>87000</v>
      </c>
      <c r="G173" s="48"/>
      <c r="H173" s="43">
        <f t="shared" si="53"/>
        <v>4007000</v>
      </c>
    </row>
    <row r="174" spans="1:8" s="18" customFormat="1" ht="21.6" customHeight="1" x14ac:dyDescent="0.2">
      <c r="A174" s="33"/>
      <c r="B174" s="37"/>
      <c r="C174" s="53">
        <v>4390</v>
      </c>
      <c r="D174" s="69" t="s">
        <v>23</v>
      </c>
      <c r="E174" s="48">
        <v>181000</v>
      </c>
      <c r="F174" s="48"/>
      <c r="G174" s="48">
        <v>50000</v>
      </c>
      <c r="H174" s="43">
        <f t="shared" si="53"/>
        <v>131000</v>
      </c>
    </row>
    <row r="175" spans="1:8" s="18" customFormat="1" ht="12" customHeight="1" x14ac:dyDescent="0.2">
      <c r="A175" s="33"/>
      <c r="B175" s="37">
        <v>60016</v>
      </c>
      <c r="C175" s="27"/>
      <c r="D175" s="38" t="s">
        <v>172</v>
      </c>
      <c r="E175" s="111">
        <v>31250676.379999999</v>
      </c>
      <c r="F175" s="111">
        <f>SUM(F176)</f>
        <v>3500</v>
      </c>
      <c r="G175" s="111">
        <f>SUM(G176)</f>
        <v>45000</v>
      </c>
      <c r="H175" s="39">
        <f>SUM(E175+F175-G175)</f>
        <v>31209176.379999999</v>
      </c>
    </row>
    <row r="176" spans="1:8" s="18" customFormat="1" ht="12" customHeight="1" x14ac:dyDescent="0.2">
      <c r="A176" s="33"/>
      <c r="B176" s="37"/>
      <c r="C176" s="46"/>
      <c r="D176" s="518" t="s">
        <v>167</v>
      </c>
      <c r="E176" s="125">
        <v>4654944</v>
      </c>
      <c r="F176" s="125">
        <f>SUM(F177:F178)</f>
        <v>3500</v>
      </c>
      <c r="G176" s="125">
        <f>SUM(G177:G178)</f>
        <v>45000</v>
      </c>
      <c r="H176" s="125">
        <f>SUM(E176+F176-G176)</f>
        <v>4613444</v>
      </c>
    </row>
    <row r="177" spans="1:8" s="18" customFormat="1" ht="12" customHeight="1" x14ac:dyDescent="0.2">
      <c r="A177" s="33"/>
      <c r="B177" s="33"/>
      <c r="C177" s="46">
        <v>4270</v>
      </c>
      <c r="D177" s="10" t="s">
        <v>171</v>
      </c>
      <c r="E177" s="48">
        <v>2118000</v>
      </c>
      <c r="F177" s="48">
        <v>3500</v>
      </c>
      <c r="G177" s="48"/>
      <c r="H177" s="43">
        <f t="shared" ref="H177:H183" si="54">SUM(E177+F177-G177)</f>
        <v>2121500</v>
      </c>
    </row>
    <row r="178" spans="1:8" s="18" customFormat="1" ht="12" customHeight="1" x14ac:dyDescent="0.2">
      <c r="A178" s="33"/>
      <c r="B178" s="33"/>
      <c r="C178" s="45">
        <v>4300</v>
      </c>
      <c r="D178" s="41" t="s">
        <v>14</v>
      </c>
      <c r="E178" s="48">
        <v>2346944</v>
      </c>
      <c r="F178" s="48"/>
      <c r="G178" s="48">
        <v>45000</v>
      </c>
      <c r="H178" s="43">
        <f t="shared" si="54"/>
        <v>2301944</v>
      </c>
    </row>
    <row r="179" spans="1:8" s="18" customFormat="1" ht="12" customHeight="1" x14ac:dyDescent="0.2">
      <c r="A179" s="33"/>
      <c r="B179" s="37">
        <v>60017</v>
      </c>
      <c r="C179" s="27"/>
      <c r="D179" s="38" t="s">
        <v>173</v>
      </c>
      <c r="E179" s="111">
        <v>802240</v>
      </c>
      <c r="F179" s="111">
        <f>SUM(F180)</f>
        <v>0</v>
      </c>
      <c r="G179" s="111">
        <f>SUM(G180)</f>
        <v>15500</v>
      </c>
      <c r="H179" s="39">
        <f>SUM(E179+F179-G179)</f>
        <v>786740</v>
      </c>
    </row>
    <row r="180" spans="1:8" s="18" customFormat="1" ht="12" customHeight="1" x14ac:dyDescent="0.2">
      <c r="A180" s="33"/>
      <c r="B180" s="37"/>
      <c r="C180" s="46"/>
      <c r="D180" s="518" t="s">
        <v>167</v>
      </c>
      <c r="E180" s="125">
        <v>502240</v>
      </c>
      <c r="F180" s="125">
        <f>SUM(F181:F182)</f>
        <v>0</v>
      </c>
      <c r="G180" s="125">
        <f>SUM(G181:G182)</f>
        <v>15500</v>
      </c>
      <c r="H180" s="125">
        <f>SUM(E180+F180-G180)</f>
        <v>486740</v>
      </c>
    </row>
    <row r="181" spans="1:8" s="18" customFormat="1" ht="12" customHeight="1" x14ac:dyDescent="0.2">
      <c r="A181" s="33"/>
      <c r="B181" s="33"/>
      <c r="C181" s="46">
        <v>4270</v>
      </c>
      <c r="D181" s="10" t="s">
        <v>171</v>
      </c>
      <c r="E181" s="48">
        <v>240000</v>
      </c>
      <c r="F181" s="48"/>
      <c r="G181" s="48">
        <v>8500</v>
      </c>
      <c r="H181" s="43">
        <f t="shared" ref="H181:H182" si="55">SUM(E181+F181-G181)</f>
        <v>231500</v>
      </c>
    </row>
    <row r="182" spans="1:8" s="18" customFormat="1" ht="12" customHeight="1" x14ac:dyDescent="0.2">
      <c r="A182" s="33"/>
      <c r="B182" s="33"/>
      <c r="C182" s="45">
        <v>4300</v>
      </c>
      <c r="D182" s="41" t="s">
        <v>14</v>
      </c>
      <c r="E182" s="48">
        <v>254240</v>
      </c>
      <c r="F182" s="48"/>
      <c r="G182" s="48">
        <v>7000</v>
      </c>
      <c r="H182" s="43">
        <f t="shared" si="55"/>
        <v>247240</v>
      </c>
    </row>
    <row r="183" spans="1:8" s="18" customFormat="1" ht="12" customHeight="1" x14ac:dyDescent="0.2">
      <c r="A183" s="33"/>
      <c r="B183" s="37">
        <v>60095</v>
      </c>
      <c r="C183" s="27"/>
      <c r="D183" s="38" t="s">
        <v>10</v>
      </c>
      <c r="E183" s="111">
        <v>8113340</v>
      </c>
      <c r="F183" s="40">
        <f>SUM(F184)</f>
        <v>25550</v>
      </c>
      <c r="G183" s="40">
        <f>SUM(G184)</f>
        <v>27550</v>
      </c>
      <c r="H183" s="39">
        <f t="shared" si="54"/>
        <v>8111340</v>
      </c>
    </row>
    <row r="184" spans="1:8" s="18" customFormat="1" ht="12" customHeight="1" x14ac:dyDescent="0.2">
      <c r="A184" s="33"/>
      <c r="B184" s="37"/>
      <c r="C184" s="112"/>
      <c r="D184" s="518" t="s">
        <v>167</v>
      </c>
      <c r="E184" s="125">
        <v>4106880</v>
      </c>
      <c r="F184" s="125">
        <f>SUM(F185:F190)</f>
        <v>25550</v>
      </c>
      <c r="G184" s="125">
        <f>SUM(G185:G190)</f>
        <v>27550</v>
      </c>
      <c r="H184" s="125">
        <f>SUM(E184+F184-G184)</f>
        <v>4104880</v>
      </c>
    </row>
    <row r="185" spans="1:8" s="18" customFormat="1" ht="12" customHeight="1" x14ac:dyDescent="0.2">
      <c r="A185" s="33"/>
      <c r="B185" s="37"/>
      <c r="C185" s="9" t="s">
        <v>170</v>
      </c>
      <c r="D185" s="11" t="s">
        <v>13</v>
      </c>
      <c r="E185" s="48">
        <v>78000</v>
      </c>
      <c r="F185" s="48">
        <v>20000</v>
      </c>
      <c r="G185" s="48"/>
      <c r="H185" s="43">
        <f t="shared" ref="H185:H198" si="56">SUM(E185+F185-G185)</f>
        <v>98000</v>
      </c>
    </row>
    <row r="186" spans="1:8" s="18" customFormat="1" ht="12" customHeight="1" x14ac:dyDescent="0.2">
      <c r="A186" s="88"/>
      <c r="B186" s="113"/>
      <c r="C186" s="114">
        <v>4300</v>
      </c>
      <c r="D186" s="38" t="s">
        <v>14</v>
      </c>
      <c r="E186" s="111">
        <v>176000</v>
      </c>
      <c r="F186" s="111">
        <v>5000</v>
      </c>
      <c r="G186" s="111"/>
      <c r="H186" s="39">
        <f t="shared" si="56"/>
        <v>181000</v>
      </c>
    </row>
    <row r="187" spans="1:8" s="18" customFormat="1" ht="12" customHeight="1" x14ac:dyDescent="0.2">
      <c r="A187" s="33"/>
      <c r="B187" s="37"/>
      <c r="C187" s="53">
        <v>4580</v>
      </c>
      <c r="D187" s="115" t="s">
        <v>174</v>
      </c>
      <c r="E187" s="48">
        <v>29500</v>
      </c>
      <c r="F187" s="48"/>
      <c r="G187" s="48">
        <v>10000</v>
      </c>
      <c r="H187" s="43">
        <f t="shared" si="56"/>
        <v>19500</v>
      </c>
    </row>
    <row r="188" spans="1:8" s="18" customFormat="1" ht="21.6" customHeight="1" x14ac:dyDescent="0.2">
      <c r="A188" s="33"/>
      <c r="B188" s="37"/>
      <c r="C188" s="53">
        <v>4600</v>
      </c>
      <c r="D188" s="69" t="s">
        <v>175</v>
      </c>
      <c r="E188" s="48">
        <v>62000</v>
      </c>
      <c r="F188" s="48"/>
      <c r="G188" s="48">
        <v>15550</v>
      </c>
      <c r="H188" s="43">
        <f t="shared" si="56"/>
        <v>46450</v>
      </c>
    </row>
    <row r="189" spans="1:8" s="18" customFormat="1" ht="12" customHeight="1" x14ac:dyDescent="0.2">
      <c r="A189" s="33"/>
      <c r="B189" s="37"/>
      <c r="C189" s="53">
        <v>4610</v>
      </c>
      <c r="D189" s="116" t="s">
        <v>20</v>
      </c>
      <c r="E189" s="48">
        <v>9000</v>
      </c>
      <c r="F189" s="48"/>
      <c r="G189" s="48">
        <v>2000</v>
      </c>
      <c r="H189" s="43">
        <f t="shared" si="56"/>
        <v>7000</v>
      </c>
    </row>
    <row r="190" spans="1:8" s="18" customFormat="1" ht="24" customHeight="1" x14ac:dyDescent="0.2">
      <c r="A190" s="33"/>
      <c r="B190" s="37"/>
      <c r="C190" s="53">
        <v>4700</v>
      </c>
      <c r="D190" s="117" t="s">
        <v>176</v>
      </c>
      <c r="E190" s="48">
        <v>13200</v>
      </c>
      <c r="F190" s="48">
        <v>550</v>
      </c>
      <c r="G190" s="48"/>
      <c r="H190" s="43">
        <f t="shared" si="56"/>
        <v>13750</v>
      </c>
    </row>
    <row r="191" spans="1:8" s="18" customFormat="1" ht="12" customHeight="1" thickBot="1" x14ac:dyDescent="0.25">
      <c r="A191" s="32">
        <v>700</v>
      </c>
      <c r="B191" s="32"/>
      <c r="C191" s="34"/>
      <c r="D191" s="35" t="s">
        <v>17</v>
      </c>
      <c r="E191" s="31">
        <v>61306384.630000003</v>
      </c>
      <c r="F191" s="36">
        <f>SUM(F192,F198)</f>
        <v>81113.56</v>
      </c>
      <c r="G191" s="36">
        <f>SUM(G192,G198)</f>
        <v>31113.559999999998</v>
      </c>
      <c r="H191" s="31">
        <f t="shared" si="56"/>
        <v>61356384.630000003</v>
      </c>
    </row>
    <row r="192" spans="1:8" s="18" customFormat="1" ht="12" customHeight="1" thickTop="1" x14ac:dyDescent="0.2">
      <c r="A192" s="32"/>
      <c r="B192" s="37">
        <v>70005</v>
      </c>
      <c r="C192" s="27"/>
      <c r="D192" s="38" t="s">
        <v>35</v>
      </c>
      <c r="E192" s="39">
        <v>3270800</v>
      </c>
      <c r="F192" s="40">
        <f>SUM(F193)</f>
        <v>3000</v>
      </c>
      <c r="G192" s="40">
        <f>SUM(G193)</f>
        <v>3000</v>
      </c>
      <c r="H192" s="39">
        <f t="shared" si="56"/>
        <v>3270800</v>
      </c>
    </row>
    <row r="193" spans="1:8" s="18" customFormat="1" ht="12" customHeight="1" x14ac:dyDescent="0.2">
      <c r="A193" s="32"/>
      <c r="B193" s="37"/>
      <c r="C193" s="27"/>
      <c r="D193" s="518" t="s">
        <v>36</v>
      </c>
      <c r="E193" s="524">
        <v>3263800</v>
      </c>
      <c r="F193" s="519">
        <f>SUM(F194:F197)</f>
        <v>3000</v>
      </c>
      <c r="G193" s="519">
        <f>SUM(G194:G197)</f>
        <v>3000</v>
      </c>
      <c r="H193" s="125">
        <f>SUM(E193+F193-G193)</f>
        <v>3263800</v>
      </c>
    </row>
    <row r="194" spans="1:8" s="18" customFormat="1" ht="12" customHeight="1" x14ac:dyDescent="0.2">
      <c r="A194" s="32"/>
      <c r="B194" s="37"/>
      <c r="C194" s="45">
        <v>4300</v>
      </c>
      <c r="D194" s="41" t="s">
        <v>14</v>
      </c>
      <c r="E194" s="48">
        <v>55000</v>
      </c>
      <c r="F194" s="44"/>
      <c r="G194" s="44">
        <v>2000</v>
      </c>
      <c r="H194" s="48">
        <f t="shared" ref="H194:H197" si="57">SUM(E194+F194-G194)</f>
        <v>53000</v>
      </c>
    </row>
    <row r="195" spans="1:8" s="18" customFormat="1" ht="12" customHeight="1" x14ac:dyDescent="0.2">
      <c r="A195" s="32"/>
      <c r="B195" s="37"/>
      <c r="C195" s="45">
        <v>4480</v>
      </c>
      <c r="D195" s="41" t="s">
        <v>177</v>
      </c>
      <c r="E195" s="48">
        <v>21000</v>
      </c>
      <c r="F195" s="44"/>
      <c r="G195" s="44">
        <v>1000</v>
      </c>
      <c r="H195" s="48">
        <f t="shared" si="57"/>
        <v>20000</v>
      </c>
    </row>
    <row r="196" spans="1:8" s="18" customFormat="1" ht="12" customHeight="1" x14ac:dyDescent="0.2">
      <c r="A196" s="32"/>
      <c r="B196" s="37"/>
      <c r="C196" s="53">
        <v>4590</v>
      </c>
      <c r="D196" s="115" t="s">
        <v>178</v>
      </c>
      <c r="E196" s="48">
        <v>580000</v>
      </c>
      <c r="F196" s="44">
        <v>1000</v>
      </c>
      <c r="G196" s="44"/>
      <c r="H196" s="48">
        <f t="shared" si="57"/>
        <v>581000</v>
      </c>
    </row>
    <row r="197" spans="1:8" s="18" customFormat="1" ht="12" customHeight="1" x14ac:dyDescent="0.2">
      <c r="A197" s="32"/>
      <c r="B197" s="37"/>
      <c r="C197" s="45">
        <v>4610</v>
      </c>
      <c r="D197" s="58" t="s">
        <v>20</v>
      </c>
      <c r="E197" s="48">
        <v>26000</v>
      </c>
      <c r="F197" s="44">
        <v>2000</v>
      </c>
      <c r="G197" s="44"/>
      <c r="H197" s="48">
        <f t="shared" si="57"/>
        <v>28000</v>
      </c>
    </row>
    <row r="198" spans="1:8" s="18" customFormat="1" ht="12" customHeight="1" x14ac:dyDescent="0.2">
      <c r="A198" s="22"/>
      <c r="B198" s="46">
        <v>70007</v>
      </c>
      <c r="C198" s="75"/>
      <c r="D198" s="76" t="s">
        <v>179</v>
      </c>
      <c r="E198" s="39">
        <v>32768084.630000003</v>
      </c>
      <c r="F198" s="40">
        <f>SUM(F199)</f>
        <v>78113.56</v>
      </c>
      <c r="G198" s="40">
        <f>SUM(G199)</f>
        <v>28113.559999999998</v>
      </c>
      <c r="H198" s="39">
        <f t="shared" si="56"/>
        <v>32818084.630000003</v>
      </c>
    </row>
    <row r="199" spans="1:8" s="18" customFormat="1" ht="12" customHeight="1" x14ac:dyDescent="0.2">
      <c r="A199" s="22"/>
      <c r="B199" s="45"/>
      <c r="C199" s="27"/>
      <c r="D199" s="525" t="s">
        <v>180</v>
      </c>
      <c r="E199" s="524">
        <v>32651684.630000003</v>
      </c>
      <c r="F199" s="519">
        <f>SUM(F200:F208)</f>
        <v>78113.56</v>
      </c>
      <c r="G199" s="519">
        <f>SUM(G200:G208)</f>
        <v>28113.559999999998</v>
      </c>
      <c r="H199" s="125">
        <f>SUM(E199+F199-G199)</f>
        <v>32701684.630000003</v>
      </c>
    </row>
    <row r="200" spans="1:8" s="18" customFormat="1" ht="12" customHeight="1" x14ac:dyDescent="0.2">
      <c r="A200" s="22"/>
      <c r="B200" s="45"/>
      <c r="C200" s="45">
        <v>3020</v>
      </c>
      <c r="D200" s="41" t="s">
        <v>181</v>
      </c>
      <c r="E200" s="48">
        <v>7237</v>
      </c>
      <c r="F200" s="44"/>
      <c r="G200" s="44">
        <v>835.92</v>
      </c>
      <c r="H200" s="48">
        <f t="shared" ref="H200:H208" si="58">SUM(E200+F200-G200)</f>
        <v>6401.08</v>
      </c>
    </row>
    <row r="201" spans="1:8" s="18" customFormat="1" ht="20.45" customHeight="1" x14ac:dyDescent="0.2">
      <c r="A201" s="22"/>
      <c r="B201" s="45"/>
      <c r="C201" s="118">
        <v>4140</v>
      </c>
      <c r="D201" s="119" t="s">
        <v>182</v>
      </c>
      <c r="E201" s="48">
        <v>10768</v>
      </c>
      <c r="F201" s="44"/>
      <c r="G201" s="44">
        <v>4768</v>
      </c>
      <c r="H201" s="48">
        <f t="shared" si="58"/>
        <v>6000</v>
      </c>
    </row>
    <row r="202" spans="1:8" s="18" customFormat="1" ht="12" customHeight="1" x14ac:dyDescent="0.2">
      <c r="A202" s="22"/>
      <c r="B202" s="45"/>
      <c r="C202" s="9">
        <v>4170</v>
      </c>
      <c r="D202" s="11" t="s">
        <v>32</v>
      </c>
      <c r="E202" s="48">
        <v>50195</v>
      </c>
      <c r="F202" s="44"/>
      <c r="G202" s="44">
        <v>7000</v>
      </c>
      <c r="H202" s="48">
        <f t="shared" si="58"/>
        <v>43195</v>
      </c>
    </row>
    <row r="203" spans="1:8" s="18" customFormat="1" ht="12" customHeight="1" x14ac:dyDescent="0.2">
      <c r="A203" s="22"/>
      <c r="B203" s="45"/>
      <c r="C203" s="45">
        <v>4300</v>
      </c>
      <c r="D203" s="41" t="s">
        <v>14</v>
      </c>
      <c r="E203" s="48">
        <v>3779782</v>
      </c>
      <c r="F203" s="44">
        <v>26813.56</v>
      </c>
      <c r="G203" s="44"/>
      <c r="H203" s="48">
        <f t="shared" si="58"/>
        <v>3806595.56</v>
      </c>
    </row>
    <row r="204" spans="1:8" s="18" customFormat="1" ht="12" customHeight="1" x14ac:dyDescent="0.2">
      <c r="A204" s="22"/>
      <c r="B204" s="45"/>
      <c r="C204" s="45">
        <v>4480</v>
      </c>
      <c r="D204" s="41" t="s">
        <v>177</v>
      </c>
      <c r="E204" s="48">
        <v>157560</v>
      </c>
      <c r="F204" s="44">
        <v>1300</v>
      </c>
      <c r="G204" s="44"/>
      <c r="H204" s="48">
        <f t="shared" si="58"/>
        <v>158860</v>
      </c>
    </row>
    <row r="205" spans="1:8" s="18" customFormat="1" ht="21" customHeight="1" x14ac:dyDescent="0.2">
      <c r="A205" s="22"/>
      <c r="B205" s="45"/>
      <c r="C205" s="118">
        <v>4600</v>
      </c>
      <c r="D205" s="119" t="s">
        <v>175</v>
      </c>
      <c r="E205" s="48">
        <v>2050</v>
      </c>
      <c r="F205" s="44"/>
      <c r="G205" s="44">
        <v>1000</v>
      </c>
      <c r="H205" s="48">
        <f t="shared" si="58"/>
        <v>1050</v>
      </c>
    </row>
    <row r="206" spans="1:8" s="18" customFormat="1" ht="12" customHeight="1" x14ac:dyDescent="0.2">
      <c r="A206" s="22"/>
      <c r="B206" s="45"/>
      <c r="C206" s="9">
        <v>4610</v>
      </c>
      <c r="D206" s="11" t="s">
        <v>20</v>
      </c>
      <c r="E206" s="48">
        <v>30200</v>
      </c>
      <c r="F206" s="44"/>
      <c r="G206" s="44">
        <v>12417.07</v>
      </c>
      <c r="H206" s="48">
        <f t="shared" si="58"/>
        <v>17782.93</v>
      </c>
    </row>
    <row r="207" spans="1:8" s="18" customFormat="1" ht="12" customHeight="1" x14ac:dyDescent="0.2">
      <c r="A207" s="22"/>
      <c r="B207" s="45"/>
      <c r="C207" s="9">
        <v>4710</v>
      </c>
      <c r="D207" s="11" t="s">
        <v>33</v>
      </c>
      <c r="E207" s="48">
        <v>2614</v>
      </c>
      <c r="F207" s="44"/>
      <c r="G207" s="44">
        <v>2092.5700000000002</v>
      </c>
      <c r="H207" s="48">
        <f t="shared" si="58"/>
        <v>521.42999999999984</v>
      </c>
    </row>
    <row r="208" spans="1:8" s="18" customFormat="1" ht="12" customHeight="1" x14ac:dyDescent="0.2">
      <c r="A208" s="22"/>
      <c r="B208" s="45"/>
      <c r="C208" s="53">
        <v>6050</v>
      </c>
      <c r="D208" s="115" t="s">
        <v>183</v>
      </c>
      <c r="E208" s="48">
        <v>2850000</v>
      </c>
      <c r="F208" s="48">
        <v>50000</v>
      </c>
      <c r="G208" s="48"/>
      <c r="H208" s="48">
        <f t="shared" si="58"/>
        <v>2900000</v>
      </c>
    </row>
    <row r="209" spans="1:8" s="18" customFormat="1" ht="12" customHeight="1" thickBot="1" x14ac:dyDescent="0.25">
      <c r="A209" s="32">
        <v>750</v>
      </c>
      <c r="B209" s="32"/>
      <c r="C209" s="34"/>
      <c r="D209" s="35" t="s">
        <v>19</v>
      </c>
      <c r="E209" s="31">
        <v>83381235.080000013</v>
      </c>
      <c r="F209" s="36">
        <f>SUM(F210,F227,F232,F236)</f>
        <v>365417.2</v>
      </c>
      <c r="G209" s="36">
        <f>SUM(G210,G227,G232,G236)</f>
        <v>342622</v>
      </c>
      <c r="H209" s="120">
        <f t="shared" ref="H209:H219" si="59">SUM(E209+F209-G209)</f>
        <v>83404030.280000016</v>
      </c>
    </row>
    <row r="210" spans="1:8" s="18" customFormat="1" ht="12" customHeight="1" thickTop="1" x14ac:dyDescent="0.2">
      <c r="A210" s="32"/>
      <c r="B210" s="27" t="s">
        <v>184</v>
      </c>
      <c r="C210" s="45"/>
      <c r="D210" s="38" t="s">
        <v>185</v>
      </c>
      <c r="E210" s="39">
        <v>31982169.280000001</v>
      </c>
      <c r="F210" s="39">
        <f>SUM(F211,F221,F224)</f>
        <v>253818</v>
      </c>
      <c r="G210" s="39">
        <f>SUM(G211,G221,G224)</f>
        <v>267818</v>
      </c>
      <c r="H210" s="39">
        <f t="shared" si="59"/>
        <v>31968169.280000001</v>
      </c>
    </row>
    <row r="211" spans="1:8" s="18" customFormat="1" ht="12" customHeight="1" x14ac:dyDescent="0.2">
      <c r="A211" s="32"/>
      <c r="B211" s="45"/>
      <c r="C211" s="45"/>
      <c r="D211" s="518" t="s">
        <v>186</v>
      </c>
      <c r="E211" s="125">
        <v>27804590.690000001</v>
      </c>
      <c r="F211" s="524">
        <f>SUM(F212:F219)</f>
        <v>173000</v>
      </c>
      <c r="G211" s="524">
        <f>SUM(G212:G219)</f>
        <v>187000</v>
      </c>
      <c r="H211" s="524">
        <f t="shared" si="59"/>
        <v>27790590.690000001</v>
      </c>
    </row>
    <row r="212" spans="1:8" s="18" customFormat="1" ht="12" customHeight="1" x14ac:dyDescent="0.2">
      <c r="A212" s="32"/>
      <c r="B212" s="45"/>
      <c r="C212" s="45">
        <v>3020</v>
      </c>
      <c r="D212" s="41" t="s">
        <v>181</v>
      </c>
      <c r="E212" s="48">
        <v>90100</v>
      </c>
      <c r="F212" s="48">
        <v>13500</v>
      </c>
      <c r="G212" s="48"/>
      <c r="H212" s="42">
        <f t="shared" si="59"/>
        <v>103600</v>
      </c>
    </row>
    <row r="213" spans="1:8" s="18" customFormat="1" ht="12" customHeight="1" x14ac:dyDescent="0.2">
      <c r="A213" s="32"/>
      <c r="B213" s="45"/>
      <c r="C213" s="45">
        <v>4040</v>
      </c>
      <c r="D213" s="41" t="s">
        <v>187</v>
      </c>
      <c r="E213" s="48">
        <v>1367203</v>
      </c>
      <c r="F213" s="48"/>
      <c r="G213" s="48">
        <v>80000</v>
      </c>
      <c r="H213" s="42">
        <f t="shared" si="59"/>
        <v>1287203</v>
      </c>
    </row>
    <row r="214" spans="1:8" s="18" customFormat="1" ht="21.75" customHeight="1" x14ac:dyDescent="0.2">
      <c r="A214" s="32"/>
      <c r="B214" s="45"/>
      <c r="C214" s="121">
        <v>4140</v>
      </c>
      <c r="D214" s="117" t="s">
        <v>182</v>
      </c>
      <c r="E214" s="44">
        <v>228142</v>
      </c>
      <c r="F214" s="44"/>
      <c r="G214" s="44">
        <v>30000</v>
      </c>
      <c r="H214" s="42">
        <f t="shared" si="59"/>
        <v>198142</v>
      </c>
    </row>
    <row r="215" spans="1:8" s="18" customFormat="1" ht="12" customHeight="1" x14ac:dyDescent="0.2">
      <c r="A215" s="32"/>
      <c r="B215" s="45"/>
      <c r="C215" s="122">
        <v>4170</v>
      </c>
      <c r="D215" s="123" t="s">
        <v>32</v>
      </c>
      <c r="E215" s="44">
        <v>164742</v>
      </c>
      <c r="F215" s="44"/>
      <c r="G215" s="44">
        <v>25000</v>
      </c>
      <c r="H215" s="42">
        <f t="shared" si="59"/>
        <v>139742</v>
      </c>
    </row>
    <row r="216" spans="1:8" s="18" customFormat="1" ht="12" customHeight="1" x14ac:dyDescent="0.2">
      <c r="A216" s="32"/>
      <c r="B216" s="45"/>
      <c r="C216" s="45">
        <v>4260</v>
      </c>
      <c r="D216" s="41" t="s">
        <v>188</v>
      </c>
      <c r="E216" s="44">
        <v>828000</v>
      </c>
      <c r="F216" s="44">
        <v>70000</v>
      </c>
      <c r="G216" s="44"/>
      <c r="H216" s="42">
        <f t="shared" si="59"/>
        <v>898000</v>
      </c>
    </row>
    <row r="217" spans="1:8" s="18" customFormat="1" ht="12" customHeight="1" x14ac:dyDescent="0.2">
      <c r="A217" s="32"/>
      <c r="B217" s="45"/>
      <c r="C217" s="37">
        <v>4300</v>
      </c>
      <c r="D217" s="41" t="s">
        <v>14</v>
      </c>
      <c r="E217" s="44">
        <v>953303.69</v>
      </c>
      <c r="F217" s="44">
        <v>89500</v>
      </c>
      <c r="G217" s="44"/>
      <c r="H217" s="42">
        <f t="shared" si="59"/>
        <v>1042803.69</v>
      </c>
    </row>
    <row r="218" spans="1:8" s="18" customFormat="1" ht="12" customHeight="1" x14ac:dyDescent="0.2">
      <c r="A218" s="32"/>
      <c r="B218" s="45"/>
      <c r="C218" s="45">
        <v>4610</v>
      </c>
      <c r="D218" s="58" t="s">
        <v>20</v>
      </c>
      <c r="E218" s="44">
        <v>72470</v>
      </c>
      <c r="F218" s="44"/>
      <c r="G218" s="44">
        <v>42000</v>
      </c>
      <c r="H218" s="42">
        <f t="shared" si="59"/>
        <v>30470</v>
      </c>
    </row>
    <row r="219" spans="1:8" s="18" customFormat="1" ht="21.75" customHeight="1" x14ac:dyDescent="0.2">
      <c r="A219" s="32"/>
      <c r="B219" s="45"/>
      <c r="C219" s="53">
        <v>4700</v>
      </c>
      <c r="D219" s="117" t="s">
        <v>176</v>
      </c>
      <c r="E219" s="44">
        <v>71546</v>
      </c>
      <c r="F219" s="44"/>
      <c r="G219" s="44">
        <v>10000</v>
      </c>
      <c r="H219" s="42">
        <f t="shared" si="59"/>
        <v>61546</v>
      </c>
    </row>
    <row r="220" spans="1:8" s="18" customFormat="1" ht="12" customHeight="1" x14ac:dyDescent="0.2">
      <c r="A220" s="32"/>
      <c r="B220" s="45"/>
      <c r="C220" s="53"/>
      <c r="D220" s="11" t="s">
        <v>189</v>
      </c>
      <c r="E220" s="44"/>
      <c r="F220" s="44"/>
      <c r="G220" s="44"/>
      <c r="H220" s="42"/>
    </row>
    <row r="221" spans="1:8" s="18" customFormat="1" ht="12" customHeight="1" x14ac:dyDescent="0.2">
      <c r="A221" s="32"/>
      <c r="B221" s="45"/>
      <c r="C221" s="27"/>
      <c r="D221" s="525" t="s">
        <v>190</v>
      </c>
      <c r="E221" s="524">
        <v>3395993</v>
      </c>
      <c r="F221" s="519">
        <f>SUM(F222:F223)</f>
        <v>70000</v>
      </c>
      <c r="G221" s="519">
        <f>SUM(G222:G223)</f>
        <v>70000</v>
      </c>
      <c r="H221" s="125">
        <f>SUM(E221+F221-G221)</f>
        <v>3395993</v>
      </c>
    </row>
    <row r="222" spans="1:8" s="18" customFormat="1" ht="12" customHeight="1" x14ac:dyDescent="0.2">
      <c r="A222" s="32"/>
      <c r="B222" s="45"/>
      <c r="C222" s="9" t="s">
        <v>170</v>
      </c>
      <c r="D222" s="11" t="s">
        <v>13</v>
      </c>
      <c r="E222" s="48">
        <v>637750</v>
      </c>
      <c r="F222" s="44"/>
      <c r="G222" s="44">
        <v>70000</v>
      </c>
      <c r="H222" s="48">
        <f t="shared" ref="H222:H226" si="60">SUM(E222+F222-G222)</f>
        <v>567750</v>
      </c>
    </row>
    <row r="223" spans="1:8" s="18" customFormat="1" ht="12" customHeight="1" x14ac:dyDescent="0.2">
      <c r="A223" s="32"/>
      <c r="B223" s="45"/>
      <c r="C223" s="45">
        <v>4300</v>
      </c>
      <c r="D223" s="41" t="s">
        <v>14</v>
      </c>
      <c r="E223" s="48">
        <v>826723</v>
      </c>
      <c r="F223" s="44">
        <v>70000</v>
      </c>
      <c r="G223" s="44"/>
      <c r="H223" s="48">
        <f t="shared" si="60"/>
        <v>896723</v>
      </c>
    </row>
    <row r="224" spans="1:8" s="18" customFormat="1" ht="21.75" customHeight="1" x14ac:dyDescent="0.2">
      <c r="A224" s="32"/>
      <c r="B224" s="45"/>
      <c r="C224" s="45"/>
      <c r="D224" s="526" t="s">
        <v>191</v>
      </c>
      <c r="E224" s="524">
        <v>100000</v>
      </c>
      <c r="F224" s="527">
        <f>SUM(F225:F226)</f>
        <v>10818</v>
      </c>
      <c r="G224" s="527">
        <f>SUM(G225:G226)</f>
        <v>10818</v>
      </c>
      <c r="H224" s="125">
        <f t="shared" si="60"/>
        <v>100000</v>
      </c>
    </row>
    <row r="225" spans="1:8" s="18" customFormat="1" ht="21" customHeight="1" x14ac:dyDescent="0.2">
      <c r="A225" s="32"/>
      <c r="B225" s="45"/>
      <c r="C225" s="53">
        <v>4397</v>
      </c>
      <c r="D225" s="54" t="s">
        <v>23</v>
      </c>
      <c r="E225" s="44">
        <v>15000</v>
      </c>
      <c r="F225" s="48"/>
      <c r="G225" s="48">
        <v>10818</v>
      </c>
      <c r="H225" s="43">
        <f t="shared" si="60"/>
        <v>4182</v>
      </c>
    </row>
    <row r="226" spans="1:8" s="18" customFormat="1" ht="21" customHeight="1" x14ac:dyDescent="0.2">
      <c r="A226" s="32"/>
      <c r="B226" s="45"/>
      <c r="C226" s="53">
        <v>4707</v>
      </c>
      <c r="D226" s="119" t="s">
        <v>192</v>
      </c>
      <c r="E226" s="44">
        <v>8248</v>
      </c>
      <c r="F226" s="48">
        <v>10818</v>
      </c>
      <c r="G226" s="48"/>
      <c r="H226" s="43">
        <f t="shared" si="60"/>
        <v>19066</v>
      </c>
    </row>
    <row r="227" spans="1:8" s="18" customFormat="1" ht="12" customHeight="1" x14ac:dyDescent="0.2">
      <c r="A227" s="32"/>
      <c r="B227" s="46">
        <v>75079</v>
      </c>
      <c r="C227" s="46"/>
      <c r="D227" s="67" t="s">
        <v>75</v>
      </c>
      <c r="E227" s="39">
        <v>50000</v>
      </c>
      <c r="F227" s="40">
        <f t="shared" ref="F227:G227" si="61">SUM(F228)</f>
        <v>64795.199999999997</v>
      </c>
      <c r="G227" s="40">
        <f t="shared" si="61"/>
        <v>42000</v>
      </c>
      <c r="H227" s="39">
        <f>SUM(E227+F227-G227)</f>
        <v>72795.199999999997</v>
      </c>
    </row>
    <row r="228" spans="1:8" s="18" customFormat="1" ht="12" customHeight="1" x14ac:dyDescent="0.2">
      <c r="A228" s="32"/>
      <c r="B228" s="37"/>
      <c r="C228" s="27"/>
      <c r="D228" s="518" t="s">
        <v>76</v>
      </c>
      <c r="E228" s="125">
        <v>50000</v>
      </c>
      <c r="F228" s="519">
        <f>SUM(F229:F231)</f>
        <v>64795.199999999997</v>
      </c>
      <c r="G228" s="519">
        <f>SUM(G229:G231)</f>
        <v>42000</v>
      </c>
      <c r="H228" s="125">
        <f t="shared" ref="H228:H231" si="62">SUM(E228+F228-G228)</f>
        <v>72795.199999999997</v>
      </c>
    </row>
    <row r="229" spans="1:8" s="18" customFormat="1" ht="21" customHeight="1" x14ac:dyDescent="0.2">
      <c r="A229" s="32"/>
      <c r="B229" s="33"/>
      <c r="C229" s="118" t="s">
        <v>193</v>
      </c>
      <c r="D229" s="119" t="s">
        <v>194</v>
      </c>
      <c r="E229" s="70">
        <v>50000</v>
      </c>
      <c r="F229" s="70"/>
      <c r="G229" s="71">
        <v>42000</v>
      </c>
      <c r="H229" s="70">
        <f t="shared" si="62"/>
        <v>8000</v>
      </c>
    </row>
    <row r="230" spans="1:8" s="18" customFormat="1" ht="12" customHeight="1" x14ac:dyDescent="0.2">
      <c r="A230" s="32"/>
      <c r="B230" s="45"/>
      <c r="C230" s="37">
        <v>4370</v>
      </c>
      <c r="D230" s="37" t="s">
        <v>195</v>
      </c>
      <c r="E230" s="44">
        <v>0</v>
      </c>
      <c r="F230" s="48">
        <v>22795.200000000001</v>
      </c>
      <c r="G230" s="48"/>
      <c r="H230" s="43">
        <f t="shared" si="62"/>
        <v>22795.200000000001</v>
      </c>
    </row>
    <row r="231" spans="1:8" s="18" customFormat="1" ht="21" customHeight="1" x14ac:dyDescent="0.2">
      <c r="A231" s="32"/>
      <c r="B231" s="45"/>
      <c r="C231" s="124">
        <v>6490</v>
      </c>
      <c r="D231" s="54" t="s">
        <v>196</v>
      </c>
      <c r="E231" s="44">
        <v>0</v>
      </c>
      <c r="F231" s="48">
        <v>42000</v>
      </c>
      <c r="G231" s="48"/>
      <c r="H231" s="43">
        <f t="shared" si="62"/>
        <v>42000</v>
      </c>
    </row>
    <row r="232" spans="1:8" s="18" customFormat="1" ht="12" customHeight="1" x14ac:dyDescent="0.2">
      <c r="A232" s="37"/>
      <c r="B232" s="27" t="s">
        <v>197</v>
      </c>
      <c r="C232" s="45"/>
      <c r="D232" s="38" t="s">
        <v>198</v>
      </c>
      <c r="E232" s="39">
        <v>6537289</v>
      </c>
      <c r="F232" s="40">
        <f>SUM(F233)</f>
        <v>3304</v>
      </c>
      <c r="G232" s="40">
        <f>SUM(G233)</f>
        <v>3304</v>
      </c>
      <c r="H232" s="39">
        <f>SUM(E232+F232-G232)</f>
        <v>6537289</v>
      </c>
    </row>
    <row r="233" spans="1:8" s="18" customFormat="1" ht="11.25" customHeight="1" x14ac:dyDescent="0.2">
      <c r="A233" s="37"/>
      <c r="B233" s="27"/>
      <c r="C233" s="27"/>
      <c r="D233" s="518" t="s">
        <v>199</v>
      </c>
      <c r="E233" s="524">
        <v>6537289</v>
      </c>
      <c r="F233" s="519">
        <f>SUM(F234:F235)</f>
        <v>3304</v>
      </c>
      <c r="G233" s="519">
        <f>SUM(G234:G235)</f>
        <v>3304</v>
      </c>
      <c r="H233" s="125">
        <f>SUM(E233+F233-G233)</f>
        <v>6537289</v>
      </c>
    </row>
    <row r="234" spans="1:8" s="18" customFormat="1" ht="12" customHeight="1" x14ac:dyDescent="0.2">
      <c r="A234" s="37"/>
      <c r="B234" s="27"/>
      <c r="C234" s="45">
        <v>4120</v>
      </c>
      <c r="D234" s="41" t="s">
        <v>30</v>
      </c>
      <c r="E234" s="48">
        <v>103210</v>
      </c>
      <c r="F234" s="44"/>
      <c r="G234" s="44">
        <v>3304</v>
      </c>
      <c r="H234" s="48">
        <f t="shared" ref="H234:H238" si="63">SUM(E234+F234-G234)</f>
        <v>99906</v>
      </c>
    </row>
    <row r="235" spans="1:8" s="18" customFormat="1" ht="12" customHeight="1" x14ac:dyDescent="0.2">
      <c r="A235" s="37"/>
      <c r="B235" s="27"/>
      <c r="C235" s="45">
        <v>4440</v>
      </c>
      <c r="D235" s="41" t="s">
        <v>200</v>
      </c>
      <c r="E235" s="48">
        <v>839370</v>
      </c>
      <c r="F235" s="44">
        <v>3304</v>
      </c>
      <c r="G235" s="44"/>
      <c r="H235" s="48">
        <f t="shared" si="63"/>
        <v>842674</v>
      </c>
    </row>
    <row r="236" spans="1:8" s="18" customFormat="1" ht="12" customHeight="1" x14ac:dyDescent="0.2">
      <c r="A236" s="37"/>
      <c r="B236" s="27" t="s">
        <v>22</v>
      </c>
      <c r="C236" s="45"/>
      <c r="D236" s="38" t="s">
        <v>10</v>
      </c>
      <c r="E236" s="39">
        <v>35900475.170000002</v>
      </c>
      <c r="F236" s="39">
        <f>SUM(F237,F239)</f>
        <v>43500</v>
      </c>
      <c r="G236" s="39">
        <f>SUM(G237,G239)</f>
        <v>29500</v>
      </c>
      <c r="H236" s="39">
        <f t="shared" si="63"/>
        <v>35914475.170000002</v>
      </c>
    </row>
    <row r="237" spans="1:8" s="18" customFormat="1" ht="12" customHeight="1" x14ac:dyDescent="0.2">
      <c r="A237" s="37"/>
      <c r="B237" s="45"/>
      <c r="C237" s="45"/>
      <c r="D237" s="518" t="s">
        <v>186</v>
      </c>
      <c r="E237" s="125">
        <v>157461</v>
      </c>
      <c r="F237" s="524">
        <f>SUM(F238)</f>
        <v>14000</v>
      </c>
      <c r="G237" s="524">
        <f>SUM(G238)</f>
        <v>0</v>
      </c>
      <c r="H237" s="524">
        <f t="shared" si="63"/>
        <v>171461</v>
      </c>
    </row>
    <row r="238" spans="1:8" s="18" customFormat="1" ht="12" customHeight="1" x14ac:dyDescent="0.2">
      <c r="A238" s="113"/>
      <c r="B238" s="114"/>
      <c r="C238" s="113">
        <v>4300</v>
      </c>
      <c r="D238" s="38" t="s">
        <v>14</v>
      </c>
      <c r="E238" s="111">
        <v>146278</v>
      </c>
      <c r="F238" s="111">
        <v>14000</v>
      </c>
      <c r="G238" s="111"/>
      <c r="H238" s="40">
        <f t="shared" si="63"/>
        <v>160278</v>
      </c>
    </row>
    <row r="239" spans="1:8" s="18" customFormat="1" ht="12" customHeight="1" x14ac:dyDescent="0.2">
      <c r="A239" s="37"/>
      <c r="B239" s="45"/>
      <c r="C239" s="27"/>
      <c r="D239" s="525" t="s">
        <v>201</v>
      </c>
      <c r="E239" s="125">
        <v>268793</v>
      </c>
      <c r="F239" s="519">
        <f>SUM(F240:F241)</f>
        <v>29500</v>
      </c>
      <c r="G239" s="519">
        <f>SUM(G240:G241)</f>
        <v>29500</v>
      </c>
      <c r="H239" s="125">
        <f>SUM(E239+F239-G239)</f>
        <v>268793</v>
      </c>
    </row>
    <row r="240" spans="1:8" s="18" customFormat="1" ht="12" customHeight="1" x14ac:dyDescent="0.2">
      <c r="A240" s="37"/>
      <c r="B240" s="45"/>
      <c r="C240" s="9" t="s">
        <v>202</v>
      </c>
      <c r="D240" s="11" t="s">
        <v>203</v>
      </c>
      <c r="E240" s="48">
        <v>0</v>
      </c>
      <c r="F240" s="44">
        <v>29500</v>
      </c>
      <c r="G240" s="44"/>
      <c r="H240" s="48">
        <f t="shared" ref="H240:H241" si="64">SUM(E240+F240-G240)</f>
        <v>29500</v>
      </c>
    </row>
    <row r="241" spans="1:8" s="18" customFormat="1" ht="12" customHeight="1" x14ac:dyDescent="0.2">
      <c r="A241" s="37"/>
      <c r="B241" s="45"/>
      <c r="C241" s="45">
        <v>4300</v>
      </c>
      <c r="D241" s="41" t="s">
        <v>14</v>
      </c>
      <c r="E241" s="48">
        <v>260000</v>
      </c>
      <c r="F241" s="44"/>
      <c r="G241" s="44">
        <v>29500</v>
      </c>
      <c r="H241" s="48">
        <f t="shared" si="64"/>
        <v>230500</v>
      </c>
    </row>
    <row r="242" spans="1:8" s="18" customFormat="1" ht="12" customHeight="1" x14ac:dyDescent="0.2">
      <c r="A242" s="126">
        <v>754</v>
      </c>
      <c r="B242" s="127"/>
      <c r="C242" s="128"/>
      <c r="D242" s="129" t="s">
        <v>204</v>
      </c>
      <c r="E242" s="44"/>
      <c r="F242" s="48"/>
      <c r="G242" s="48"/>
      <c r="H242" s="43"/>
    </row>
    <row r="243" spans="1:8" s="18" customFormat="1" ht="12" customHeight="1" thickBot="1" x14ac:dyDescent="0.25">
      <c r="A243" s="126"/>
      <c r="B243" s="127"/>
      <c r="C243" s="128"/>
      <c r="D243" s="129" t="s">
        <v>80</v>
      </c>
      <c r="E243" s="31">
        <v>6963522.1699999999</v>
      </c>
      <c r="F243" s="36">
        <f>SUM(F244)</f>
        <v>15555</v>
      </c>
      <c r="G243" s="36">
        <f>SUM(G244)</f>
        <v>15555</v>
      </c>
      <c r="H243" s="31">
        <f>SUM(E243+F243-G243)</f>
        <v>6963522.1699999999</v>
      </c>
    </row>
    <row r="244" spans="1:8" s="18" customFormat="1" ht="12" customHeight="1" thickTop="1" x14ac:dyDescent="0.2">
      <c r="A244" s="126"/>
      <c r="B244" s="10">
        <v>75416</v>
      </c>
      <c r="C244" s="46"/>
      <c r="D244" s="67" t="s">
        <v>205</v>
      </c>
      <c r="E244" s="39">
        <v>5644391</v>
      </c>
      <c r="F244" s="40">
        <f>SUM(F245,F248)</f>
        <v>15555</v>
      </c>
      <c r="G244" s="40">
        <f>SUM(G245,G248)</f>
        <v>15555</v>
      </c>
      <c r="H244" s="39">
        <f>SUM(E244+F244-G244)</f>
        <v>5644391</v>
      </c>
    </row>
    <row r="245" spans="1:8" s="18" customFormat="1" ht="12" customHeight="1" x14ac:dyDescent="0.2">
      <c r="A245" s="126"/>
      <c r="B245" s="10"/>
      <c r="C245" s="46"/>
      <c r="D245" s="528" t="s">
        <v>206</v>
      </c>
      <c r="E245" s="524">
        <v>4424802</v>
      </c>
      <c r="F245" s="519">
        <f>SUM(F246:F247)</f>
        <v>11075</v>
      </c>
      <c r="G245" s="519">
        <f>SUM(G246:G247)</f>
        <v>11075</v>
      </c>
      <c r="H245" s="125">
        <f>SUM(E245+F245-G245)</f>
        <v>4424802</v>
      </c>
    </row>
    <row r="246" spans="1:8" s="18" customFormat="1" ht="21.75" customHeight="1" x14ac:dyDescent="0.2">
      <c r="A246" s="126"/>
      <c r="B246" s="10"/>
      <c r="C246" s="121">
        <v>4140</v>
      </c>
      <c r="D246" s="117" t="s">
        <v>182</v>
      </c>
      <c r="E246" s="48">
        <v>36000</v>
      </c>
      <c r="F246" s="44"/>
      <c r="G246" s="44">
        <v>11075</v>
      </c>
      <c r="H246" s="48">
        <f t="shared" ref="H246:H250" si="65">SUM(E246+F246-G246)</f>
        <v>24925</v>
      </c>
    </row>
    <row r="247" spans="1:8" s="18" customFormat="1" ht="12" customHeight="1" x14ac:dyDescent="0.2">
      <c r="A247" s="126"/>
      <c r="B247" s="27"/>
      <c r="C247" s="45">
        <v>4260</v>
      </c>
      <c r="D247" s="41" t="s">
        <v>188</v>
      </c>
      <c r="E247" s="130">
        <v>50792</v>
      </c>
      <c r="F247" s="130">
        <v>11075</v>
      </c>
      <c r="G247" s="130"/>
      <c r="H247" s="43">
        <f t="shared" si="65"/>
        <v>61867</v>
      </c>
    </row>
    <row r="248" spans="1:8" s="18" customFormat="1" ht="12" customHeight="1" x14ac:dyDescent="0.2">
      <c r="A248" s="126"/>
      <c r="B248" s="10"/>
      <c r="C248" s="46"/>
      <c r="D248" s="529" t="s">
        <v>207</v>
      </c>
      <c r="E248" s="125">
        <v>854589</v>
      </c>
      <c r="F248" s="519">
        <f>SUM(F249:F250)</f>
        <v>4480</v>
      </c>
      <c r="G248" s="519">
        <f>SUM(G249:G250)</f>
        <v>4480</v>
      </c>
      <c r="H248" s="524">
        <f>SUM(E248+F248-G248)</f>
        <v>854589</v>
      </c>
    </row>
    <row r="249" spans="1:8" s="18" customFormat="1" ht="22.5" customHeight="1" x14ac:dyDescent="0.2">
      <c r="A249" s="126"/>
      <c r="B249" s="10"/>
      <c r="C249" s="121">
        <v>4140</v>
      </c>
      <c r="D249" s="117" t="s">
        <v>182</v>
      </c>
      <c r="E249" s="48">
        <v>9800</v>
      </c>
      <c r="F249" s="44"/>
      <c r="G249" s="44">
        <v>4480</v>
      </c>
      <c r="H249" s="48">
        <f t="shared" si="65"/>
        <v>5320</v>
      </c>
    </row>
    <row r="250" spans="1:8" s="18" customFormat="1" ht="12" customHeight="1" x14ac:dyDescent="0.2">
      <c r="A250" s="126"/>
      <c r="B250" s="27"/>
      <c r="C250" s="45">
        <v>4260</v>
      </c>
      <c r="D250" s="41" t="s">
        <v>188</v>
      </c>
      <c r="E250" s="130">
        <v>59572</v>
      </c>
      <c r="F250" s="130">
        <v>4480</v>
      </c>
      <c r="G250" s="130"/>
      <c r="H250" s="43">
        <f t="shared" si="65"/>
        <v>64052</v>
      </c>
    </row>
    <row r="251" spans="1:8" s="18" customFormat="1" ht="12" customHeight="1" thickBot="1" x14ac:dyDescent="0.25">
      <c r="A251" s="33">
        <v>758</v>
      </c>
      <c r="B251" s="33"/>
      <c r="C251" s="34"/>
      <c r="D251" s="35" t="s">
        <v>84</v>
      </c>
      <c r="E251" s="31">
        <v>13236054.719999999</v>
      </c>
      <c r="F251" s="36">
        <f>SUM(F252)</f>
        <v>0</v>
      </c>
      <c r="G251" s="36">
        <f>SUM(G252)</f>
        <v>50000</v>
      </c>
      <c r="H251" s="31">
        <f>SUM(E251+F251-G251)</f>
        <v>13186054.719999999</v>
      </c>
    </row>
    <row r="252" spans="1:8" s="18" customFormat="1" ht="12" customHeight="1" thickTop="1" x14ac:dyDescent="0.2">
      <c r="A252" s="66"/>
      <c r="B252" s="37">
        <v>75818</v>
      </c>
      <c r="C252" s="27"/>
      <c r="D252" s="97" t="s">
        <v>208</v>
      </c>
      <c r="E252" s="39">
        <v>13236054.719999999</v>
      </c>
      <c r="F252" s="40">
        <f>SUM(F253)</f>
        <v>0</v>
      </c>
      <c r="G252" s="40">
        <f>SUM(G253)</f>
        <v>50000</v>
      </c>
      <c r="H252" s="39">
        <f>SUM(E252+F252-G252)</f>
        <v>13186054.719999999</v>
      </c>
    </row>
    <row r="253" spans="1:8" s="18" customFormat="1" ht="12" customHeight="1" x14ac:dyDescent="0.2">
      <c r="A253" s="66"/>
      <c r="B253" s="37"/>
      <c r="C253" s="27" t="s">
        <v>209</v>
      </c>
      <c r="D253" s="85" t="s">
        <v>210</v>
      </c>
      <c r="E253" s="44">
        <v>2241816.31</v>
      </c>
      <c r="F253" s="48">
        <f>SUM(F254)</f>
        <v>0</v>
      </c>
      <c r="G253" s="48">
        <f>SUM(G254:G254)</f>
        <v>50000</v>
      </c>
      <c r="H253" s="48">
        <f t="shared" ref="H253:H254" si="66">SUM(E253+F253-G253)</f>
        <v>2191816.31</v>
      </c>
    </row>
    <row r="254" spans="1:8" s="18" customFormat="1" ht="12" customHeight="1" x14ac:dyDescent="0.2">
      <c r="A254" s="66"/>
      <c r="B254" s="37"/>
      <c r="C254" s="27"/>
      <c r="D254" s="530" t="s">
        <v>211</v>
      </c>
      <c r="E254" s="44">
        <v>50000</v>
      </c>
      <c r="F254" s="48"/>
      <c r="G254" s="48">
        <v>50000</v>
      </c>
      <c r="H254" s="48">
        <f t="shared" si="66"/>
        <v>0</v>
      </c>
    </row>
    <row r="255" spans="1:8" s="18" customFormat="1" ht="12" customHeight="1" thickBot="1" x14ac:dyDescent="0.25">
      <c r="A255" s="33">
        <v>801</v>
      </c>
      <c r="B255" s="33"/>
      <c r="C255" s="34"/>
      <c r="D255" s="35" t="s">
        <v>90</v>
      </c>
      <c r="E255" s="31">
        <v>326001822.92000002</v>
      </c>
      <c r="F255" s="36">
        <f>SUM(F256,F286,F300,F323,F334,F340,F348,F367,F370,F384,F410,F424,F431,F442,F452,F460,F468,F478,F489)</f>
        <v>1944356.02</v>
      </c>
      <c r="G255" s="36">
        <f>SUM(G256,G286,G300,G323,G334,G340,G348,G367,G370,G384,G410,G424,G431,G442,G452,G460,G468,G478,G489)</f>
        <v>1604226.02</v>
      </c>
      <c r="H255" s="31">
        <f>SUM(E255+F255-G255)</f>
        <v>326341952.92000002</v>
      </c>
    </row>
    <row r="256" spans="1:8" s="18" customFormat="1" ht="12" customHeight="1" thickTop="1" x14ac:dyDescent="0.2">
      <c r="A256" s="33"/>
      <c r="B256" s="37">
        <v>80101</v>
      </c>
      <c r="C256" s="27"/>
      <c r="D256" s="38" t="s">
        <v>45</v>
      </c>
      <c r="E256" s="39">
        <v>87403380.060000002</v>
      </c>
      <c r="F256" s="40">
        <f>SUM(F257,F260,F279)</f>
        <v>1217418.6800000002</v>
      </c>
      <c r="G256" s="40">
        <f>SUM(G257,G260,G279)</f>
        <v>802252.3</v>
      </c>
      <c r="H256" s="39">
        <f>SUM(E256+F256-G256)</f>
        <v>87818546.440000013</v>
      </c>
    </row>
    <row r="257" spans="1:8" s="18" customFormat="1" ht="12" customHeight="1" x14ac:dyDescent="0.2">
      <c r="A257" s="33"/>
      <c r="B257" s="37"/>
      <c r="C257" s="27"/>
      <c r="D257" s="531" t="s">
        <v>26</v>
      </c>
      <c r="E257" s="524">
        <v>8599397.5199999996</v>
      </c>
      <c r="F257" s="524">
        <f>SUM(F258:F259)</f>
        <v>332000</v>
      </c>
      <c r="G257" s="524">
        <f>SUM(G258:G259)</f>
        <v>77000</v>
      </c>
      <c r="H257" s="524">
        <f t="shared" ref="H257:H259" si="67">SUM(E257+F257-G257)</f>
        <v>8854397.5199999996</v>
      </c>
    </row>
    <row r="258" spans="1:8" s="18" customFormat="1" ht="21.75" customHeight="1" x14ac:dyDescent="0.2">
      <c r="A258" s="33"/>
      <c r="B258" s="37"/>
      <c r="C258" s="53">
        <v>2540</v>
      </c>
      <c r="D258" s="54" t="s">
        <v>212</v>
      </c>
      <c r="E258" s="42">
        <v>2746563.79</v>
      </c>
      <c r="F258" s="42"/>
      <c r="G258" s="42">
        <v>77000</v>
      </c>
      <c r="H258" s="42">
        <f t="shared" si="67"/>
        <v>2669563.79</v>
      </c>
    </row>
    <row r="259" spans="1:8" s="18" customFormat="1" ht="36" customHeight="1" x14ac:dyDescent="0.2">
      <c r="A259" s="33"/>
      <c r="B259" s="37"/>
      <c r="C259" s="53">
        <v>2590</v>
      </c>
      <c r="D259" s="131" t="s">
        <v>213</v>
      </c>
      <c r="E259" s="48">
        <v>5828035.8799999999</v>
      </c>
      <c r="F259" s="48">
        <v>332000</v>
      </c>
      <c r="G259" s="48"/>
      <c r="H259" s="44">
        <f t="shared" si="67"/>
        <v>6160035.8799999999</v>
      </c>
    </row>
    <row r="260" spans="1:8" s="18" customFormat="1" ht="12" customHeight="1" x14ac:dyDescent="0.2">
      <c r="A260" s="33"/>
      <c r="B260" s="37"/>
      <c r="C260" s="27"/>
      <c r="D260" s="518" t="s">
        <v>28</v>
      </c>
      <c r="E260" s="524">
        <v>76565104.879999995</v>
      </c>
      <c r="F260" s="524">
        <f>SUM(F261:F278)</f>
        <v>102610</v>
      </c>
      <c r="G260" s="524">
        <f>SUM(G261:G278)</f>
        <v>101520</v>
      </c>
      <c r="H260" s="125">
        <f>SUM(E260+F260-G260)</f>
        <v>76566194.879999995</v>
      </c>
    </row>
    <row r="261" spans="1:8" s="18" customFormat="1" ht="12" customHeight="1" x14ac:dyDescent="0.2">
      <c r="A261" s="33"/>
      <c r="B261" s="37"/>
      <c r="C261" s="45">
        <v>3020</v>
      </c>
      <c r="D261" s="41" t="s">
        <v>181</v>
      </c>
      <c r="E261" s="48">
        <v>467731</v>
      </c>
      <c r="F261" s="48"/>
      <c r="G261" s="48">
        <f>1500+10000</f>
        <v>11500</v>
      </c>
      <c r="H261" s="43">
        <f t="shared" ref="H261:H278" si="68">SUM(E261+F261-G261)</f>
        <v>456231</v>
      </c>
    </row>
    <row r="262" spans="1:8" s="18" customFormat="1" ht="12" customHeight="1" x14ac:dyDescent="0.2">
      <c r="A262" s="33"/>
      <c r="B262" s="37"/>
      <c r="C262" s="45">
        <v>4010</v>
      </c>
      <c r="D262" s="41" t="s">
        <v>214</v>
      </c>
      <c r="E262" s="48">
        <v>9964481</v>
      </c>
      <c r="F262" s="48">
        <v>5500</v>
      </c>
      <c r="G262" s="48"/>
      <c r="H262" s="43">
        <f t="shared" si="68"/>
        <v>9969981</v>
      </c>
    </row>
    <row r="263" spans="1:8" s="18" customFormat="1" ht="12" customHeight="1" x14ac:dyDescent="0.2">
      <c r="A263" s="33"/>
      <c r="B263" s="37"/>
      <c r="C263" s="45">
        <v>4110</v>
      </c>
      <c r="D263" s="41" t="s">
        <v>29</v>
      </c>
      <c r="E263" s="48">
        <v>9133863.9399999995</v>
      </c>
      <c r="F263" s="48">
        <f>1000+1283</f>
        <v>2283</v>
      </c>
      <c r="G263" s="48"/>
      <c r="H263" s="43">
        <f t="shared" si="68"/>
        <v>9136146.9399999995</v>
      </c>
    </row>
    <row r="264" spans="1:8" s="18" customFormat="1" ht="12" customHeight="1" x14ac:dyDescent="0.2">
      <c r="A264" s="33"/>
      <c r="B264" s="37"/>
      <c r="C264" s="45">
        <v>4120</v>
      </c>
      <c r="D264" s="41" t="s">
        <v>30</v>
      </c>
      <c r="E264" s="48">
        <v>1005868.41</v>
      </c>
      <c r="F264" s="48"/>
      <c r="G264" s="48">
        <v>15817</v>
      </c>
      <c r="H264" s="43">
        <f t="shared" si="68"/>
        <v>990051.41</v>
      </c>
    </row>
    <row r="265" spans="1:8" s="18" customFormat="1" ht="21.75" customHeight="1" x14ac:dyDescent="0.2">
      <c r="A265" s="33"/>
      <c r="B265" s="37"/>
      <c r="C265" s="121">
        <v>4140</v>
      </c>
      <c r="D265" s="117" t="s">
        <v>182</v>
      </c>
      <c r="E265" s="48">
        <v>32115</v>
      </c>
      <c r="F265" s="48"/>
      <c r="G265" s="48">
        <f>1000+14000</f>
        <v>15000</v>
      </c>
      <c r="H265" s="43">
        <f t="shared" si="68"/>
        <v>17115</v>
      </c>
    </row>
    <row r="266" spans="1:8" s="18" customFormat="1" ht="12" customHeight="1" x14ac:dyDescent="0.2">
      <c r="A266" s="33"/>
      <c r="B266" s="37"/>
      <c r="C266" s="122">
        <v>4170</v>
      </c>
      <c r="D266" s="123" t="s">
        <v>32</v>
      </c>
      <c r="E266" s="48">
        <v>59940</v>
      </c>
      <c r="F266" s="48"/>
      <c r="G266" s="48">
        <v>11000</v>
      </c>
      <c r="H266" s="43">
        <f t="shared" si="68"/>
        <v>48940</v>
      </c>
    </row>
    <row r="267" spans="1:8" s="18" customFormat="1" ht="12" customHeight="1" x14ac:dyDescent="0.2">
      <c r="A267" s="33"/>
      <c r="B267" s="37"/>
      <c r="C267" s="9" t="s">
        <v>170</v>
      </c>
      <c r="D267" s="11" t="s">
        <v>13</v>
      </c>
      <c r="E267" s="48">
        <v>675021</v>
      </c>
      <c r="F267" s="48">
        <v>4000</v>
      </c>
      <c r="G267" s="48">
        <v>33303</v>
      </c>
      <c r="H267" s="43">
        <f t="shared" si="68"/>
        <v>645718</v>
      </c>
    </row>
    <row r="268" spans="1:8" s="18" customFormat="1" ht="12" customHeight="1" x14ac:dyDescent="0.2">
      <c r="A268" s="33"/>
      <c r="B268" s="37"/>
      <c r="C268" s="45">
        <v>4220</v>
      </c>
      <c r="D268" s="41" t="s">
        <v>27</v>
      </c>
      <c r="E268" s="48">
        <v>5700</v>
      </c>
      <c r="F268" s="48">
        <v>1000</v>
      </c>
      <c r="G268" s="48"/>
      <c r="H268" s="43">
        <f t="shared" si="68"/>
        <v>6700</v>
      </c>
    </row>
    <row r="269" spans="1:8" s="18" customFormat="1" ht="12" customHeight="1" x14ac:dyDescent="0.2">
      <c r="A269" s="33"/>
      <c r="B269" s="37"/>
      <c r="C269" s="45">
        <v>4240</v>
      </c>
      <c r="D269" s="41" t="s">
        <v>215</v>
      </c>
      <c r="E269" s="44">
        <v>495816</v>
      </c>
      <c r="F269" s="48">
        <v>9000</v>
      </c>
      <c r="G269" s="44"/>
      <c r="H269" s="43">
        <f t="shared" si="68"/>
        <v>504816</v>
      </c>
    </row>
    <row r="270" spans="1:8" s="18" customFormat="1" ht="12" customHeight="1" x14ac:dyDescent="0.2">
      <c r="A270" s="33"/>
      <c r="B270" s="37"/>
      <c r="C270" s="45">
        <v>4260</v>
      </c>
      <c r="D270" s="41" t="s">
        <v>188</v>
      </c>
      <c r="E270" s="44">
        <v>4542615</v>
      </c>
      <c r="F270" s="44">
        <f>2890+24169</f>
        <v>27059</v>
      </c>
      <c r="G270" s="44"/>
      <c r="H270" s="43">
        <f t="shared" si="68"/>
        <v>4569674</v>
      </c>
    </row>
    <row r="271" spans="1:8" s="18" customFormat="1" ht="12" customHeight="1" x14ac:dyDescent="0.2">
      <c r="A271" s="33"/>
      <c r="B271" s="37"/>
      <c r="C271" s="45">
        <v>4270</v>
      </c>
      <c r="D271" s="41" t="s">
        <v>171</v>
      </c>
      <c r="E271" s="44">
        <v>220128</v>
      </c>
      <c r="F271" s="44">
        <v>2700</v>
      </c>
      <c r="G271" s="44"/>
      <c r="H271" s="43">
        <f t="shared" si="68"/>
        <v>222828</v>
      </c>
    </row>
    <row r="272" spans="1:8" s="18" customFormat="1" ht="12" customHeight="1" x14ac:dyDescent="0.2">
      <c r="A272" s="33"/>
      <c r="B272" s="37"/>
      <c r="C272" s="45">
        <v>4280</v>
      </c>
      <c r="D272" s="41" t="s">
        <v>216</v>
      </c>
      <c r="E272" s="44">
        <v>70327</v>
      </c>
      <c r="F272" s="44">
        <f>1500+4200</f>
        <v>5700</v>
      </c>
      <c r="G272" s="44"/>
      <c r="H272" s="43">
        <f t="shared" si="68"/>
        <v>76027</v>
      </c>
    </row>
    <row r="273" spans="1:8" s="18" customFormat="1" ht="12" customHeight="1" x14ac:dyDescent="0.2">
      <c r="A273" s="33"/>
      <c r="B273" s="37"/>
      <c r="C273" s="37">
        <v>4300</v>
      </c>
      <c r="D273" s="41" t="s">
        <v>14</v>
      </c>
      <c r="E273" s="44">
        <v>864252</v>
      </c>
      <c r="F273" s="44">
        <f>8610+28593</f>
        <v>37203</v>
      </c>
      <c r="G273" s="44"/>
      <c r="H273" s="43">
        <f t="shared" si="68"/>
        <v>901455</v>
      </c>
    </row>
    <row r="274" spans="1:8" s="18" customFormat="1" ht="12" customHeight="1" x14ac:dyDescent="0.2">
      <c r="A274" s="33"/>
      <c r="B274" s="37"/>
      <c r="C274" s="45">
        <v>4360</v>
      </c>
      <c r="D274" s="41" t="s">
        <v>217</v>
      </c>
      <c r="E274" s="44">
        <v>55710</v>
      </c>
      <c r="F274" s="44"/>
      <c r="G274" s="44">
        <v>700</v>
      </c>
      <c r="H274" s="43">
        <f t="shared" si="68"/>
        <v>55010</v>
      </c>
    </row>
    <row r="275" spans="1:8" s="18" customFormat="1" ht="12" customHeight="1" x14ac:dyDescent="0.2">
      <c r="A275" s="33"/>
      <c r="B275" s="37"/>
      <c r="C275" s="45">
        <v>4410</v>
      </c>
      <c r="D275" s="11" t="s">
        <v>218</v>
      </c>
      <c r="E275" s="44">
        <v>20128</v>
      </c>
      <c r="F275" s="44"/>
      <c r="G275" s="44">
        <v>700</v>
      </c>
      <c r="H275" s="43">
        <f t="shared" si="68"/>
        <v>19428</v>
      </c>
    </row>
    <row r="276" spans="1:8" s="18" customFormat="1" ht="19.899999999999999" customHeight="1" x14ac:dyDescent="0.2">
      <c r="A276" s="33"/>
      <c r="B276" s="37"/>
      <c r="C276" s="53">
        <v>4700</v>
      </c>
      <c r="D276" s="119" t="s">
        <v>176</v>
      </c>
      <c r="E276" s="44">
        <v>61921</v>
      </c>
      <c r="F276" s="44"/>
      <c r="G276" s="44">
        <v>3500</v>
      </c>
      <c r="H276" s="43">
        <f t="shared" si="68"/>
        <v>58421</v>
      </c>
    </row>
    <row r="277" spans="1:8" s="18" customFormat="1" ht="12" customHeight="1" x14ac:dyDescent="0.2">
      <c r="A277" s="33"/>
      <c r="B277" s="37"/>
      <c r="C277" s="45">
        <v>4710</v>
      </c>
      <c r="D277" s="11" t="s">
        <v>33</v>
      </c>
      <c r="E277" s="44">
        <v>109144.18</v>
      </c>
      <c r="F277" s="44">
        <v>700</v>
      </c>
      <c r="G277" s="44">
        <v>10000</v>
      </c>
      <c r="H277" s="43">
        <f t="shared" si="68"/>
        <v>99844.18</v>
      </c>
    </row>
    <row r="278" spans="1:8" s="18" customFormat="1" ht="12" customHeight="1" x14ac:dyDescent="0.2">
      <c r="A278" s="33"/>
      <c r="B278" s="37"/>
      <c r="C278" s="46">
        <v>4790</v>
      </c>
      <c r="D278" s="132" t="s">
        <v>219</v>
      </c>
      <c r="E278" s="44">
        <v>42531558.350000001</v>
      </c>
      <c r="F278" s="44">
        <v>7465</v>
      </c>
      <c r="G278" s="44"/>
      <c r="H278" s="43">
        <f t="shared" si="68"/>
        <v>42539023.350000001</v>
      </c>
    </row>
    <row r="279" spans="1:8" s="18" customFormat="1" ht="23.1" customHeight="1" x14ac:dyDescent="0.2">
      <c r="A279" s="33"/>
      <c r="B279" s="37"/>
      <c r="C279" s="27"/>
      <c r="D279" s="520" t="s">
        <v>220</v>
      </c>
      <c r="E279" s="524">
        <v>1175400.1199999999</v>
      </c>
      <c r="F279" s="524">
        <f>SUM(F280:F285)</f>
        <v>782808.68</v>
      </c>
      <c r="G279" s="524">
        <f>SUM(G280:G285)</f>
        <v>623732.30000000005</v>
      </c>
      <c r="H279" s="125">
        <f>SUM(E279+F279-G279)</f>
        <v>1334476.4999999998</v>
      </c>
    </row>
    <row r="280" spans="1:8" s="18" customFormat="1" ht="22.9" customHeight="1" x14ac:dyDescent="0.2">
      <c r="A280" s="33"/>
      <c r="B280" s="37"/>
      <c r="C280" s="118" t="s">
        <v>193</v>
      </c>
      <c r="D280" s="119" t="s">
        <v>194</v>
      </c>
      <c r="E280" s="44">
        <v>160300.41</v>
      </c>
      <c r="F280" s="48">
        <f>156086.38+560805.41</f>
        <v>716891.79</v>
      </c>
      <c r="G280" s="48"/>
      <c r="H280" s="43">
        <f t="shared" ref="H280:H285" si="69">SUM(E280+F280-G280)</f>
        <v>877192.20000000007</v>
      </c>
    </row>
    <row r="281" spans="1:8" s="18" customFormat="1" ht="12" customHeight="1" x14ac:dyDescent="0.2">
      <c r="A281" s="33"/>
      <c r="B281" s="37"/>
      <c r="C281" s="37">
        <v>4370</v>
      </c>
      <c r="D281" s="37" t="s">
        <v>195</v>
      </c>
      <c r="E281" s="44">
        <v>8129.34</v>
      </c>
      <c r="F281" s="48">
        <f>367+9217.72</f>
        <v>9584.7199999999993</v>
      </c>
      <c r="G281" s="48"/>
      <c r="H281" s="43">
        <f t="shared" si="69"/>
        <v>17714.059999999998</v>
      </c>
    </row>
    <row r="282" spans="1:8" s="18" customFormat="1" ht="21" customHeight="1" x14ac:dyDescent="0.2">
      <c r="A282" s="33"/>
      <c r="B282" s="37"/>
      <c r="C282" s="53">
        <v>4740</v>
      </c>
      <c r="D282" s="54" t="s">
        <v>221</v>
      </c>
      <c r="E282" s="48">
        <v>40077.949999999997</v>
      </c>
      <c r="F282" s="48">
        <v>10800</v>
      </c>
      <c r="G282" s="48"/>
      <c r="H282" s="43">
        <f t="shared" si="69"/>
        <v>50877.95</v>
      </c>
    </row>
    <row r="283" spans="1:8" s="18" customFormat="1" ht="21.75" customHeight="1" x14ac:dyDescent="0.2">
      <c r="A283" s="33"/>
      <c r="B283" s="37"/>
      <c r="C283" s="53">
        <v>4750</v>
      </c>
      <c r="D283" s="54" t="s">
        <v>222</v>
      </c>
      <c r="E283" s="48">
        <v>670302.49</v>
      </c>
      <c r="F283" s="48"/>
      <c r="G283" s="48">
        <v>446490.66</v>
      </c>
      <c r="H283" s="43">
        <f t="shared" si="69"/>
        <v>223811.83000000002</v>
      </c>
    </row>
    <row r="284" spans="1:8" s="18" customFormat="1" ht="23.1" customHeight="1" x14ac:dyDescent="0.2">
      <c r="A284" s="33"/>
      <c r="B284" s="37"/>
      <c r="C284" s="53">
        <v>4850</v>
      </c>
      <c r="D284" s="54" t="s">
        <v>223</v>
      </c>
      <c r="E284" s="48">
        <v>237607.78</v>
      </c>
      <c r="F284" s="48"/>
      <c r="G284" s="48">
        <v>177241.64</v>
      </c>
      <c r="H284" s="43">
        <f t="shared" si="69"/>
        <v>60366.139999999985</v>
      </c>
    </row>
    <row r="285" spans="1:8" s="18" customFormat="1" ht="20.25" customHeight="1" x14ac:dyDescent="0.2">
      <c r="A285" s="33"/>
      <c r="B285" s="37"/>
      <c r="C285" s="53">
        <v>4860</v>
      </c>
      <c r="D285" s="54" t="s">
        <v>224</v>
      </c>
      <c r="E285" s="48">
        <v>58982.15</v>
      </c>
      <c r="F285" s="48">
        <f>1873+43659.17</f>
        <v>45532.17</v>
      </c>
      <c r="G285" s="48"/>
      <c r="H285" s="43">
        <f t="shared" si="69"/>
        <v>104514.32</v>
      </c>
    </row>
    <row r="286" spans="1:8" s="18" customFormat="1" ht="12" customHeight="1" x14ac:dyDescent="0.2">
      <c r="A286" s="33"/>
      <c r="B286" s="37">
        <v>80102</v>
      </c>
      <c r="C286" s="27"/>
      <c r="D286" s="38" t="s">
        <v>47</v>
      </c>
      <c r="E286" s="40">
        <v>11819643.27</v>
      </c>
      <c r="F286" s="40">
        <f>SUM(F287,F294)</f>
        <v>33736</v>
      </c>
      <c r="G286" s="40">
        <f>SUM(G287,G294)</f>
        <v>45250</v>
      </c>
      <c r="H286" s="39">
        <f>SUM(E286+F286-G286)</f>
        <v>11808129.27</v>
      </c>
    </row>
    <row r="287" spans="1:8" s="18" customFormat="1" ht="12" customHeight="1" x14ac:dyDescent="0.2">
      <c r="A287" s="33"/>
      <c r="B287" s="37"/>
      <c r="C287" s="27"/>
      <c r="D287" s="518" t="s">
        <v>28</v>
      </c>
      <c r="E287" s="524">
        <v>11791751.01</v>
      </c>
      <c r="F287" s="524">
        <f>SUM(F288:F293)</f>
        <v>21450</v>
      </c>
      <c r="G287" s="524">
        <f>SUM(G288:G293)</f>
        <v>40750</v>
      </c>
      <c r="H287" s="125">
        <f>SUM(E287+F287-G287)</f>
        <v>11772451.01</v>
      </c>
    </row>
    <row r="288" spans="1:8" s="18" customFormat="1" ht="12" customHeight="1" x14ac:dyDescent="0.2">
      <c r="A288" s="88"/>
      <c r="B288" s="113"/>
      <c r="C288" s="114">
        <v>3020</v>
      </c>
      <c r="D288" s="38" t="s">
        <v>181</v>
      </c>
      <c r="E288" s="111">
        <v>9503</v>
      </c>
      <c r="F288" s="111"/>
      <c r="G288" s="111">
        <v>1000</v>
      </c>
      <c r="H288" s="111">
        <f t="shared" ref="H288:H293" si="70">SUM(E288+F288-G288)</f>
        <v>8503</v>
      </c>
    </row>
    <row r="289" spans="1:8" s="18" customFormat="1" ht="12" customHeight="1" x14ac:dyDescent="0.2">
      <c r="A289" s="33"/>
      <c r="B289" s="37"/>
      <c r="C289" s="45">
        <v>4120</v>
      </c>
      <c r="D289" s="41" t="s">
        <v>30</v>
      </c>
      <c r="E289" s="48">
        <v>225191</v>
      </c>
      <c r="F289" s="48"/>
      <c r="G289" s="48">
        <v>38750</v>
      </c>
      <c r="H289" s="48">
        <f t="shared" si="70"/>
        <v>186441</v>
      </c>
    </row>
    <row r="290" spans="1:8" s="18" customFormat="1" ht="12" customHeight="1" x14ac:dyDescent="0.2">
      <c r="A290" s="33"/>
      <c r="B290" s="37"/>
      <c r="C290" s="9" t="s">
        <v>170</v>
      </c>
      <c r="D290" s="11" t="s">
        <v>13</v>
      </c>
      <c r="E290" s="48">
        <v>51058</v>
      </c>
      <c r="F290" s="48">
        <v>15000</v>
      </c>
      <c r="G290" s="48"/>
      <c r="H290" s="48">
        <f t="shared" si="70"/>
        <v>66058</v>
      </c>
    </row>
    <row r="291" spans="1:8" s="18" customFormat="1" ht="12" customHeight="1" x14ac:dyDescent="0.2">
      <c r="A291" s="33"/>
      <c r="B291" s="37"/>
      <c r="C291" s="45">
        <v>4240</v>
      </c>
      <c r="D291" s="41" t="s">
        <v>215</v>
      </c>
      <c r="E291" s="48">
        <v>11591</v>
      </c>
      <c r="F291" s="48"/>
      <c r="G291" s="48">
        <v>1000</v>
      </c>
      <c r="H291" s="48">
        <f t="shared" si="70"/>
        <v>10591</v>
      </c>
    </row>
    <row r="292" spans="1:8" s="18" customFormat="1" ht="12" customHeight="1" x14ac:dyDescent="0.2">
      <c r="A292" s="33"/>
      <c r="B292" s="37"/>
      <c r="C292" s="45">
        <v>4280</v>
      </c>
      <c r="D292" s="41" t="s">
        <v>216</v>
      </c>
      <c r="E292" s="48">
        <v>8750</v>
      </c>
      <c r="F292" s="48">
        <v>450</v>
      </c>
      <c r="G292" s="48"/>
      <c r="H292" s="48">
        <f t="shared" si="70"/>
        <v>9200</v>
      </c>
    </row>
    <row r="293" spans="1:8" s="18" customFormat="1" ht="12" customHeight="1" x14ac:dyDescent="0.2">
      <c r="A293" s="33"/>
      <c r="B293" s="37"/>
      <c r="C293" s="37">
        <v>4300</v>
      </c>
      <c r="D293" s="41" t="s">
        <v>14</v>
      </c>
      <c r="E293" s="48">
        <v>43784</v>
      </c>
      <c r="F293" s="48">
        <v>6000</v>
      </c>
      <c r="G293" s="48"/>
      <c r="H293" s="48">
        <f t="shared" si="70"/>
        <v>49784</v>
      </c>
    </row>
    <row r="294" spans="1:8" s="18" customFormat="1" ht="24.75" customHeight="1" x14ac:dyDescent="0.2">
      <c r="A294" s="33"/>
      <c r="B294" s="37"/>
      <c r="C294" s="27"/>
      <c r="D294" s="520" t="s">
        <v>220</v>
      </c>
      <c r="E294" s="524">
        <v>27892.26</v>
      </c>
      <c r="F294" s="524">
        <f>SUM(F295:F299)</f>
        <v>12286</v>
      </c>
      <c r="G294" s="524">
        <f>SUM(G295:G299)</f>
        <v>4500</v>
      </c>
      <c r="H294" s="125">
        <f>SUM(E294+F294-G294)</f>
        <v>35678.259999999995</v>
      </c>
    </row>
    <row r="295" spans="1:8" s="18" customFormat="1" ht="21" customHeight="1" x14ac:dyDescent="0.2">
      <c r="A295" s="33"/>
      <c r="B295" s="37"/>
      <c r="C295" s="118" t="s">
        <v>193</v>
      </c>
      <c r="D295" s="119" t="s">
        <v>194</v>
      </c>
      <c r="E295" s="44">
        <v>14000</v>
      </c>
      <c r="F295" s="48">
        <v>11786</v>
      </c>
      <c r="G295" s="48"/>
      <c r="H295" s="43">
        <f t="shared" ref="H295:H299" si="71">SUM(E295+F295-G295)</f>
        <v>25786</v>
      </c>
    </row>
    <row r="296" spans="1:8" s="18" customFormat="1" ht="12" customHeight="1" x14ac:dyDescent="0.2">
      <c r="A296" s="33"/>
      <c r="B296" s="37"/>
      <c r="C296" s="37">
        <v>4370</v>
      </c>
      <c r="D296" s="37" t="s">
        <v>195</v>
      </c>
      <c r="E296" s="44">
        <v>412.5</v>
      </c>
      <c r="F296" s="48">
        <v>250</v>
      </c>
      <c r="G296" s="48"/>
      <c r="H296" s="43">
        <f t="shared" si="71"/>
        <v>662.5</v>
      </c>
    </row>
    <row r="297" spans="1:8" s="18" customFormat="1" ht="23.1" customHeight="1" x14ac:dyDescent="0.2">
      <c r="A297" s="33"/>
      <c r="B297" s="37"/>
      <c r="C297" s="53">
        <v>4750</v>
      </c>
      <c r="D297" s="54" t="s">
        <v>222</v>
      </c>
      <c r="E297" s="48">
        <v>6037.73</v>
      </c>
      <c r="F297" s="48"/>
      <c r="G297" s="48">
        <v>2500</v>
      </c>
      <c r="H297" s="43">
        <f t="shared" si="71"/>
        <v>3537.7299999999996</v>
      </c>
    </row>
    <row r="298" spans="1:8" s="18" customFormat="1" ht="21.75" customHeight="1" x14ac:dyDescent="0.2">
      <c r="A298" s="33"/>
      <c r="B298" s="37"/>
      <c r="C298" s="53">
        <v>4850</v>
      </c>
      <c r="D298" s="54" t="s">
        <v>223</v>
      </c>
      <c r="E298" s="48">
        <v>3542.03</v>
      </c>
      <c r="F298" s="48"/>
      <c r="G298" s="48">
        <v>2000</v>
      </c>
      <c r="H298" s="43">
        <f t="shared" si="71"/>
        <v>1542.0300000000002</v>
      </c>
    </row>
    <row r="299" spans="1:8" s="18" customFormat="1" ht="21.75" customHeight="1" x14ac:dyDescent="0.2">
      <c r="A299" s="33"/>
      <c r="B299" s="37"/>
      <c r="C299" s="53">
        <v>4860</v>
      </c>
      <c r="D299" s="54" t="s">
        <v>224</v>
      </c>
      <c r="E299" s="48">
        <v>200</v>
      </c>
      <c r="F299" s="48">
        <v>250</v>
      </c>
      <c r="G299" s="48"/>
      <c r="H299" s="43">
        <f t="shared" si="71"/>
        <v>450</v>
      </c>
    </row>
    <row r="300" spans="1:8" s="18" customFormat="1" ht="12" customHeight="1" x14ac:dyDescent="0.2">
      <c r="A300" s="33"/>
      <c r="B300" s="37">
        <v>80104</v>
      </c>
      <c r="C300" s="27"/>
      <c r="D300" s="38" t="s">
        <v>49</v>
      </c>
      <c r="E300" s="40">
        <v>44656036.140000008</v>
      </c>
      <c r="F300" s="40">
        <f>SUM(F301,F303,F314,F321)</f>
        <v>70162.09</v>
      </c>
      <c r="G300" s="40">
        <f>SUM(G301,G303,G314,G321)</f>
        <v>35036.47</v>
      </c>
      <c r="H300" s="39">
        <f>SUM(E300+F300-G300)</f>
        <v>44691161.760000013</v>
      </c>
    </row>
    <row r="301" spans="1:8" s="18" customFormat="1" ht="12" customHeight="1" x14ac:dyDescent="0.2">
      <c r="A301" s="33"/>
      <c r="B301" s="37"/>
      <c r="C301" s="27"/>
      <c r="D301" s="531" t="s">
        <v>26</v>
      </c>
      <c r="E301" s="524">
        <v>11067632.389999999</v>
      </c>
      <c r="F301" s="524">
        <f>SUM(F302:F302)</f>
        <v>0</v>
      </c>
      <c r="G301" s="524">
        <f>SUM(G302:G302)</f>
        <v>6000</v>
      </c>
      <c r="H301" s="524">
        <f t="shared" ref="H301:H302" si="72">SUM(E301+F301-G301)</f>
        <v>11061632.389999999</v>
      </c>
    </row>
    <row r="302" spans="1:8" s="18" customFormat="1" ht="20.25" customHeight="1" x14ac:dyDescent="0.2">
      <c r="A302" s="33"/>
      <c r="B302" s="37"/>
      <c r="C302" s="53">
        <v>2540</v>
      </c>
      <c r="D302" s="54" t="s">
        <v>212</v>
      </c>
      <c r="E302" s="42">
        <v>8517196.3699999992</v>
      </c>
      <c r="F302" s="42"/>
      <c r="G302" s="42">
        <v>6000</v>
      </c>
      <c r="H302" s="42">
        <f t="shared" si="72"/>
        <v>8511196.3699999992</v>
      </c>
    </row>
    <row r="303" spans="1:8" s="18" customFormat="1" ht="12" customHeight="1" x14ac:dyDescent="0.2">
      <c r="A303" s="33"/>
      <c r="B303" s="37"/>
      <c r="C303" s="27"/>
      <c r="D303" s="518" t="s">
        <v>28</v>
      </c>
      <c r="E303" s="524">
        <v>32509319.550000004</v>
      </c>
      <c r="F303" s="524">
        <f>SUM(F304:F313)</f>
        <v>16331</v>
      </c>
      <c r="G303" s="524">
        <f>SUM(G304:G313)</f>
        <v>18660</v>
      </c>
      <c r="H303" s="125">
        <f>SUM(E303+F303-G303)</f>
        <v>32506990.550000004</v>
      </c>
    </row>
    <row r="304" spans="1:8" s="18" customFormat="1" ht="12" customHeight="1" x14ac:dyDescent="0.2">
      <c r="A304" s="33"/>
      <c r="B304" s="37"/>
      <c r="C304" s="45">
        <v>3020</v>
      </c>
      <c r="D304" s="41" t="s">
        <v>181</v>
      </c>
      <c r="E304" s="48">
        <v>47338</v>
      </c>
      <c r="F304" s="48">
        <v>1756</v>
      </c>
      <c r="G304" s="48"/>
      <c r="H304" s="43">
        <f t="shared" ref="H304:H313" si="73">SUM(E304+F304-G304)</f>
        <v>49094</v>
      </c>
    </row>
    <row r="305" spans="1:8" s="18" customFormat="1" ht="12" customHeight="1" x14ac:dyDescent="0.2">
      <c r="A305" s="33"/>
      <c r="B305" s="37"/>
      <c r="C305" s="45">
        <v>4120</v>
      </c>
      <c r="D305" s="41" t="s">
        <v>30</v>
      </c>
      <c r="E305" s="48">
        <v>413925</v>
      </c>
      <c r="F305" s="48"/>
      <c r="G305" s="48">
        <v>2704</v>
      </c>
      <c r="H305" s="43">
        <f t="shared" si="73"/>
        <v>411221</v>
      </c>
    </row>
    <row r="306" spans="1:8" s="18" customFormat="1" ht="12" customHeight="1" x14ac:dyDescent="0.2">
      <c r="A306" s="33"/>
      <c r="B306" s="37"/>
      <c r="C306" s="9" t="s">
        <v>170</v>
      </c>
      <c r="D306" s="11" t="s">
        <v>13</v>
      </c>
      <c r="E306" s="44">
        <v>686691.88</v>
      </c>
      <c r="F306" s="44"/>
      <c r="G306" s="44">
        <v>4000</v>
      </c>
      <c r="H306" s="43">
        <f t="shared" si="73"/>
        <v>682691.88</v>
      </c>
    </row>
    <row r="307" spans="1:8" s="18" customFormat="1" ht="12" customHeight="1" x14ac:dyDescent="0.2">
      <c r="A307" s="33"/>
      <c r="B307" s="37"/>
      <c r="C307" s="45">
        <v>4240</v>
      </c>
      <c r="D307" s="41" t="s">
        <v>215</v>
      </c>
      <c r="E307" s="44">
        <v>109652</v>
      </c>
      <c r="F307" s="44">
        <v>4000</v>
      </c>
      <c r="G307" s="44">
        <v>125</v>
      </c>
      <c r="H307" s="43">
        <f t="shared" si="73"/>
        <v>113527</v>
      </c>
    </row>
    <row r="308" spans="1:8" s="18" customFormat="1" ht="12" customHeight="1" x14ac:dyDescent="0.2">
      <c r="A308" s="33"/>
      <c r="B308" s="37"/>
      <c r="C308" s="45">
        <v>4270</v>
      </c>
      <c r="D308" s="41" t="s">
        <v>171</v>
      </c>
      <c r="E308" s="44">
        <v>215303</v>
      </c>
      <c r="F308" s="44"/>
      <c r="G308" s="44">
        <f>10000+20</f>
        <v>10020</v>
      </c>
      <c r="H308" s="43">
        <f t="shared" si="73"/>
        <v>205283</v>
      </c>
    </row>
    <row r="309" spans="1:8" s="18" customFormat="1" ht="12" customHeight="1" x14ac:dyDescent="0.2">
      <c r="A309" s="33"/>
      <c r="B309" s="37"/>
      <c r="C309" s="45">
        <v>4280</v>
      </c>
      <c r="D309" s="41" t="s">
        <v>216</v>
      </c>
      <c r="E309" s="44">
        <v>33102</v>
      </c>
      <c r="F309" s="44"/>
      <c r="G309" s="44">
        <v>1000</v>
      </c>
      <c r="H309" s="43">
        <f t="shared" si="73"/>
        <v>32102</v>
      </c>
    </row>
    <row r="310" spans="1:8" s="18" customFormat="1" ht="12" customHeight="1" x14ac:dyDescent="0.2">
      <c r="A310" s="33"/>
      <c r="B310" s="37"/>
      <c r="C310" s="37">
        <v>4300</v>
      </c>
      <c r="D310" s="41" t="s">
        <v>14</v>
      </c>
      <c r="E310" s="44">
        <v>607107.42000000004</v>
      </c>
      <c r="F310" s="44">
        <f>500+10000</f>
        <v>10500</v>
      </c>
      <c r="G310" s="44">
        <v>50</v>
      </c>
      <c r="H310" s="43">
        <f t="shared" si="73"/>
        <v>617557.42000000004</v>
      </c>
    </row>
    <row r="311" spans="1:8" s="18" customFormat="1" ht="12" customHeight="1" x14ac:dyDescent="0.2">
      <c r="A311" s="33"/>
      <c r="B311" s="37"/>
      <c r="C311" s="45">
        <v>4360</v>
      </c>
      <c r="D311" s="41" t="s">
        <v>217</v>
      </c>
      <c r="E311" s="44">
        <v>23545</v>
      </c>
      <c r="F311" s="44">
        <v>75</v>
      </c>
      <c r="G311" s="44"/>
      <c r="H311" s="43">
        <f t="shared" si="73"/>
        <v>23620</v>
      </c>
    </row>
    <row r="312" spans="1:8" s="18" customFormat="1" ht="21" customHeight="1" x14ac:dyDescent="0.2">
      <c r="A312" s="33"/>
      <c r="B312" s="37"/>
      <c r="C312" s="53">
        <v>4700</v>
      </c>
      <c r="D312" s="119" t="s">
        <v>176</v>
      </c>
      <c r="E312" s="44">
        <v>31922</v>
      </c>
      <c r="F312" s="44"/>
      <c r="G312" s="44">
        <v>756</v>
      </c>
      <c r="H312" s="43">
        <f t="shared" si="73"/>
        <v>31166</v>
      </c>
    </row>
    <row r="313" spans="1:8" s="18" customFormat="1" ht="12" customHeight="1" x14ac:dyDescent="0.2">
      <c r="A313" s="33"/>
      <c r="B313" s="37"/>
      <c r="C313" s="45">
        <v>4710</v>
      </c>
      <c r="D313" s="11" t="s">
        <v>33</v>
      </c>
      <c r="E313" s="44">
        <v>88578</v>
      </c>
      <c r="F313" s="44"/>
      <c r="G313" s="44">
        <v>5</v>
      </c>
      <c r="H313" s="43">
        <f t="shared" si="73"/>
        <v>88573</v>
      </c>
    </row>
    <row r="314" spans="1:8" s="18" customFormat="1" ht="23.1" customHeight="1" x14ac:dyDescent="0.2">
      <c r="A314" s="33"/>
      <c r="B314" s="37"/>
      <c r="C314" s="27"/>
      <c r="D314" s="520" t="s">
        <v>220</v>
      </c>
      <c r="E314" s="524">
        <v>124181.55</v>
      </c>
      <c r="F314" s="524">
        <f>SUM(F315:F320)</f>
        <v>50243.61</v>
      </c>
      <c r="G314" s="524">
        <f>SUM(G315:G320)</f>
        <v>10376.470000000001</v>
      </c>
      <c r="H314" s="125">
        <f>SUM(E314+F314-G314)</f>
        <v>164048.69</v>
      </c>
    </row>
    <row r="315" spans="1:8" s="18" customFormat="1" ht="23.1" customHeight="1" x14ac:dyDescent="0.2">
      <c r="A315" s="33"/>
      <c r="B315" s="37"/>
      <c r="C315" s="118" t="s">
        <v>193</v>
      </c>
      <c r="D315" s="119" t="s">
        <v>194</v>
      </c>
      <c r="E315" s="44">
        <v>74690.86</v>
      </c>
      <c r="F315" s="48">
        <f>37455.25+3702</f>
        <v>41157.25</v>
      </c>
      <c r="G315" s="48"/>
      <c r="H315" s="43">
        <f t="shared" ref="H315:H320" si="74">SUM(E315+F315-G315)</f>
        <v>115848.11</v>
      </c>
    </row>
    <row r="316" spans="1:8" s="18" customFormat="1" ht="12.6" customHeight="1" x14ac:dyDescent="0.2">
      <c r="A316" s="33"/>
      <c r="B316" s="37"/>
      <c r="C316" s="37">
        <v>4370</v>
      </c>
      <c r="D316" s="37" t="s">
        <v>195</v>
      </c>
      <c r="E316" s="44">
        <v>5573.6</v>
      </c>
      <c r="F316" s="48">
        <f>955.6+12.5</f>
        <v>968.1</v>
      </c>
      <c r="G316" s="48"/>
      <c r="H316" s="43">
        <f t="shared" si="74"/>
        <v>6541.7000000000007</v>
      </c>
    </row>
    <row r="317" spans="1:8" s="18" customFormat="1" ht="20.25" customHeight="1" x14ac:dyDescent="0.2">
      <c r="A317" s="33"/>
      <c r="B317" s="37"/>
      <c r="C317" s="53">
        <v>4740</v>
      </c>
      <c r="D317" s="54" t="s">
        <v>221</v>
      </c>
      <c r="E317" s="44">
        <v>8039.56</v>
      </c>
      <c r="F317" s="48"/>
      <c r="G317" s="48">
        <v>1001</v>
      </c>
      <c r="H317" s="43">
        <f t="shared" si="74"/>
        <v>7038.56</v>
      </c>
    </row>
    <row r="318" spans="1:8" s="18" customFormat="1" ht="21" customHeight="1" x14ac:dyDescent="0.2">
      <c r="A318" s="33"/>
      <c r="B318" s="37"/>
      <c r="C318" s="53">
        <v>4750</v>
      </c>
      <c r="D318" s="54" t="s">
        <v>222</v>
      </c>
      <c r="E318" s="48">
        <v>8692.61</v>
      </c>
      <c r="F318" s="44"/>
      <c r="G318" s="48">
        <f>3399.91+2973.69</f>
        <v>6373.6</v>
      </c>
      <c r="H318" s="43">
        <f t="shared" si="74"/>
        <v>2319.0100000000002</v>
      </c>
    </row>
    <row r="319" spans="1:8" s="18" customFormat="1" ht="23.1" customHeight="1" x14ac:dyDescent="0.2">
      <c r="A319" s="33"/>
      <c r="B319" s="37"/>
      <c r="C319" s="53">
        <v>4850</v>
      </c>
      <c r="D319" s="54" t="s">
        <v>223</v>
      </c>
      <c r="E319" s="48">
        <v>6162.96</v>
      </c>
      <c r="F319" s="44"/>
      <c r="G319" s="44">
        <f>1511.06+1384.71</f>
        <v>2895.77</v>
      </c>
      <c r="H319" s="43">
        <f t="shared" si="74"/>
        <v>3267.19</v>
      </c>
    </row>
    <row r="320" spans="1:8" s="18" customFormat="1" ht="23.1" customHeight="1" x14ac:dyDescent="0.2">
      <c r="A320" s="33"/>
      <c r="B320" s="37"/>
      <c r="C320" s="53">
        <v>4860</v>
      </c>
      <c r="D320" s="54" t="s">
        <v>224</v>
      </c>
      <c r="E320" s="48">
        <v>21021.96</v>
      </c>
      <c r="F320" s="44">
        <v>8118.26</v>
      </c>
      <c r="G320" s="44">
        <v>106.1</v>
      </c>
      <c r="H320" s="43">
        <f t="shared" si="74"/>
        <v>29034.120000000003</v>
      </c>
    </row>
    <row r="321" spans="1:8" s="18" customFormat="1" ht="23.1" customHeight="1" x14ac:dyDescent="0.2">
      <c r="A321" s="33"/>
      <c r="B321" s="37"/>
      <c r="C321" s="27"/>
      <c r="D321" s="520" t="s">
        <v>225</v>
      </c>
      <c r="E321" s="524">
        <v>5592.63</v>
      </c>
      <c r="F321" s="524">
        <f>SUM(F322)</f>
        <v>3587.48</v>
      </c>
      <c r="G321" s="524">
        <f>SUM(G322)</f>
        <v>0</v>
      </c>
      <c r="H321" s="125">
        <f>SUM(E321+F321-G321)</f>
        <v>9180.11</v>
      </c>
    </row>
    <row r="322" spans="1:8" s="18" customFormat="1" ht="34.5" customHeight="1" x14ac:dyDescent="0.2">
      <c r="A322" s="33"/>
      <c r="B322" s="37"/>
      <c r="C322" s="118" t="s">
        <v>226</v>
      </c>
      <c r="D322" s="119" t="s">
        <v>227</v>
      </c>
      <c r="E322" s="44">
        <v>5592.63</v>
      </c>
      <c r="F322" s="48">
        <v>3587.48</v>
      </c>
      <c r="G322" s="48"/>
      <c r="H322" s="43">
        <f t="shared" ref="H322" si="75">SUM(E322+F322-G322)</f>
        <v>9180.11</v>
      </c>
    </row>
    <row r="323" spans="1:8" s="18" customFormat="1" ht="12" customHeight="1" x14ac:dyDescent="0.2">
      <c r="A323" s="33"/>
      <c r="B323" s="37">
        <v>80105</v>
      </c>
      <c r="C323" s="27"/>
      <c r="D323" s="38" t="s">
        <v>228</v>
      </c>
      <c r="E323" s="40">
        <v>906844.38</v>
      </c>
      <c r="F323" s="40">
        <f>SUM(F324,F328)</f>
        <v>16823.419999999998</v>
      </c>
      <c r="G323" s="40">
        <f>SUM(G324,G328)</f>
        <v>6135.42</v>
      </c>
      <c r="H323" s="39">
        <f>SUM(E323+F323-G323)</f>
        <v>917532.38</v>
      </c>
    </row>
    <row r="324" spans="1:8" s="18" customFormat="1" ht="12" customHeight="1" x14ac:dyDescent="0.2">
      <c r="A324" s="33"/>
      <c r="B324" s="45"/>
      <c r="C324" s="27"/>
      <c r="D324" s="518" t="s">
        <v>28</v>
      </c>
      <c r="E324" s="524">
        <v>892983.96</v>
      </c>
      <c r="F324" s="524">
        <f>SUM(F325:F327)</f>
        <v>5500</v>
      </c>
      <c r="G324" s="524">
        <f>SUM(G325:G327)</f>
        <v>375</v>
      </c>
      <c r="H324" s="125">
        <f>SUM(E324+F324-G324)</f>
        <v>898108.96</v>
      </c>
    </row>
    <row r="325" spans="1:8" s="18" customFormat="1" ht="12" customHeight="1" x14ac:dyDescent="0.2">
      <c r="A325" s="33"/>
      <c r="B325" s="45"/>
      <c r="C325" s="9" t="s">
        <v>170</v>
      </c>
      <c r="D325" s="11" t="s">
        <v>13</v>
      </c>
      <c r="E325" s="48">
        <v>3268</v>
      </c>
      <c r="F325" s="48">
        <v>1500</v>
      </c>
      <c r="G325" s="48">
        <v>24</v>
      </c>
      <c r="H325" s="43">
        <f t="shared" ref="H325:H327" si="76">SUM(E325+F325-G325)</f>
        <v>4744</v>
      </c>
    </row>
    <row r="326" spans="1:8" s="18" customFormat="1" ht="12" customHeight="1" x14ac:dyDescent="0.2">
      <c r="A326" s="33"/>
      <c r="B326" s="45"/>
      <c r="C326" s="45">
        <v>4240</v>
      </c>
      <c r="D326" s="41" t="s">
        <v>215</v>
      </c>
      <c r="E326" s="48">
        <v>351</v>
      </c>
      <c r="F326" s="48"/>
      <c r="G326" s="48">
        <v>351</v>
      </c>
      <c r="H326" s="43">
        <f t="shared" si="76"/>
        <v>0</v>
      </c>
    </row>
    <row r="327" spans="1:8" s="18" customFormat="1" ht="12" customHeight="1" x14ac:dyDescent="0.2">
      <c r="A327" s="33"/>
      <c r="B327" s="45"/>
      <c r="C327" s="37">
        <v>4300</v>
      </c>
      <c r="D327" s="41" t="s">
        <v>14</v>
      </c>
      <c r="E327" s="48">
        <v>7250</v>
      </c>
      <c r="F327" s="48">
        <v>4000</v>
      </c>
      <c r="G327" s="48"/>
      <c r="H327" s="43">
        <f t="shared" si="76"/>
        <v>11250</v>
      </c>
    </row>
    <row r="328" spans="1:8" s="18" customFormat="1" ht="20.45" customHeight="1" x14ac:dyDescent="0.2">
      <c r="A328" s="33"/>
      <c r="B328" s="45"/>
      <c r="C328" s="27"/>
      <c r="D328" s="520" t="s">
        <v>220</v>
      </c>
      <c r="E328" s="524">
        <v>13860.42</v>
      </c>
      <c r="F328" s="524">
        <f>SUM(F329:F333)</f>
        <v>11323.42</v>
      </c>
      <c r="G328" s="524">
        <f>SUM(G329:G333)</f>
        <v>5760.42</v>
      </c>
      <c r="H328" s="125">
        <f>SUM(E328+F328-G328)</f>
        <v>19423.419999999998</v>
      </c>
    </row>
    <row r="329" spans="1:8" s="18" customFormat="1" ht="20.45" customHeight="1" x14ac:dyDescent="0.2">
      <c r="A329" s="33"/>
      <c r="B329" s="45"/>
      <c r="C329" s="118" t="s">
        <v>193</v>
      </c>
      <c r="D329" s="119" t="s">
        <v>194</v>
      </c>
      <c r="E329" s="44">
        <v>8000</v>
      </c>
      <c r="F329" s="48">
        <v>10123.42</v>
      </c>
      <c r="G329" s="48"/>
      <c r="H329" s="43">
        <f t="shared" ref="H329:H333" si="77">SUM(E329+F329-G329)</f>
        <v>18123.419999999998</v>
      </c>
    </row>
    <row r="330" spans="1:8" s="18" customFormat="1" ht="12" customHeight="1" x14ac:dyDescent="0.2">
      <c r="A330" s="33"/>
      <c r="B330" s="45"/>
      <c r="C330" s="37">
        <v>4370</v>
      </c>
      <c r="D330" s="37" t="s">
        <v>195</v>
      </c>
      <c r="E330" s="44">
        <v>50</v>
      </c>
      <c r="F330" s="48">
        <v>200</v>
      </c>
      <c r="G330" s="48"/>
      <c r="H330" s="43">
        <f t="shared" si="77"/>
        <v>250</v>
      </c>
    </row>
    <row r="331" spans="1:8" s="18" customFormat="1" ht="21" customHeight="1" x14ac:dyDescent="0.2">
      <c r="A331" s="33"/>
      <c r="B331" s="45"/>
      <c r="C331" s="53">
        <v>4750</v>
      </c>
      <c r="D331" s="54" t="s">
        <v>222</v>
      </c>
      <c r="E331" s="48">
        <v>4235.95</v>
      </c>
      <c r="F331" s="48"/>
      <c r="G331" s="48">
        <v>4235.95</v>
      </c>
      <c r="H331" s="43">
        <f t="shared" si="77"/>
        <v>0</v>
      </c>
    </row>
    <row r="332" spans="1:8" s="18" customFormat="1" ht="21" customHeight="1" x14ac:dyDescent="0.2">
      <c r="A332" s="88"/>
      <c r="B332" s="114"/>
      <c r="C332" s="99">
        <v>4850</v>
      </c>
      <c r="D332" s="92" t="s">
        <v>223</v>
      </c>
      <c r="E332" s="111">
        <v>1524.47</v>
      </c>
      <c r="F332" s="111"/>
      <c r="G332" s="111">
        <v>1524.47</v>
      </c>
      <c r="H332" s="39">
        <f t="shared" si="77"/>
        <v>0</v>
      </c>
    </row>
    <row r="333" spans="1:8" s="18" customFormat="1" ht="21" customHeight="1" x14ac:dyDescent="0.2">
      <c r="A333" s="33"/>
      <c r="B333" s="45"/>
      <c r="C333" s="53">
        <v>4860</v>
      </c>
      <c r="D333" s="54" t="s">
        <v>224</v>
      </c>
      <c r="E333" s="48">
        <v>50</v>
      </c>
      <c r="F333" s="44">
        <v>1000</v>
      </c>
      <c r="G333" s="44"/>
      <c r="H333" s="43">
        <f t="shared" si="77"/>
        <v>1050</v>
      </c>
    </row>
    <row r="334" spans="1:8" s="18" customFormat="1" ht="12" customHeight="1" x14ac:dyDescent="0.2">
      <c r="A334" s="33"/>
      <c r="B334" s="37">
        <v>80107</v>
      </c>
      <c r="C334" s="27"/>
      <c r="D334" s="76" t="s">
        <v>229</v>
      </c>
      <c r="E334" s="40">
        <v>5909018</v>
      </c>
      <c r="F334" s="40">
        <f>SUM(F335)</f>
        <v>4000</v>
      </c>
      <c r="G334" s="40">
        <f>SUM(G335)</f>
        <v>11874</v>
      </c>
      <c r="H334" s="39">
        <f>SUM(E334+F334-G334)</f>
        <v>5901144</v>
      </c>
    </row>
    <row r="335" spans="1:8" s="18" customFormat="1" ht="12" customHeight="1" x14ac:dyDescent="0.2">
      <c r="A335" s="33"/>
      <c r="B335" s="45"/>
      <c r="C335" s="27"/>
      <c r="D335" s="518" t="s">
        <v>28</v>
      </c>
      <c r="E335" s="524">
        <v>5909018</v>
      </c>
      <c r="F335" s="524">
        <f>SUM(F336:F339)</f>
        <v>4000</v>
      </c>
      <c r="G335" s="524">
        <f>SUM(G336:G339)</f>
        <v>11874</v>
      </c>
      <c r="H335" s="125">
        <f>SUM(E335+F335-G335)</f>
        <v>5901144</v>
      </c>
    </row>
    <row r="336" spans="1:8" s="18" customFormat="1" ht="12" customHeight="1" x14ac:dyDescent="0.2">
      <c r="A336" s="33"/>
      <c r="B336" s="45"/>
      <c r="C336" s="45">
        <v>3020</v>
      </c>
      <c r="D336" s="41" t="s">
        <v>181</v>
      </c>
      <c r="E336" s="48">
        <v>52424</v>
      </c>
      <c r="F336" s="48">
        <v>1000</v>
      </c>
      <c r="G336" s="48"/>
      <c r="H336" s="43">
        <f t="shared" ref="H336:H339" si="78">SUM(E336+F336-G336)</f>
        <v>53424</v>
      </c>
    </row>
    <row r="337" spans="1:8" s="18" customFormat="1" ht="12" customHeight="1" x14ac:dyDescent="0.2">
      <c r="A337" s="33"/>
      <c r="B337" s="45"/>
      <c r="C337" s="45">
        <v>4120</v>
      </c>
      <c r="D337" s="41" t="s">
        <v>30</v>
      </c>
      <c r="E337" s="48">
        <v>105106</v>
      </c>
      <c r="F337" s="48"/>
      <c r="G337" s="48">
        <v>8874</v>
      </c>
      <c r="H337" s="43">
        <f t="shared" si="78"/>
        <v>96232</v>
      </c>
    </row>
    <row r="338" spans="1:8" s="18" customFormat="1" ht="12" customHeight="1" x14ac:dyDescent="0.2">
      <c r="A338" s="33"/>
      <c r="B338" s="45"/>
      <c r="C338" s="37">
        <v>4300</v>
      </c>
      <c r="D338" s="41" t="s">
        <v>14</v>
      </c>
      <c r="E338" s="48">
        <v>5593</v>
      </c>
      <c r="F338" s="48">
        <v>3000</v>
      </c>
      <c r="G338" s="48"/>
      <c r="H338" s="43">
        <f t="shared" si="78"/>
        <v>8593</v>
      </c>
    </row>
    <row r="339" spans="1:8" s="18" customFormat="1" ht="12" customHeight="1" x14ac:dyDescent="0.2">
      <c r="A339" s="33"/>
      <c r="B339" s="45"/>
      <c r="C339" s="45">
        <v>4710</v>
      </c>
      <c r="D339" s="11" t="s">
        <v>33</v>
      </c>
      <c r="E339" s="48">
        <v>32338</v>
      </c>
      <c r="F339" s="48"/>
      <c r="G339" s="48">
        <v>3000</v>
      </c>
      <c r="H339" s="43">
        <f t="shared" si="78"/>
        <v>29338</v>
      </c>
    </row>
    <row r="340" spans="1:8" s="18" customFormat="1" ht="12" customHeight="1" x14ac:dyDescent="0.2">
      <c r="A340" s="33"/>
      <c r="B340" s="46" t="s">
        <v>230</v>
      </c>
      <c r="C340" s="75"/>
      <c r="D340" s="76" t="s">
        <v>231</v>
      </c>
      <c r="E340" s="39">
        <v>733243</v>
      </c>
      <c r="F340" s="40">
        <f>SUM(F341,F346)</f>
        <v>63374</v>
      </c>
      <c r="G340" s="40">
        <f>SUM(G341,G346)</f>
        <v>0</v>
      </c>
      <c r="H340" s="39">
        <f>SUM(E340+F340-G340)</f>
        <v>796617</v>
      </c>
    </row>
    <row r="341" spans="1:8" s="18" customFormat="1" ht="12" customHeight="1" x14ac:dyDescent="0.2">
      <c r="A341" s="33"/>
      <c r="B341" s="33"/>
      <c r="C341" s="27"/>
      <c r="D341" s="518" t="s">
        <v>28</v>
      </c>
      <c r="E341" s="524">
        <v>613243</v>
      </c>
      <c r="F341" s="524">
        <f>SUM(F342:F345)</f>
        <v>48374</v>
      </c>
      <c r="G341" s="524">
        <f>SUM(G342:G345)</f>
        <v>0</v>
      </c>
      <c r="H341" s="524">
        <f t="shared" ref="H341:H347" si="79">SUM(E341+F341-G341)</f>
        <v>661617</v>
      </c>
    </row>
    <row r="342" spans="1:8" s="18" customFormat="1" ht="12" customHeight="1" x14ac:dyDescent="0.2">
      <c r="A342" s="33"/>
      <c r="B342" s="66"/>
      <c r="C342" s="9" t="s">
        <v>170</v>
      </c>
      <c r="D342" s="11" t="s">
        <v>13</v>
      </c>
      <c r="E342" s="43">
        <v>100510</v>
      </c>
      <c r="F342" s="43">
        <v>10000</v>
      </c>
      <c r="G342" s="42"/>
      <c r="H342" s="42">
        <f t="shared" si="79"/>
        <v>110510</v>
      </c>
    </row>
    <row r="343" spans="1:8" s="18" customFormat="1" ht="12" customHeight="1" x14ac:dyDescent="0.2">
      <c r="A343" s="33"/>
      <c r="B343" s="66"/>
      <c r="C343" s="45">
        <v>4270</v>
      </c>
      <c r="D343" s="41" t="s">
        <v>171</v>
      </c>
      <c r="E343" s="43">
        <v>10500</v>
      </c>
      <c r="F343" s="43">
        <v>15000</v>
      </c>
      <c r="G343" s="42"/>
      <c r="H343" s="42">
        <f t="shared" si="79"/>
        <v>25500</v>
      </c>
    </row>
    <row r="344" spans="1:8" s="18" customFormat="1" ht="12" customHeight="1" x14ac:dyDescent="0.2">
      <c r="A344" s="33"/>
      <c r="B344" s="66"/>
      <c r="C344" s="37">
        <v>4300</v>
      </c>
      <c r="D344" s="41" t="s">
        <v>14</v>
      </c>
      <c r="E344" s="43">
        <v>24239</v>
      </c>
      <c r="F344" s="43">
        <v>17500</v>
      </c>
      <c r="G344" s="42"/>
      <c r="H344" s="42">
        <f t="shared" si="79"/>
        <v>41739</v>
      </c>
    </row>
    <row r="345" spans="1:8" s="18" customFormat="1" ht="12" customHeight="1" x14ac:dyDescent="0.2">
      <c r="A345" s="33"/>
      <c r="B345" s="66"/>
      <c r="C345" s="45">
        <v>4440</v>
      </c>
      <c r="D345" s="41" t="s">
        <v>200</v>
      </c>
      <c r="E345" s="43">
        <v>8239</v>
      </c>
      <c r="F345" s="43">
        <v>5874</v>
      </c>
      <c r="G345" s="42"/>
      <c r="H345" s="42">
        <f t="shared" si="79"/>
        <v>14113</v>
      </c>
    </row>
    <row r="346" spans="1:8" s="18" customFormat="1" ht="12" customHeight="1" x14ac:dyDescent="0.2">
      <c r="A346" s="33"/>
      <c r="B346" s="66"/>
      <c r="C346" s="27"/>
      <c r="D346" s="531" t="s">
        <v>26</v>
      </c>
      <c r="E346" s="524">
        <v>120000</v>
      </c>
      <c r="F346" s="524">
        <f>SUM(F347:F347)</f>
        <v>15000</v>
      </c>
      <c r="G346" s="524">
        <f>SUM(G347:G347)</f>
        <v>0</v>
      </c>
      <c r="H346" s="524">
        <f t="shared" si="79"/>
        <v>135000</v>
      </c>
    </row>
    <row r="347" spans="1:8" s="18" customFormat="1" ht="12" customHeight="1" x14ac:dyDescent="0.2">
      <c r="A347" s="33"/>
      <c r="B347" s="66"/>
      <c r="C347" s="37">
        <v>4300</v>
      </c>
      <c r="D347" s="41" t="s">
        <v>14</v>
      </c>
      <c r="E347" s="42">
        <v>120000</v>
      </c>
      <c r="F347" s="42">
        <v>15000</v>
      </c>
      <c r="G347" s="42"/>
      <c r="H347" s="42">
        <f t="shared" si="79"/>
        <v>135000</v>
      </c>
    </row>
    <row r="348" spans="1:8" s="18" customFormat="1" ht="12" customHeight="1" x14ac:dyDescent="0.2">
      <c r="A348" s="33"/>
      <c r="B348" s="37">
        <v>80115</v>
      </c>
      <c r="C348" s="27"/>
      <c r="D348" s="38" t="s">
        <v>51</v>
      </c>
      <c r="E348" s="39">
        <v>46330580.099999994</v>
      </c>
      <c r="F348" s="40">
        <f>SUM(F349,F361)</f>
        <v>44789</v>
      </c>
      <c r="G348" s="40">
        <f>SUM(G349,G361)</f>
        <v>50675.91</v>
      </c>
      <c r="H348" s="39">
        <f>SUM(E348+F348-G348)</f>
        <v>46324693.189999998</v>
      </c>
    </row>
    <row r="349" spans="1:8" s="18" customFormat="1" ht="12" customHeight="1" x14ac:dyDescent="0.2">
      <c r="A349" s="33"/>
      <c r="B349" s="37"/>
      <c r="C349" s="45"/>
      <c r="D349" s="518" t="s">
        <v>28</v>
      </c>
      <c r="E349" s="524">
        <v>42471282.960000001</v>
      </c>
      <c r="F349" s="527">
        <f>SUM(F350:F360)</f>
        <v>29471</v>
      </c>
      <c r="G349" s="527">
        <f>SUM(G350:G360)</f>
        <v>43305</v>
      </c>
      <c r="H349" s="125">
        <f t="shared" ref="H349:H360" si="80">SUM(E349+F349-G349)</f>
        <v>42457448.960000001</v>
      </c>
    </row>
    <row r="350" spans="1:8" s="18" customFormat="1" ht="12" customHeight="1" x14ac:dyDescent="0.2">
      <c r="A350" s="33"/>
      <c r="B350" s="37"/>
      <c r="C350" s="45">
        <v>3020</v>
      </c>
      <c r="D350" s="41" t="s">
        <v>181</v>
      </c>
      <c r="E350" s="48">
        <v>194916</v>
      </c>
      <c r="F350" s="44"/>
      <c r="G350" s="44">
        <f>2500+16834</f>
        <v>19334</v>
      </c>
      <c r="H350" s="43">
        <f t="shared" si="80"/>
        <v>175582</v>
      </c>
    </row>
    <row r="351" spans="1:8" s="18" customFormat="1" ht="12" customHeight="1" x14ac:dyDescent="0.2">
      <c r="A351" s="33"/>
      <c r="B351" s="37"/>
      <c r="C351" s="45">
        <v>4130</v>
      </c>
      <c r="D351" s="41" t="s">
        <v>232</v>
      </c>
      <c r="E351" s="44">
        <v>3375</v>
      </c>
      <c r="F351" s="48">
        <v>56</v>
      </c>
      <c r="G351" s="48"/>
      <c r="H351" s="43">
        <f t="shared" si="80"/>
        <v>3431</v>
      </c>
    </row>
    <row r="352" spans="1:8" s="18" customFormat="1" ht="12" customHeight="1" x14ac:dyDescent="0.2">
      <c r="A352" s="33"/>
      <c r="B352" s="37"/>
      <c r="C352" s="9" t="s">
        <v>170</v>
      </c>
      <c r="D352" s="11" t="s">
        <v>13</v>
      </c>
      <c r="E352" s="44">
        <v>297232</v>
      </c>
      <c r="F352" s="48">
        <v>1500</v>
      </c>
      <c r="G352" s="48"/>
      <c r="H352" s="43">
        <f t="shared" si="80"/>
        <v>298732</v>
      </c>
    </row>
    <row r="353" spans="1:8" s="18" customFormat="1" ht="12" customHeight="1" x14ac:dyDescent="0.2">
      <c r="A353" s="33"/>
      <c r="B353" s="37"/>
      <c r="C353" s="45">
        <v>4240</v>
      </c>
      <c r="D353" s="41" t="s">
        <v>215</v>
      </c>
      <c r="E353" s="44">
        <v>231310</v>
      </c>
      <c r="F353" s="48">
        <v>1200</v>
      </c>
      <c r="G353" s="48"/>
      <c r="H353" s="43">
        <f t="shared" si="80"/>
        <v>232510</v>
      </c>
    </row>
    <row r="354" spans="1:8" s="18" customFormat="1" ht="12" customHeight="1" x14ac:dyDescent="0.2">
      <c r="A354" s="33"/>
      <c r="B354" s="37"/>
      <c r="C354" s="45">
        <v>4260</v>
      </c>
      <c r="D354" s="41" t="s">
        <v>188</v>
      </c>
      <c r="E354" s="44">
        <v>2076232</v>
      </c>
      <c r="F354" s="48"/>
      <c r="G354" s="48">
        <v>8000</v>
      </c>
      <c r="H354" s="43">
        <f t="shared" si="80"/>
        <v>2068232</v>
      </c>
    </row>
    <row r="355" spans="1:8" s="18" customFormat="1" ht="12" customHeight="1" x14ac:dyDescent="0.2">
      <c r="A355" s="33"/>
      <c r="B355" s="37"/>
      <c r="C355" s="45">
        <v>4270</v>
      </c>
      <c r="D355" s="41" t="s">
        <v>171</v>
      </c>
      <c r="E355" s="44">
        <v>201648</v>
      </c>
      <c r="F355" s="48"/>
      <c r="G355" s="48">
        <v>3000</v>
      </c>
      <c r="H355" s="43">
        <f t="shared" si="80"/>
        <v>198648</v>
      </c>
    </row>
    <row r="356" spans="1:8" s="18" customFormat="1" ht="12" customHeight="1" x14ac:dyDescent="0.2">
      <c r="A356" s="33"/>
      <c r="B356" s="37"/>
      <c r="C356" s="45">
        <v>4280</v>
      </c>
      <c r="D356" s="41" t="s">
        <v>216</v>
      </c>
      <c r="E356" s="44">
        <v>28307</v>
      </c>
      <c r="F356" s="48">
        <v>2500</v>
      </c>
      <c r="G356" s="48"/>
      <c r="H356" s="43">
        <f t="shared" si="80"/>
        <v>30807</v>
      </c>
    </row>
    <row r="357" spans="1:8" s="18" customFormat="1" ht="12" customHeight="1" x14ac:dyDescent="0.2">
      <c r="A357" s="33"/>
      <c r="B357" s="37"/>
      <c r="C357" s="37">
        <v>4300</v>
      </c>
      <c r="D357" s="41" t="s">
        <v>14</v>
      </c>
      <c r="E357" s="44">
        <v>377058</v>
      </c>
      <c r="F357" s="48">
        <v>20915</v>
      </c>
      <c r="G357" s="48">
        <v>56</v>
      </c>
      <c r="H357" s="43">
        <f t="shared" si="80"/>
        <v>397917</v>
      </c>
    </row>
    <row r="358" spans="1:8" s="18" customFormat="1" ht="12" customHeight="1" x14ac:dyDescent="0.2">
      <c r="A358" s="33"/>
      <c r="B358" s="37"/>
      <c r="C358" s="45">
        <v>4360</v>
      </c>
      <c r="D358" s="41" t="s">
        <v>217</v>
      </c>
      <c r="E358" s="44">
        <v>27012</v>
      </c>
      <c r="F358" s="48">
        <v>300</v>
      </c>
      <c r="G358" s="48"/>
      <c r="H358" s="43">
        <f t="shared" si="80"/>
        <v>27312</v>
      </c>
    </row>
    <row r="359" spans="1:8" s="18" customFormat="1" ht="12" customHeight="1" x14ac:dyDescent="0.2">
      <c r="A359" s="33"/>
      <c r="B359" s="37"/>
      <c r="C359" s="45">
        <v>4430</v>
      </c>
      <c r="D359" s="41" t="s">
        <v>233</v>
      </c>
      <c r="E359" s="44">
        <v>23038</v>
      </c>
      <c r="F359" s="48"/>
      <c r="G359" s="48">
        <v>12915</v>
      </c>
      <c r="H359" s="43">
        <f t="shared" si="80"/>
        <v>10123</v>
      </c>
    </row>
    <row r="360" spans="1:8" s="18" customFormat="1" ht="12" customHeight="1" x14ac:dyDescent="0.2">
      <c r="A360" s="33"/>
      <c r="B360" s="37"/>
      <c r="C360" s="45">
        <v>4440</v>
      </c>
      <c r="D360" s="41" t="s">
        <v>200</v>
      </c>
      <c r="E360" s="44">
        <v>1238706</v>
      </c>
      <c r="F360" s="48">
        <v>3000</v>
      </c>
      <c r="G360" s="48"/>
      <c r="H360" s="43">
        <f t="shared" si="80"/>
        <v>1241706</v>
      </c>
    </row>
    <row r="361" spans="1:8" s="18" customFormat="1" ht="23.1" customHeight="1" x14ac:dyDescent="0.2">
      <c r="A361" s="33"/>
      <c r="B361" s="37"/>
      <c r="C361" s="27"/>
      <c r="D361" s="520" t="s">
        <v>220</v>
      </c>
      <c r="E361" s="524">
        <v>20695.399999999998</v>
      </c>
      <c r="F361" s="524">
        <f>SUM(F362:F366)</f>
        <v>15318</v>
      </c>
      <c r="G361" s="524">
        <f>SUM(G362:G366)</f>
        <v>7370.91</v>
      </c>
      <c r="H361" s="125">
        <f>SUM(E361+F361-G361)</f>
        <v>28642.489999999994</v>
      </c>
    </row>
    <row r="362" spans="1:8" s="18" customFormat="1" ht="20.45" customHeight="1" x14ac:dyDescent="0.2">
      <c r="A362" s="33"/>
      <c r="B362" s="37"/>
      <c r="C362" s="118" t="s">
        <v>193</v>
      </c>
      <c r="D362" s="119" t="s">
        <v>194</v>
      </c>
      <c r="E362" s="48">
        <v>0</v>
      </c>
      <c r="F362" s="48">
        <f>5986+5000</f>
        <v>10986</v>
      </c>
      <c r="G362" s="48"/>
      <c r="H362" s="43">
        <f t="shared" ref="H362:H366" si="81">SUM(E362+F362-G362)</f>
        <v>10986</v>
      </c>
    </row>
    <row r="363" spans="1:8" s="18" customFormat="1" ht="12" customHeight="1" x14ac:dyDescent="0.2">
      <c r="A363" s="33"/>
      <c r="B363" s="37"/>
      <c r="C363" s="37">
        <v>4370</v>
      </c>
      <c r="D363" s="37" t="s">
        <v>195</v>
      </c>
      <c r="E363" s="48">
        <v>13.51</v>
      </c>
      <c r="F363" s="48">
        <f>85+100</f>
        <v>185</v>
      </c>
      <c r="G363" s="48"/>
      <c r="H363" s="43">
        <f t="shared" si="81"/>
        <v>198.51</v>
      </c>
    </row>
    <row r="364" spans="1:8" s="18" customFormat="1" ht="23.1" customHeight="1" x14ac:dyDescent="0.2">
      <c r="A364" s="33"/>
      <c r="B364" s="37"/>
      <c r="C364" s="53">
        <v>4750</v>
      </c>
      <c r="D364" s="54" t="s">
        <v>222</v>
      </c>
      <c r="E364" s="48">
        <v>16629.77</v>
      </c>
      <c r="F364" s="44">
        <v>2070</v>
      </c>
      <c r="G364" s="44">
        <v>5860.58</v>
      </c>
      <c r="H364" s="43">
        <f t="shared" si="81"/>
        <v>12839.19</v>
      </c>
    </row>
    <row r="365" spans="1:8" s="18" customFormat="1" ht="23.1" customHeight="1" x14ac:dyDescent="0.2">
      <c r="A365" s="33"/>
      <c r="B365" s="37"/>
      <c r="C365" s="53">
        <v>4850</v>
      </c>
      <c r="D365" s="54" t="s">
        <v>223</v>
      </c>
      <c r="E365" s="48">
        <v>3961.78</v>
      </c>
      <c r="F365" s="48">
        <v>232</v>
      </c>
      <c r="G365" s="48">
        <v>1510.33</v>
      </c>
      <c r="H365" s="43">
        <f t="shared" si="81"/>
        <v>2683.4500000000007</v>
      </c>
    </row>
    <row r="366" spans="1:8" s="18" customFormat="1" ht="20.25" customHeight="1" x14ac:dyDescent="0.2">
      <c r="A366" s="33"/>
      <c r="B366" s="37"/>
      <c r="C366" s="53">
        <v>4860</v>
      </c>
      <c r="D366" s="54" t="s">
        <v>224</v>
      </c>
      <c r="E366" s="48">
        <v>90.34</v>
      </c>
      <c r="F366" s="48">
        <f>645+1200</f>
        <v>1845</v>
      </c>
      <c r="G366" s="48"/>
      <c r="H366" s="43">
        <f t="shared" si="81"/>
        <v>1935.34</v>
      </c>
    </row>
    <row r="367" spans="1:8" s="18" customFormat="1" ht="12" customHeight="1" x14ac:dyDescent="0.2">
      <c r="A367" s="33"/>
      <c r="B367" s="37">
        <v>80116</v>
      </c>
      <c r="C367" s="27"/>
      <c r="D367" s="38" t="s">
        <v>234</v>
      </c>
      <c r="E367" s="111">
        <v>6407189.5800000001</v>
      </c>
      <c r="F367" s="40">
        <f>SUM(F368)</f>
        <v>78000</v>
      </c>
      <c r="G367" s="40">
        <f>SUM(G368)</f>
        <v>0</v>
      </c>
      <c r="H367" s="39">
        <f>SUM(E367+F367-G367)</f>
        <v>6485189.5800000001</v>
      </c>
    </row>
    <row r="368" spans="1:8" s="18" customFormat="1" ht="12" customHeight="1" x14ac:dyDescent="0.2">
      <c r="A368" s="33"/>
      <c r="B368" s="37"/>
      <c r="C368" s="27"/>
      <c r="D368" s="531" t="s">
        <v>26</v>
      </c>
      <c r="E368" s="524">
        <v>5506549.9100000001</v>
      </c>
      <c r="F368" s="524">
        <f>SUM(F369:F369)</f>
        <v>78000</v>
      </c>
      <c r="G368" s="524">
        <f>SUM(G369:G369)</f>
        <v>0</v>
      </c>
      <c r="H368" s="524">
        <f t="shared" ref="H368:H369" si="82">SUM(E368+F368-G368)</f>
        <v>5584549.9100000001</v>
      </c>
    </row>
    <row r="369" spans="1:8" s="18" customFormat="1" ht="21" customHeight="1" x14ac:dyDescent="0.2">
      <c r="A369" s="33"/>
      <c r="B369" s="37"/>
      <c r="C369" s="53">
        <v>2540</v>
      </c>
      <c r="D369" s="54" t="s">
        <v>212</v>
      </c>
      <c r="E369" s="42">
        <v>5506549.9100000001</v>
      </c>
      <c r="F369" s="42">
        <v>78000</v>
      </c>
      <c r="G369" s="42"/>
      <c r="H369" s="42">
        <f t="shared" si="82"/>
        <v>5584549.9100000001</v>
      </c>
    </row>
    <row r="370" spans="1:8" s="18" customFormat="1" ht="12" customHeight="1" x14ac:dyDescent="0.2">
      <c r="A370" s="33"/>
      <c r="B370" s="37">
        <v>80117</v>
      </c>
      <c r="C370" s="27"/>
      <c r="D370" s="38" t="s">
        <v>235</v>
      </c>
      <c r="E370" s="111">
        <v>8929887.370000001</v>
      </c>
      <c r="F370" s="40">
        <f>SUM(F371,F374,F376,F382)</f>
        <v>6741.5</v>
      </c>
      <c r="G370" s="40">
        <f>SUM(G371,G374,G376,G382)</f>
        <v>127565</v>
      </c>
      <c r="H370" s="39">
        <f>SUM(E370+F370-G370)</f>
        <v>8809063.870000001</v>
      </c>
    </row>
    <row r="371" spans="1:8" s="18" customFormat="1" ht="12" customHeight="1" x14ac:dyDescent="0.2">
      <c r="A371" s="33"/>
      <c r="B371" s="37"/>
      <c r="C371" s="27"/>
      <c r="D371" s="531" t="s">
        <v>26</v>
      </c>
      <c r="E371" s="524">
        <v>2553219.77</v>
      </c>
      <c r="F371" s="524">
        <f>SUM(F372:F373)</f>
        <v>0</v>
      </c>
      <c r="G371" s="524">
        <f>SUM(G372:G373)</f>
        <v>120000</v>
      </c>
      <c r="H371" s="524">
        <f t="shared" ref="H371:H375" si="83">SUM(E371+F371-G371)</f>
        <v>2433219.77</v>
      </c>
    </row>
    <row r="372" spans="1:8" s="18" customFormat="1" ht="21" customHeight="1" x14ac:dyDescent="0.2">
      <c r="A372" s="33"/>
      <c r="B372" s="37"/>
      <c r="C372" s="53">
        <v>2540</v>
      </c>
      <c r="D372" s="54" t="s">
        <v>212</v>
      </c>
      <c r="E372" s="42">
        <v>1529028.5</v>
      </c>
      <c r="F372" s="42"/>
      <c r="G372" s="42">
        <v>70000</v>
      </c>
      <c r="H372" s="42">
        <f t="shared" si="83"/>
        <v>1459028.5</v>
      </c>
    </row>
    <row r="373" spans="1:8" s="18" customFormat="1" ht="34.5" customHeight="1" x14ac:dyDescent="0.2">
      <c r="A373" s="33"/>
      <c r="B373" s="37"/>
      <c r="C373" s="53">
        <v>2590</v>
      </c>
      <c r="D373" s="131" t="s">
        <v>213</v>
      </c>
      <c r="E373" s="48">
        <v>1024191.27</v>
      </c>
      <c r="F373" s="48"/>
      <c r="G373" s="48">
        <v>50000</v>
      </c>
      <c r="H373" s="44">
        <f t="shared" si="83"/>
        <v>974191.27</v>
      </c>
    </row>
    <row r="374" spans="1:8" s="18" customFormat="1" ht="12" customHeight="1" x14ac:dyDescent="0.2">
      <c r="A374" s="33"/>
      <c r="B374" s="33"/>
      <c r="C374" s="27"/>
      <c r="D374" s="518" t="s">
        <v>28</v>
      </c>
      <c r="E374" s="524">
        <v>6365403.0499999998</v>
      </c>
      <c r="F374" s="524">
        <f>SUM(F375)</f>
        <v>0</v>
      </c>
      <c r="G374" s="524">
        <f>SUM(G375)</f>
        <v>4752</v>
      </c>
      <c r="H374" s="524">
        <f t="shared" si="83"/>
        <v>6360651.0499999998</v>
      </c>
    </row>
    <row r="375" spans="1:8" s="18" customFormat="1" ht="12" customHeight="1" x14ac:dyDescent="0.2">
      <c r="A375" s="33"/>
      <c r="B375" s="33"/>
      <c r="C375" s="45">
        <v>3020</v>
      </c>
      <c r="D375" s="41" t="s">
        <v>181</v>
      </c>
      <c r="E375" s="48">
        <v>56759</v>
      </c>
      <c r="F375" s="48"/>
      <c r="G375" s="48">
        <v>4752</v>
      </c>
      <c r="H375" s="44">
        <f t="shared" si="83"/>
        <v>52007</v>
      </c>
    </row>
    <row r="376" spans="1:8" s="18" customFormat="1" ht="21.75" customHeight="1" x14ac:dyDescent="0.2">
      <c r="A376" s="33"/>
      <c r="B376" s="37"/>
      <c r="C376" s="27"/>
      <c r="D376" s="520" t="s">
        <v>220</v>
      </c>
      <c r="E376" s="524">
        <v>10555.210000000001</v>
      </c>
      <c r="F376" s="524">
        <f>SUM(F377:F381)</f>
        <v>6000.91</v>
      </c>
      <c r="G376" s="524">
        <f>SUM(G377:G381)</f>
        <v>2813</v>
      </c>
      <c r="H376" s="125">
        <f>SUM(E376+F376-G376)</f>
        <v>13743.120000000003</v>
      </c>
    </row>
    <row r="377" spans="1:8" s="18" customFormat="1" ht="20.25" customHeight="1" x14ac:dyDescent="0.2">
      <c r="A377" s="33"/>
      <c r="B377" s="37"/>
      <c r="C377" s="118" t="s">
        <v>193</v>
      </c>
      <c r="D377" s="119" t="s">
        <v>194</v>
      </c>
      <c r="E377" s="48">
        <v>3200</v>
      </c>
      <c r="F377" s="48">
        <f>2117+2557.7</f>
        <v>4674.7</v>
      </c>
      <c r="G377" s="48"/>
      <c r="H377" s="43">
        <f t="shared" ref="H377:H381" si="84">SUM(E377+F377-G377)</f>
        <v>7874.7</v>
      </c>
    </row>
    <row r="378" spans="1:8" s="18" customFormat="1" ht="12" customHeight="1" x14ac:dyDescent="0.2">
      <c r="A378" s="33"/>
      <c r="B378" s="37"/>
      <c r="C378" s="37">
        <v>4370</v>
      </c>
      <c r="D378" s="37" t="s">
        <v>195</v>
      </c>
      <c r="E378" s="48">
        <v>11.61</v>
      </c>
      <c r="F378" s="48">
        <v>47.27</v>
      </c>
      <c r="G378" s="48"/>
      <c r="H378" s="43">
        <f t="shared" si="84"/>
        <v>58.88</v>
      </c>
    </row>
    <row r="379" spans="1:8" s="18" customFormat="1" ht="20.25" customHeight="1" x14ac:dyDescent="0.2">
      <c r="A379" s="33"/>
      <c r="B379" s="37"/>
      <c r="C379" s="53">
        <v>4750</v>
      </c>
      <c r="D379" s="54" t="s">
        <v>222</v>
      </c>
      <c r="E379" s="48">
        <v>4804.51</v>
      </c>
      <c r="F379" s="42"/>
      <c r="G379" s="42">
        <v>1848</v>
      </c>
      <c r="H379" s="42">
        <f t="shared" si="84"/>
        <v>2956.51</v>
      </c>
    </row>
    <row r="380" spans="1:8" s="18" customFormat="1" ht="21" customHeight="1" x14ac:dyDescent="0.2">
      <c r="A380" s="33"/>
      <c r="B380" s="37"/>
      <c r="C380" s="53">
        <v>4850</v>
      </c>
      <c r="D380" s="54" t="s">
        <v>223</v>
      </c>
      <c r="E380" s="48">
        <v>1513.35</v>
      </c>
      <c r="F380" s="48"/>
      <c r="G380" s="48">
        <v>965</v>
      </c>
      <c r="H380" s="44">
        <f t="shared" si="84"/>
        <v>548.34999999999991</v>
      </c>
    </row>
    <row r="381" spans="1:8" s="18" customFormat="1" ht="21" customHeight="1" x14ac:dyDescent="0.2">
      <c r="A381" s="88"/>
      <c r="B381" s="113"/>
      <c r="C381" s="99">
        <v>4860</v>
      </c>
      <c r="D381" s="92" t="s">
        <v>224</v>
      </c>
      <c r="E381" s="111">
        <v>1025.74</v>
      </c>
      <c r="F381" s="111">
        <v>1278.94</v>
      </c>
      <c r="G381" s="111"/>
      <c r="H381" s="39">
        <f t="shared" si="84"/>
        <v>2304.6800000000003</v>
      </c>
    </row>
    <row r="382" spans="1:8" s="18" customFormat="1" ht="21" customHeight="1" x14ac:dyDescent="0.2">
      <c r="A382" s="33"/>
      <c r="B382" s="37"/>
      <c r="C382" s="27"/>
      <c r="D382" s="520" t="s">
        <v>225</v>
      </c>
      <c r="E382" s="524">
        <v>709.34</v>
      </c>
      <c r="F382" s="524">
        <f>SUM(F383)</f>
        <v>740.59</v>
      </c>
      <c r="G382" s="524">
        <f>SUM(G383)</f>
        <v>0</v>
      </c>
      <c r="H382" s="125">
        <f>SUM(E382+F382-G382)</f>
        <v>1449.93</v>
      </c>
    </row>
    <row r="383" spans="1:8" s="18" customFormat="1" ht="34.5" customHeight="1" x14ac:dyDescent="0.2">
      <c r="A383" s="33"/>
      <c r="B383" s="37"/>
      <c r="C383" s="118" t="s">
        <v>226</v>
      </c>
      <c r="D383" s="119" t="s">
        <v>227</v>
      </c>
      <c r="E383" s="44">
        <v>709.34</v>
      </c>
      <c r="F383" s="48">
        <v>740.59</v>
      </c>
      <c r="G383" s="48"/>
      <c r="H383" s="43">
        <f t="shared" ref="H383" si="85">SUM(E383+F383-G383)</f>
        <v>1449.93</v>
      </c>
    </row>
    <row r="384" spans="1:8" s="18" customFormat="1" ht="12" customHeight="1" x14ac:dyDescent="0.2">
      <c r="A384" s="33"/>
      <c r="B384" s="46">
        <v>80120</v>
      </c>
      <c r="C384" s="75"/>
      <c r="D384" s="76" t="s">
        <v>53</v>
      </c>
      <c r="E384" s="111">
        <v>32716363.52</v>
      </c>
      <c r="F384" s="40">
        <f>SUM(F385,F388,F399,F402,F408)</f>
        <v>170932.41000000003</v>
      </c>
      <c r="G384" s="40">
        <f>SUM(G385,G388,G402,G408)</f>
        <v>127908</v>
      </c>
      <c r="H384" s="39">
        <f>SUM(E384+F384-G384)</f>
        <v>32759387.93</v>
      </c>
    </row>
    <row r="385" spans="1:8" s="18" customFormat="1" ht="12" customHeight="1" x14ac:dyDescent="0.2">
      <c r="A385" s="33"/>
      <c r="B385" s="46"/>
      <c r="C385" s="27"/>
      <c r="D385" s="531" t="s">
        <v>26</v>
      </c>
      <c r="E385" s="524">
        <v>6688107.5899999999</v>
      </c>
      <c r="F385" s="524">
        <f>SUM(F386:F387)</f>
        <v>0</v>
      </c>
      <c r="G385" s="524">
        <f>SUM(G386:G387)</f>
        <v>75000</v>
      </c>
      <c r="H385" s="524">
        <f t="shared" ref="H385:H407" si="86">SUM(E385+F385-G385)</f>
        <v>6613107.5899999999</v>
      </c>
    </row>
    <row r="386" spans="1:8" s="18" customFormat="1" ht="21" customHeight="1" x14ac:dyDescent="0.2">
      <c r="A386" s="33"/>
      <c r="B386" s="46"/>
      <c r="C386" s="53">
        <v>2540</v>
      </c>
      <c r="D386" s="54" t="s">
        <v>212</v>
      </c>
      <c r="E386" s="42">
        <v>3476805.58</v>
      </c>
      <c r="F386" s="42"/>
      <c r="G386" s="42">
        <v>50000</v>
      </c>
      <c r="H386" s="42">
        <f t="shared" si="86"/>
        <v>3426805.58</v>
      </c>
    </row>
    <row r="387" spans="1:8" s="18" customFormat="1" ht="34.15" customHeight="1" x14ac:dyDescent="0.2">
      <c r="A387" s="33"/>
      <c r="B387" s="46"/>
      <c r="C387" s="53">
        <v>2590</v>
      </c>
      <c r="D387" s="131" t="s">
        <v>213</v>
      </c>
      <c r="E387" s="42">
        <v>3198527.36</v>
      </c>
      <c r="F387" s="42"/>
      <c r="G387" s="42">
        <v>25000</v>
      </c>
      <c r="H387" s="42">
        <f t="shared" si="86"/>
        <v>3173527.36</v>
      </c>
    </row>
    <row r="388" spans="1:8" s="18" customFormat="1" ht="12" customHeight="1" x14ac:dyDescent="0.2">
      <c r="A388" s="33"/>
      <c r="B388" s="33"/>
      <c r="C388" s="27"/>
      <c r="D388" s="518" t="s">
        <v>28</v>
      </c>
      <c r="E388" s="524">
        <v>25508006.57</v>
      </c>
      <c r="F388" s="524">
        <f>SUM(F389:F398)</f>
        <v>29493</v>
      </c>
      <c r="G388" s="524">
        <f>SUM(G389:G398)</f>
        <v>23843</v>
      </c>
      <c r="H388" s="524">
        <f t="shared" si="86"/>
        <v>25513656.57</v>
      </c>
    </row>
    <row r="389" spans="1:8" s="18" customFormat="1" ht="11.45" customHeight="1" x14ac:dyDescent="0.2">
      <c r="A389" s="33"/>
      <c r="B389" s="37"/>
      <c r="C389" s="53">
        <v>3020</v>
      </c>
      <c r="D389" s="115" t="s">
        <v>181</v>
      </c>
      <c r="E389" s="43">
        <v>32452</v>
      </c>
      <c r="F389" s="42"/>
      <c r="G389" s="42">
        <v>7500</v>
      </c>
      <c r="H389" s="42">
        <f t="shared" si="86"/>
        <v>24952</v>
      </c>
    </row>
    <row r="390" spans="1:8" s="18" customFormat="1" ht="11.45" customHeight="1" x14ac:dyDescent="0.2">
      <c r="A390" s="33"/>
      <c r="B390" s="37"/>
      <c r="C390" s="9" t="s">
        <v>202</v>
      </c>
      <c r="D390" s="11" t="s">
        <v>203</v>
      </c>
      <c r="E390" s="43">
        <v>0</v>
      </c>
      <c r="F390" s="42">
        <v>500</v>
      </c>
      <c r="G390" s="42"/>
      <c r="H390" s="42">
        <f t="shared" si="86"/>
        <v>500</v>
      </c>
    </row>
    <row r="391" spans="1:8" s="18" customFormat="1" ht="11.45" customHeight="1" x14ac:dyDescent="0.2">
      <c r="A391" s="33"/>
      <c r="B391" s="37"/>
      <c r="C391" s="9" t="s">
        <v>170</v>
      </c>
      <c r="D391" s="11" t="s">
        <v>13</v>
      </c>
      <c r="E391" s="48">
        <v>173665</v>
      </c>
      <c r="F391" s="48">
        <f>9000+1643</f>
        <v>10643</v>
      </c>
      <c r="G391" s="48"/>
      <c r="H391" s="44">
        <f t="shared" si="86"/>
        <v>184308</v>
      </c>
    </row>
    <row r="392" spans="1:8" s="18" customFormat="1" ht="11.45" customHeight="1" x14ac:dyDescent="0.2">
      <c r="A392" s="33"/>
      <c r="B392" s="37"/>
      <c r="C392" s="45">
        <v>4240</v>
      </c>
      <c r="D392" s="41" t="s">
        <v>215</v>
      </c>
      <c r="E392" s="43">
        <v>94753</v>
      </c>
      <c r="F392" s="48"/>
      <c r="G392" s="48">
        <f>5000+500</f>
        <v>5500</v>
      </c>
      <c r="H392" s="44">
        <f t="shared" si="86"/>
        <v>89253</v>
      </c>
    </row>
    <row r="393" spans="1:8" s="18" customFormat="1" ht="11.45" customHeight="1" x14ac:dyDescent="0.2">
      <c r="A393" s="33"/>
      <c r="B393" s="37"/>
      <c r="C393" s="53">
        <v>4260</v>
      </c>
      <c r="D393" s="115" t="s">
        <v>188</v>
      </c>
      <c r="E393" s="43">
        <v>1611717</v>
      </c>
      <c r="F393" s="48">
        <f>11350+5000</f>
        <v>16350</v>
      </c>
      <c r="G393" s="48"/>
      <c r="H393" s="44">
        <f t="shared" si="86"/>
        <v>1628067</v>
      </c>
    </row>
    <row r="394" spans="1:8" s="18" customFormat="1" ht="11.45" customHeight="1" x14ac:dyDescent="0.2">
      <c r="A394" s="33"/>
      <c r="B394" s="37"/>
      <c r="C394" s="45">
        <v>4270</v>
      </c>
      <c r="D394" s="41" t="s">
        <v>171</v>
      </c>
      <c r="E394" s="43">
        <v>43744</v>
      </c>
      <c r="F394" s="48"/>
      <c r="G394" s="48">
        <f>3000+1000</f>
        <v>4000</v>
      </c>
      <c r="H394" s="44">
        <f t="shared" si="86"/>
        <v>39744</v>
      </c>
    </row>
    <row r="395" spans="1:8" s="18" customFormat="1" ht="11.45" customHeight="1" x14ac:dyDescent="0.2">
      <c r="A395" s="33"/>
      <c r="B395" s="37"/>
      <c r="C395" s="45">
        <v>4280</v>
      </c>
      <c r="D395" s="41" t="s">
        <v>216</v>
      </c>
      <c r="E395" s="43">
        <v>17005</v>
      </c>
      <c r="F395" s="48"/>
      <c r="G395" s="48">
        <v>1000</v>
      </c>
      <c r="H395" s="44">
        <f t="shared" si="86"/>
        <v>16005</v>
      </c>
    </row>
    <row r="396" spans="1:8" s="18" customFormat="1" ht="11.45" customHeight="1" x14ac:dyDescent="0.2">
      <c r="A396" s="33"/>
      <c r="B396" s="37"/>
      <c r="C396" s="45">
        <v>4300</v>
      </c>
      <c r="D396" s="41" t="s">
        <v>14</v>
      </c>
      <c r="E396" s="43">
        <v>231233</v>
      </c>
      <c r="F396" s="48">
        <v>2000</v>
      </c>
      <c r="G396" s="48"/>
      <c r="H396" s="44">
        <f t="shared" si="86"/>
        <v>233233</v>
      </c>
    </row>
    <row r="397" spans="1:8" s="18" customFormat="1" ht="12" customHeight="1" x14ac:dyDescent="0.2">
      <c r="A397" s="33"/>
      <c r="B397" s="37"/>
      <c r="C397" s="45">
        <v>4410</v>
      </c>
      <c r="D397" s="11" t="s">
        <v>218</v>
      </c>
      <c r="E397" s="43">
        <v>5778</v>
      </c>
      <c r="F397" s="48"/>
      <c r="G397" s="48">
        <v>843</v>
      </c>
      <c r="H397" s="44">
        <f t="shared" si="86"/>
        <v>4935</v>
      </c>
    </row>
    <row r="398" spans="1:8" s="18" customFormat="1" ht="11.45" customHeight="1" x14ac:dyDescent="0.2">
      <c r="A398" s="33"/>
      <c r="B398" s="37"/>
      <c r="C398" s="45">
        <v>4710</v>
      </c>
      <c r="D398" s="11" t="s">
        <v>33</v>
      </c>
      <c r="E398" s="43">
        <v>66699.960000000006</v>
      </c>
      <c r="F398" s="48"/>
      <c r="G398" s="48">
        <v>5000</v>
      </c>
      <c r="H398" s="44">
        <f t="shared" si="86"/>
        <v>61699.960000000006</v>
      </c>
    </row>
    <row r="399" spans="1:8" s="18" customFormat="1" ht="22.5" customHeight="1" x14ac:dyDescent="0.2">
      <c r="A399" s="33"/>
      <c r="B399" s="37"/>
      <c r="C399" s="27"/>
      <c r="D399" s="526" t="s">
        <v>236</v>
      </c>
      <c r="E399" s="524">
        <v>30000</v>
      </c>
      <c r="F399" s="524">
        <f>SUM(F400:F401)</f>
        <v>95952</v>
      </c>
      <c r="G399" s="524">
        <f>SUM(G400:G401)</f>
        <v>0</v>
      </c>
      <c r="H399" s="524">
        <f t="shared" si="86"/>
        <v>125952</v>
      </c>
    </row>
    <row r="400" spans="1:8" s="18" customFormat="1" ht="11.45" customHeight="1" x14ac:dyDescent="0.2">
      <c r="A400" s="33"/>
      <c r="B400" s="37"/>
      <c r="C400" s="9" t="s">
        <v>170</v>
      </c>
      <c r="D400" s="11" t="s">
        <v>13</v>
      </c>
      <c r="E400" s="48">
        <v>0</v>
      </c>
      <c r="F400" s="48">
        <v>42240</v>
      </c>
      <c r="G400" s="48"/>
      <c r="H400" s="42">
        <f t="shared" si="86"/>
        <v>42240</v>
      </c>
    </row>
    <row r="401" spans="1:8" s="18" customFormat="1" ht="11.45" customHeight="1" x14ac:dyDescent="0.2">
      <c r="A401" s="33"/>
      <c r="B401" s="37"/>
      <c r="C401" s="45">
        <v>4240</v>
      </c>
      <c r="D401" s="41" t="s">
        <v>215</v>
      </c>
      <c r="E401" s="43">
        <v>30000</v>
      </c>
      <c r="F401" s="42">
        <v>53712</v>
      </c>
      <c r="G401" s="42"/>
      <c r="H401" s="42">
        <f t="shared" si="86"/>
        <v>83712</v>
      </c>
    </row>
    <row r="402" spans="1:8" s="18" customFormat="1" ht="23.1" customHeight="1" x14ac:dyDescent="0.2">
      <c r="A402" s="33"/>
      <c r="B402" s="37"/>
      <c r="C402" s="27"/>
      <c r="D402" s="520" t="s">
        <v>220</v>
      </c>
      <c r="E402" s="524">
        <v>90235.16</v>
      </c>
      <c r="F402" s="524">
        <f>SUM(F403:F407)</f>
        <v>40821.520000000004</v>
      </c>
      <c r="G402" s="524">
        <f>SUM(G403:G407)</f>
        <v>29065</v>
      </c>
      <c r="H402" s="524">
        <f t="shared" si="86"/>
        <v>101991.68000000001</v>
      </c>
    </row>
    <row r="403" spans="1:8" s="18" customFormat="1" ht="21" customHeight="1" x14ac:dyDescent="0.2">
      <c r="A403" s="33"/>
      <c r="B403" s="37"/>
      <c r="C403" s="118" t="s">
        <v>193</v>
      </c>
      <c r="D403" s="119" t="s">
        <v>194</v>
      </c>
      <c r="E403" s="48">
        <v>21959</v>
      </c>
      <c r="F403" s="48">
        <f>7726.52+26885</f>
        <v>34611.520000000004</v>
      </c>
      <c r="G403" s="48"/>
      <c r="H403" s="43">
        <f t="shared" si="86"/>
        <v>56570.520000000004</v>
      </c>
    </row>
    <row r="404" spans="1:8" s="18" customFormat="1" ht="12" customHeight="1" x14ac:dyDescent="0.2">
      <c r="A404" s="33"/>
      <c r="B404" s="37"/>
      <c r="C404" s="37">
        <v>4370</v>
      </c>
      <c r="D404" s="37" t="s">
        <v>195</v>
      </c>
      <c r="E404" s="48">
        <v>317.02999999999997</v>
      </c>
      <c r="F404" s="48">
        <f>75+580</f>
        <v>655</v>
      </c>
      <c r="G404" s="48"/>
      <c r="H404" s="43">
        <f t="shared" si="86"/>
        <v>972.03</v>
      </c>
    </row>
    <row r="405" spans="1:8" s="18" customFormat="1" ht="23.1" customHeight="1" x14ac:dyDescent="0.2">
      <c r="A405" s="33"/>
      <c r="B405" s="37"/>
      <c r="C405" s="53">
        <v>4750</v>
      </c>
      <c r="D405" s="54" t="s">
        <v>222</v>
      </c>
      <c r="E405" s="48">
        <v>50485.66</v>
      </c>
      <c r="F405" s="42">
        <v>2050</v>
      </c>
      <c r="G405" s="42">
        <v>22875</v>
      </c>
      <c r="H405" s="43">
        <f t="shared" si="86"/>
        <v>29660.660000000003</v>
      </c>
    </row>
    <row r="406" spans="1:8" s="18" customFormat="1" ht="23.1" customHeight="1" x14ac:dyDescent="0.2">
      <c r="A406" s="33"/>
      <c r="B406" s="37"/>
      <c r="C406" s="53">
        <v>4850</v>
      </c>
      <c r="D406" s="54" t="s">
        <v>223</v>
      </c>
      <c r="E406" s="48">
        <v>13948.57</v>
      </c>
      <c r="F406" s="42"/>
      <c r="G406" s="42">
        <v>6190</v>
      </c>
      <c r="H406" s="42">
        <f t="shared" si="86"/>
        <v>7758.57</v>
      </c>
    </row>
    <row r="407" spans="1:8" s="18" customFormat="1" ht="23.1" customHeight="1" x14ac:dyDescent="0.2">
      <c r="A407" s="33"/>
      <c r="B407" s="37"/>
      <c r="C407" s="53">
        <v>4860</v>
      </c>
      <c r="D407" s="54" t="s">
        <v>224</v>
      </c>
      <c r="E407" s="48">
        <v>3524.9</v>
      </c>
      <c r="F407" s="42">
        <f>1905+1600</f>
        <v>3505</v>
      </c>
      <c r="G407" s="42"/>
      <c r="H407" s="42">
        <f t="shared" si="86"/>
        <v>7029.9</v>
      </c>
    </row>
    <row r="408" spans="1:8" s="18" customFormat="1" ht="23.1" customHeight="1" x14ac:dyDescent="0.2">
      <c r="A408" s="33"/>
      <c r="B408" s="37"/>
      <c r="C408" s="27"/>
      <c r="D408" s="520" t="s">
        <v>225</v>
      </c>
      <c r="E408" s="524">
        <v>4478.3900000000003</v>
      </c>
      <c r="F408" s="524">
        <f>SUM(F409)</f>
        <v>4665.8900000000003</v>
      </c>
      <c r="G408" s="524">
        <f>SUM(G409)</f>
        <v>0</v>
      </c>
      <c r="H408" s="125">
        <f>SUM(E408+F408-G408)</f>
        <v>9144.2800000000007</v>
      </c>
    </row>
    <row r="409" spans="1:8" s="18" customFormat="1" ht="34.5" customHeight="1" x14ac:dyDescent="0.2">
      <c r="A409" s="33"/>
      <c r="B409" s="37"/>
      <c r="C409" s="118" t="s">
        <v>226</v>
      </c>
      <c r="D409" s="119" t="s">
        <v>227</v>
      </c>
      <c r="E409" s="44">
        <v>4478.3900000000003</v>
      </c>
      <c r="F409" s="48">
        <v>4665.8900000000003</v>
      </c>
      <c r="G409" s="48"/>
      <c r="H409" s="43">
        <f t="shared" ref="H409" si="87">SUM(E409+F409-G409)</f>
        <v>9144.2800000000007</v>
      </c>
    </row>
    <row r="410" spans="1:8" s="18" customFormat="1" ht="11.45" customHeight="1" x14ac:dyDescent="0.2">
      <c r="A410" s="33"/>
      <c r="B410" s="45">
        <v>80132</v>
      </c>
      <c r="C410" s="27"/>
      <c r="D410" s="38" t="s">
        <v>237</v>
      </c>
      <c r="E410" s="39">
        <v>14467178.52</v>
      </c>
      <c r="F410" s="40">
        <f>SUM(F411,F418)</f>
        <v>52640</v>
      </c>
      <c r="G410" s="40">
        <f>SUM(G411,G418)</f>
        <v>52640</v>
      </c>
      <c r="H410" s="39">
        <f>SUM(E410+F410-G410)</f>
        <v>14467178.52</v>
      </c>
    </row>
    <row r="411" spans="1:8" s="18" customFormat="1" ht="11.45" customHeight="1" x14ac:dyDescent="0.2">
      <c r="A411" s="33"/>
      <c r="B411" s="45"/>
      <c r="C411" s="27"/>
      <c r="D411" s="518" t="s">
        <v>28</v>
      </c>
      <c r="E411" s="125">
        <v>5801243.6699999999</v>
      </c>
      <c r="F411" s="527">
        <f>SUM(F412:F417)</f>
        <v>48000</v>
      </c>
      <c r="G411" s="527">
        <f>SUM(G412:G417)</f>
        <v>48000</v>
      </c>
      <c r="H411" s="524">
        <f t="shared" ref="H411:H423" si="88">SUM(E411+F411-G411)</f>
        <v>5801243.6699999999</v>
      </c>
    </row>
    <row r="412" spans="1:8" s="18" customFormat="1" ht="11.45" customHeight="1" x14ac:dyDescent="0.2">
      <c r="A412" s="33"/>
      <c r="B412" s="45"/>
      <c r="C412" s="53">
        <v>4260</v>
      </c>
      <c r="D412" s="115" t="s">
        <v>188</v>
      </c>
      <c r="E412" s="48">
        <v>160000</v>
      </c>
      <c r="F412" s="44">
        <v>40000</v>
      </c>
      <c r="G412" s="44"/>
      <c r="H412" s="44">
        <f t="shared" si="88"/>
        <v>200000</v>
      </c>
    </row>
    <row r="413" spans="1:8" s="18" customFormat="1" ht="11.45" customHeight="1" x14ac:dyDescent="0.2">
      <c r="A413" s="33"/>
      <c r="B413" s="45"/>
      <c r="C413" s="45">
        <v>4280</v>
      </c>
      <c r="D413" s="41" t="s">
        <v>216</v>
      </c>
      <c r="E413" s="48">
        <v>4700</v>
      </c>
      <c r="F413" s="44">
        <v>1000</v>
      </c>
      <c r="G413" s="44"/>
      <c r="H413" s="44">
        <f t="shared" si="88"/>
        <v>5700</v>
      </c>
    </row>
    <row r="414" spans="1:8" s="18" customFormat="1" ht="11.45" customHeight="1" x14ac:dyDescent="0.2">
      <c r="A414" s="33"/>
      <c r="B414" s="45"/>
      <c r="C414" s="45">
        <v>4300</v>
      </c>
      <c r="D414" s="41" t="s">
        <v>14</v>
      </c>
      <c r="E414" s="48">
        <v>27500</v>
      </c>
      <c r="F414" s="44">
        <v>3500</v>
      </c>
      <c r="G414" s="44"/>
      <c r="H414" s="44">
        <f t="shared" si="88"/>
        <v>31000</v>
      </c>
    </row>
    <row r="415" spans="1:8" s="18" customFormat="1" ht="11.45" customHeight="1" x14ac:dyDescent="0.2">
      <c r="A415" s="33"/>
      <c r="B415" s="45"/>
      <c r="C415" s="45">
        <v>4410</v>
      </c>
      <c r="D415" s="11" t="s">
        <v>218</v>
      </c>
      <c r="E415" s="48">
        <v>1000</v>
      </c>
      <c r="F415" s="44">
        <v>1000</v>
      </c>
      <c r="G415" s="44"/>
      <c r="H415" s="44">
        <f t="shared" si="88"/>
        <v>2000</v>
      </c>
    </row>
    <row r="416" spans="1:8" s="18" customFormat="1" ht="21" customHeight="1" x14ac:dyDescent="0.2">
      <c r="A416" s="33"/>
      <c r="B416" s="45"/>
      <c r="C416" s="53">
        <v>4700</v>
      </c>
      <c r="D416" s="119" t="s">
        <v>176</v>
      </c>
      <c r="E416" s="43">
        <v>2000</v>
      </c>
      <c r="F416" s="42">
        <v>2500</v>
      </c>
      <c r="G416" s="42"/>
      <c r="H416" s="44">
        <f t="shared" si="88"/>
        <v>4500</v>
      </c>
    </row>
    <row r="417" spans="1:8" s="18" customFormat="1" ht="11.45" customHeight="1" x14ac:dyDescent="0.2">
      <c r="A417" s="33"/>
      <c r="B417" s="45"/>
      <c r="C417" s="46">
        <v>4790</v>
      </c>
      <c r="D417" s="132" t="s">
        <v>219</v>
      </c>
      <c r="E417" s="43">
        <v>3617827.15</v>
      </c>
      <c r="F417" s="42"/>
      <c r="G417" s="42">
        <f>44500+1000+2500</f>
        <v>48000</v>
      </c>
      <c r="H417" s="44">
        <f t="shared" si="88"/>
        <v>3569827.15</v>
      </c>
    </row>
    <row r="418" spans="1:8" s="18" customFormat="1" ht="23.1" customHeight="1" x14ac:dyDescent="0.2">
      <c r="A418" s="33"/>
      <c r="B418" s="45"/>
      <c r="C418" s="27"/>
      <c r="D418" s="520" t="s">
        <v>220</v>
      </c>
      <c r="E418" s="524">
        <v>15934.85</v>
      </c>
      <c r="F418" s="524">
        <f>SUM(F419:F423)</f>
        <v>4640</v>
      </c>
      <c r="G418" s="524">
        <f>SUM(G419:G423)</f>
        <v>4640</v>
      </c>
      <c r="H418" s="524">
        <f t="shared" si="88"/>
        <v>15934.849999999999</v>
      </c>
    </row>
    <row r="419" spans="1:8" s="18" customFormat="1" ht="21.75" customHeight="1" x14ac:dyDescent="0.2">
      <c r="A419" s="33"/>
      <c r="B419" s="37"/>
      <c r="C419" s="118" t="s">
        <v>193</v>
      </c>
      <c r="D419" s="119" t="s">
        <v>194</v>
      </c>
      <c r="E419" s="48">
        <v>0</v>
      </c>
      <c r="F419" s="42">
        <v>3600</v>
      </c>
      <c r="G419" s="42"/>
      <c r="H419" s="42">
        <f t="shared" si="88"/>
        <v>3600</v>
      </c>
    </row>
    <row r="420" spans="1:8" s="18" customFormat="1" ht="12" customHeight="1" x14ac:dyDescent="0.2">
      <c r="A420" s="33"/>
      <c r="B420" s="37"/>
      <c r="C420" s="37">
        <v>4370</v>
      </c>
      <c r="D420" s="37" t="s">
        <v>195</v>
      </c>
      <c r="E420" s="48">
        <v>41.56</v>
      </c>
      <c r="F420" s="42">
        <v>40</v>
      </c>
      <c r="G420" s="42"/>
      <c r="H420" s="42">
        <f t="shared" si="88"/>
        <v>81.56</v>
      </c>
    </row>
    <row r="421" spans="1:8" s="18" customFormat="1" ht="23.1" customHeight="1" x14ac:dyDescent="0.2">
      <c r="A421" s="33"/>
      <c r="B421" s="37"/>
      <c r="C421" s="53">
        <v>4750</v>
      </c>
      <c r="D421" s="54" t="s">
        <v>222</v>
      </c>
      <c r="E421" s="48">
        <v>11938.35</v>
      </c>
      <c r="F421" s="42"/>
      <c r="G421" s="42">
        <v>3290</v>
      </c>
      <c r="H421" s="42">
        <f t="shared" si="88"/>
        <v>8648.35</v>
      </c>
    </row>
    <row r="422" spans="1:8" s="18" customFormat="1" ht="23.1" customHeight="1" x14ac:dyDescent="0.2">
      <c r="A422" s="33"/>
      <c r="B422" s="37"/>
      <c r="C422" s="53">
        <v>4850</v>
      </c>
      <c r="D422" s="54" t="s">
        <v>223</v>
      </c>
      <c r="E422" s="48">
        <v>3127.44</v>
      </c>
      <c r="F422" s="42"/>
      <c r="G422" s="42">
        <v>1350</v>
      </c>
      <c r="H422" s="42">
        <f t="shared" si="88"/>
        <v>1777.44</v>
      </c>
    </row>
    <row r="423" spans="1:8" s="18" customFormat="1" ht="23.1" customHeight="1" x14ac:dyDescent="0.2">
      <c r="A423" s="88"/>
      <c r="B423" s="113"/>
      <c r="C423" s="99">
        <v>4860</v>
      </c>
      <c r="D423" s="92" t="s">
        <v>224</v>
      </c>
      <c r="E423" s="111">
        <v>827.5</v>
      </c>
      <c r="F423" s="40">
        <v>1000</v>
      </c>
      <c r="G423" s="40"/>
      <c r="H423" s="40">
        <f t="shared" si="88"/>
        <v>1827.5</v>
      </c>
    </row>
    <row r="424" spans="1:8" s="18" customFormat="1" ht="11.45" customHeight="1" x14ac:dyDescent="0.2">
      <c r="A424" s="33"/>
      <c r="B424" s="37">
        <v>80134</v>
      </c>
      <c r="C424" s="27"/>
      <c r="D424" s="97" t="s">
        <v>57</v>
      </c>
      <c r="E424" s="111">
        <v>10310022.17</v>
      </c>
      <c r="F424" s="40">
        <f>SUM(F425)</f>
        <v>16300</v>
      </c>
      <c r="G424" s="40">
        <f>SUM(G425)</f>
        <v>10000</v>
      </c>
      <c r="H424" s="39">
        <f>SUM(E424+F424-G424)</f>
        <v>10316322.17</v>
      </c>
    </row>
    <row r="425" spans="1:8" s="18" customFormat="1" ht="11.45" customHeight="1" x14ac:dyDescent="0.2">
      <c r="A425" s="33"/>
      <c r="B425" s="33"/>
      <c r="C425" s="27"/>
      <c r="D425" s="518" t="s">
        <v>28</v>
      </c>
      <c r="E425" s="524">
        <v>10185199.93</v>
      </c>
      <c r="F425" s="524">
        <f>SUM(F426:F430)</f>
        <v>16300</v>
      </c>
      <c r="G425" s="524">
        <f>SUM(G426:G430)</f>
        <v>10000</v>
      </c>
      <c r="H425" s="125">
        <f>SUM(E425+F425-G425)</f>
        <v>10191499.93</v>
      </c>
    </row>
    <row r="426" spans="1:8" s="18" customFormat="1" ht="11.45" customHeight="1" x14ac:dyDescent="0.2">
      <c r="A426" s="33"/>
      <c r="B426" s="33"/>
      <c r="C426" s="45">
        <v>4120</v>
      </c>
      <c r="D426" s="41" t="s">
        <v>30</v>
      </c>
      <c r="E426" s="48">
        <v>170814</v>
      </c>
      <c r="F426" s="48"/>
      <c r="G426" s="48">
        <v>10000</v>
      </c>
      <c r="H426" s="43">
        <f t="shared" ref="H426:H430" si="89">SUM(E426+F426-G426)</f>
        <v>160814</v>
      </c>
    </row>
    <row r="427" spans="1:8" s="18" customFormat="1" ht="11.45" customHeight="1" x14ac:dyDescent="0.2">
      <c r="A427" s="33"/>
      <c r="B427" s="33"/>
      <c r="C427" s="9" t="s">
        <v>170</v>
      </c>
      <c r="D427" s="11" t="s">
        <v>13</v>
      </c>
      <c r="E427" s="48">
        <v>36140</v>
      </c>
      <c r="F427" s="48">
        <v>10000</v>
      </c>
      <c r="G427" s="48"/>
      <c r="H427" s="43">
        <f t="shared" si="89"/>
        <v>46140</v>
      </c>
    </row>
    <row r="428" spans="1:8" s="18" customFormat="1" ht="11.45" customHeight="1" x14ac:dyDescent="0.2">
      <c r="A428" s="33"/>
      <c r="B428" s="33"/>
      <c r="C428" s="45">
        <v>4240</v>
      </c>
      <c r="D428" s="41" t="s">
        <v>215</v>
      </c>
      <c r="E428" s="48">
        <v>10899</v>
      </c>
      <c r="F428" s="48">
        <v>1000</v>
      </c>
      <c r="G428" s="48"/>
      <c r="H428" s="43">
        <f t="shared" si="89"/>
        <v>11899</v>
      </c>
    </row>
    <row r="429" spans="1:8" s="18" customFormat="1" ht="11.45" customHeight="1" x14ac:dyDescent="0.2">
      <c r="A429" s="33"/>
      <c r="B429" s="33"/>
      <c r="C429" s="45">
        <v>4280</v>
      </c>
      <c r="D429" s="41" t="s">
        <v>216</v>
      </c>
      <c r="E429" s="48">
        <v>5350</v>
      </c>
      <c r="F429" s="48">
        <v>300</v>
      </c>
      <c r="G429" s="48"/>
      <c r="H429" s="43">
        <f t="shared" si="89"/>
        <v>5650</v>
      </c>
    </row>
    <row r="430" spans="1:8" s="18" customFormat="1" ht="11.45" customHeight="1" x14ac:dyDescent="0.2">
      <c r="A430" s="33"/>
      <c r="B430" s="33"/>
      <c r="C430" s="37">
        <v>4300</v>
      </c>
      <c r="D430" s="41" t="s">
        <v>14</v>
      </c>
      <c r="E430" s="48">
        <v>44816</v>
      </c>
      <c r="F430" s="48">
        <v>5000</v>
      </c>
      <c r="G430" s="48"/>
      <c r="H430" s="43">
        <f t="shared" si="89"/>
        <v>49816</v>
      </c>
    </row>
    <row r="431" spans="1:8" s="18" customFormat="1" ht="12" customHeight="1" x14ac:dyDescent="0.2">
      <c r="A431" s="33"/>
      <c r="B431" s="10">
        <v>80146</v>
      </c>
      <c r="C431" s="9"/>
      <c r="D431" s="38" t="s">
        <v>238</v>
      </c>
      <c r="E431" s="39">
        <v>1332789</v>
      </c>
      <c r="F431" s="40">
        <f>SUM(F432,F440)</f>
        <v>40357</v>
      </c>
      <c r="G431" s="40">
        <f>SUM(G432,G440)</f>
        <v>40357</v>
      </c>
      <c r="H431" s="39">
        <f>SUM(E431+F431-G431)</f>
        <v>1332789</v>
      </c>
    </row>
    <row r="432" spans="1:8" s="18" customFormat="1" ht="12" customHeight="1" x14ac:dyDescent="0.2">
      <c r="A432" s="33"/>
      <c r="B432" s="37"/>
      <c r="C432" s="27"/>
      <c r="D432" s="518" t="s">
        <v>28</v>
      </c>
      <c r="E432" s="125">
        <v>1099339</v>
      </c>
      <c r="F432" s="527">
        <f>SUM(F433:F439)</f>
        <v>40357</v>
      </c>
      <c r="G432" s="527">
        <f>SUM(G433:G439)</f>
        <v>22363</v>
      </c>
      <c r="H432" s="524">
        <f t="shared" ref="H432:H441" si="90">SUM(E432+F432-G432)</f>
        <v>1117333</v>
      </c>
    </row>
    <row r="433" spans="1:8" s="18" customFormat="1" ht="12" customHeight="1" x14ac:dyDescent="0.2">
      <c r="A433" s="33"/>
      <c r="B433" s="37"/>
      <c r="C433" s="45">
        <v>4110</v>
      </c>
      <c r="D433" s="41" t="s">
        <v>29</v>
      </c>
      <c r="E433" s="48">
        <v>48038</v>
      </c>
      <c r="F433" s="44"/>
      <c r="G433" s="44">
        <v>3500</v>
      </c>
      <c r="H433" s="44">
        <f t="shared" si="90"/>
        <v>44538</v>
      </c>
    </row>
    <row r="434" spans="1:8" s="18" customFormat="1" ht="12" customHeight="1" x14ac:dyDescent="0.2">
      <c r="A434" s="33"/>
      <c r="B434" s="37"/>
      <c r="C434" s="45">
        <v>4120</v>
      </c>
      <c r="D434" s="41" t="s">
        <v>30</v>
      </c>
      <c r="E434" s="48">
        <v>6182</v>
      </c>
      <c r="F434" s="44"/>
      <c r="G434" s="44">
        <v>1600</v>
      </c>
      <c r="H434" s="44">
        <f t="shared" si="90"/>
        <v>4582</v>
      </c>
    </row>
    <row r="435" spans="1:8" s="18" customFormat="1" ht="12" customHeight="1" x14ac:dyDescent="0.2">
      <c r="A435" s="33"/>
      <c r="B435" s="37"/>
      <c r="C435" s="45">
        <v>4300</v>
      </c>
      <c r="D435" s="41" t="s">
        <v>14</v>
      </c>
      <c r="E435" s="48">
        <v>212042</v>
      </c>
      <c r="F435" s="44">
        <v>32257</v>
      </c>
      <c r="G435" s="44"/>
      <c r="H435" s="44">
        <f t="shared" si="90"/>
        <v>244299</v>
      </c>
    </row>
    <row r="436" spans="1:8" s="18" customFormat="1" ht="12" customHeight="1" x14ac:dyDescent="0.2">
      <c r="A436" s="33"/>
      <c r="B436" s="37"/>
      <c r="C436" s="53">
        <v>4410</v>
      </c>
      <c r="D436" s="133" t="s">
        <v>218</v>
      </c>
      <c r="E436" s="48">
        <v>60596</v>
      </c>
      <c r="F436" s="44"/>
      <c r="G436" s="44">
        <f>2500+6460</f>
        <v>8960</v>
      </c>
      <c r="H436" s="44">
        <f t="shared" si="90"/>
        <v>51636</v>
      </c>
    </row>
    <row r="437" spans="1:8" s="18" customFormat="1" ht="21.75" customHeight="1" x14ac:dyDescent="0.2">
      <c r="A437" s="33"/>
      <c r="B437" s="37"/>
      <c r="C437" s="53">
        <v>4700</v>
      </c>
      <c r="D437" s="119" t="s">
        <v>176</v>
      </c>
      <c r="E437" s="48">
        <v>502271</v>
      </c>
      <c r="F437" s="44">
        <v>2500</v>
      </c>
      <c r="G437" s="44">
        <v>7803</v>
      </c>
      <c r="H437" s="44">
        <f t="shared" si="90"/>
        <v>496968</v>
      </c>
    </row>
    <row r="438" spans="1:8" s="18" customFormat="1" ht="12" customHeight="1" x14ac:dyDescent="0.2">
      <c r="A438" s="33"/>
      <c r="B438" s="37"/>
      <c r="C438" s="45">
        <v>4710</v>
      </c>
      <c r="D438" s="11" t="s">
        <v>33</v>
      </c>
      <c r="E438" s="48">
        <v>746</v>
      </c>
      <c r="F438" s="44"/>
      <c r="G438" s="44">
        <v>500</v>
      </c>
      <c r="H438" s="44">
        <f t="shared" si="90"/>
        <v>246</v>
      </c>
    </row>
    <row r="439" spans="1:8" s="18" customFormat="1" ht="12" customHeight="1" x14ac:dyDescent="0.2">
      <c r="A439" s="33"/>
      <c r="B439" s="37"/>
      <c r="C439" s="46">
        <v>4790</v>
      </c>
      <c r="D439" s="132" t="s">
        <v>219</v>
      </c>
      <c r="E439" s="48">
        <v>226110</v>
      </c>
      <c r="F439" s="44">
        <v>5600</v>
      </c>
      <c r="G439" s="44"/>
      <c r="H439" s="44">
        <f t="shared" si="90"/>
        <v>231710</v>
      </c>
    </row>
    <row r="440" spans="1:8" s="18" customFormat="1" ht="12" customHeight="1" x14ac:dyDescent="0.2">
      <c r="A440" s="33"/>
      <c r="B440" s="37"/>
      <c r="C440" s="27"/>
      <c r="D440" s="531" t="s">
        <v>26</v>
      </c>
      <c r="E440" s="524">
        <v>233450</v>
      </c>
      <c r="F440" s="524">
        <f>SUM(F441:F441)</f>
        <v>0</v>
      </c>
      <c r="G440" s="524">
        <f>SUM(G441:G441)</f>
        <v>17994</v>
      </c>
      <c r="H440" s="524">
        <f t="shared" si="90"/>
        <v>215456</v>
      </c>
    </row>
    <row r="441" spans="1:8" s="18" customFormat="1" ht="12" customHeight="1" x14ac:dyDescent="0.2">
      <c r="A441" s="33"/>
      <c r="B441" s="37"/>
      <c r="C441" s="37">
        <v>4300</v>
      </c>
      <c r="D441" s="41" t="s">
        <v>14</v>
      </c>
      <c r="E441" s="42">
        <v>233450</v>
      </c>
      <c r="F441" s="42"/>
      <c r="G441" s="42">
        <v>17994</v>
      </c>
      <c r="H441" s="42">
        <f t="shared" si="90"/>
        <v>215456</v>
      </c>
    </row>
    <row r="442" spans="1:8" s="18" customFormat="1" ht="12" customHeight="1" x14ac:dyDescent="0.2">
      <c r="A442" s="33"/>
      <c r="B442" s="37">
        <v>80148</v>
      </c>
      <c r="C442" s="27"/>
      <c r="D442" s="38" t="s">
        <v>61</v>
      </c>
      <c r="E442" s="111">
        <v>3517488</v>
      </c>
      <c r="F442" s="40">
        <f>SUM(F443)</f>
        <v>3535</v>
      </c>
      <c r="G442" s="40">
        <f>SUM(G443)</f>
        <v>835</v>
      </c>
      <c r="H442" s="39">
        <f>SUM(E442+F442-G442)</f>
        <v>3520188</v>
      </c>
    </row>
    <row r="443" spans="1:8" s="18" customFormat="1" ht="12" customHeight="1" x14ac:dyDescent="0.2">
      <c r="A443" s="33"/>
      <c r="B443" s="33"/>
      <c r="C443" s="27"/>
      <c r="D443" s="518" t="s">
        <v>28</v>
      </c>
      <c r="E443" s="524">
        <v>3517488</v>
      </c>
      <c r="F443" s="524">
        <f>SUM(F444:F448)</f>
        <v>3535</v>
      </c>
      <c r="G443" s="524">
        <f>SUM(G444:G448)</f>
        <v>835</v>
      </c>
      <c r="H443" s="524">
        <f t="shared" ref="H443:H448" si="91">SUM(E443+F443-G443)</f>
        <v>3520188</v>
      </c>
    </row>
    <row r="444" spans="1:8" s="18" customFormat="1" ht="12" customHeight="1" x14ac:dyDescent="0.2">
      <c r="A444" s="33"/>
      <c r="B444" s="33"/>
      <c r="C444" s="53">
        <v>3020</v>
      </c>
      <c r="D444" s="115" t="s">
        <v>181</v>
      </c>
      <c r="E444" s="48">
        <v>9099</v>
      </c>
      <c r="F444" s="48"/>
      <c r="G444" s="48">
        <v>350</v>
      </c>
      <c r="H444" s="42">
        <f t="shared" si="91"/>
        <v>8749</v>
      </c>
    </row>
    <row r="445" spans="1:8" s="18" customFormat="1" ht="12" customHeight="1" x14ac:dyDescent="0.2">
      <c r="A445" s="33"/>
      <c r="B445" s="33"/>
      <c r="C445" s="53">
        <v>4110</v>
      </c>
      <c r="D445" s="115" t="s">
        <v>29</v>
      </c>
      <c r="E445" s="48">
        <v>481761</v>
      </c>
      <c r="F445" s="48">
        <v>1200</v>
      </c>
      <c r="G445" s="48"/>
      <c r="H445" s="42">
        <f t="shared" si="91"/>
        <v>482961</v>
      </c>
    </row>
    <row r="446" spans="1:8" s="18" customFormat="1" ht="12" customHeight="1" x14ac:dyDescent="0.2">
      <c r="A446" s="33"/>
      <c r="B446" s="37"/>
      <c r="C446" s="118" t="s">
        <v>170</v>
      </c>
      <c r="D446" s="133" t="s">
        <v>13</v>
      </c>
      <c r="E446" s="48">
        <v>56044</v>
      </c>
      <c r="F446" s="44">
        <f>835+1500</f>
        <v>2335</v>
      </c>
      <c r="G446" s="44"/>
      <c r="H446" s="42">
        <f t="shared" si="91"/>
        <v>58379</v>
      </c>
    </row>
    <row r="447" spans="1:8" s="18" customFormat="1" ht="12" customHeight="1" x14ac:dyDescent="0.2">
      <c r="A447" s="33"/>
      <c r="B447" s="37"/>
      <c r="C447" s="53">
        <v>4280</v>
      </c>
      <c r="D447" s="115" t="s">
        <v>216</v>
      </c>
      <c r="E447" s="48">
        <v>3124</v>
      </c>
      <c r="F447" s="44"/>
      <c r="G447" s="44">
        <v>200</v>
      </c>
      <c r="H447" s="42">
        <f t="shared" si="91"/>
        <v>2924</v>
      </c>
    </row>
    <row r="448" spans="1:8" s="18" customFormat="1" ht="19.899999999999999" customHeight="1" x14ac:dyDescent="0.2">
      <c r="A448" s="33"/>
      <c r="B448" s="37"/>
      <c r="C448" s="53">
        <v>4700</v>
      </c>
      <c r="D448" s="119" t="s">
        <v>176</v>
      </c>
      <c r="E448" s="48">
        <v>1125</v>
      </c>
      <c r="F448" s="44"/>
      <c r="G448" s="44">
        <v>285</v>
      </c>
      <c r="H448" s="42">
        <f t="shared" si="91"/>
        <v>840</v>
      </c>
    </row>
    <row r="449" spans="1:8" s="18" customFormat="1" ht="12" customHeight="1" x14ac:dyDescent="0.2">
      <c r="A449" s="33"/>
      <c r="B449" s="37">
        <v>80149</v>
      </c>
      <c r="C449" s="9"/>
      <c r="D449" s="11" t="s">
        <v>239</v>
      </c>
      <c r="E449" s="42"/>
      <c r="F449" s="42"/>
      <c r="G449" s="42"/>
      <c r="H449" s="42"/>
    </row>
    <row r="450" spans="1:8" s="18" customFormat="1" ht="12" customHeight="1" x14ac:dyDescent="0.2">
      <c r="A450" s="33"/>
      <c r="B450" s="37"/>
      <c r="C450" s="9"/>
      <c r="D450" s="11" t="s">
        <v>240</v>
      </c>
      <c r="E450" s="42"/>
      <c r="F450" s="42"/>
      <c r="G450" s="42"/>
      <c r="H450" s="42"/>
    </row>
    <row r="451" spans="1:8" s="18" customFormat="1" ht="12" customHeight="1" x14ac:dyDescent="0.2">
      <c r="A451" s="33"/>
      <c r="B451" s="37"/>
      <c r="C451" s="9"/>
      <c r="D451" s="11" t="s">
        <v>241</v>
      </c>
      <c r="E451" s="42"/>
      <c r="F451" s="42"/>
      <c r="G451" s="42"/>
      <c r="H451" s="42"/>
    </row>
    <row r="452" spans="1:8" s="18" customFormat="1" ht="12" customHeight="1" x14ac:dyDescent="0.2">
      <c r="A452" s="33"/>
      <c r="B452" s="37"/>
      <c r="C452" s="27"/>
      <c r="D452" s="38" t="s">
        <v>242</v>
      </c>
      <c r="E452" s="39">
        <v>4804591</v>
      </c>
      <c r="F452" s="40">
        <f>SUM(F453,F456)</f>
        <v>5000</v>
      </c>
      <c r="G452" s="40">
        <f>SUM(G453,G456)</f>
        <v>42000</v>
      </c>
      <c r="H452" s="39">
        <f>SUM(E452+F452-G452)</f>
        <v>4767591</v>
      </c>
    </row>
    <row r="453" spans="1:8" s="18" customFormat="1" ht="12" customHeight="1" x14ac:dyDescent="0.2">
      <c r="A453" s="33"/>
      <c r="B453" s="37"/>
      <c r="C453" s="27"/>
      <c r="D453" s="531" t="s">
        <v>26</v>
      </c>
      <c r="E453" s="524">
        <v>2520080</v>
      </c>
      <c r="F453" s="524">
        <f>SUM(F454:F455)</f>
        <v>0</v>
      </c>
      <c r="G453" s="524">
        <f>SUM(G454:G455)</f>
        <v>42000</v>
      </c>
      <c r="H453" s="524">
        <f t="shared" ref="H453:H457" si="92">SUM(E453+F453-G453)</f>
        <v>2478080</v>
      </c>
    </row>
    <row r="454" spans="1:8" s="18" customFormat="1" ht="21" customHeight="1" x14ac:dyDescent="0.2">
      <c r="A454" s="33"/>
      <c r="B454" s="37"/>
      <c r="C454" s="53">
        <v>2540</v>
      </c>
      <c r="D454" s="54" t="s">
        <v>212</v>
      </c>
      <c r="E454" s="48">
        <v>2502573</v>
      </c>
      <c r="F454" s="48"/>
      <c r="G454" s="48">
        <v>25000</v>
      </c>
      <c r="H454" s="42">
        <f t="shared" si="92"/>
        <v>2477573</v>
      </c>
    </row>
    <row r="455" spans="1:8" s="18" customFormat="1" ht="35.450000000000003" customHeight="1" x14ac:dyDescent="0.2">
      <c r="A455" s="33"/>
      <c r="B455" s="37"/>
      <c r="C455" s="53">
        <v>2590</v>
      </c>
      <c r="D455" s="131" t="s">
        <v>213</v>
      </c>
      <c r="E455" s="42">
        <v>17507</v>
      </c>
      <c r="F455" s="42"/>
      <c r="G455" s="42">
        <f>7000+10000</f>
        <v>17000</v>
      </c>
      <c r="H455" s="42">
        <f t="shared" si="92"/>
        <v>507</v>
      </c>
    </row>
    <row r="456" spans="1:8" s="18" customFormat="1" ht="12" customHeight="1" x14ac:dyDescent="0.2">
      <c r="A456" s="33"/>
      <c r="B456" s="33"/>
      <c r="C456" s="27"/>
      <c r="D456" s="518" t="s">
        <v>28</v>
      </c>
      <c r="E456" s="524">
        <v>2284511</v>
      </c>
      <c r="F456" s="524">
        <f>SUM(F457:F457)</f>
        <v>5000</v>
      </c>
      <c r="G456" s="524">
        <f>SUM(G457:G457)</f>
        <v>0</v>
      </c>
      <c r="H456" s="524">
        <f t="shared" si="92"/>
        <v>2289511</v>
      </c>
    </row>
    <row r="457" spans="1:8" s="18" customFormat="1" ht="11.45" customHeight="1" x14ac:dyDescent="0.2">
      <c r="A457" s="33"/>
      <c r="B457" s="33"/>
      <c r="C457" s="46">
        <v>4790</v>
      </c>
      <c r="D457" s="132" t="s">
        <v>219</v>
      </c>
      <c r="E457" s="43">
        <v>1652697</v>
      </c>
      <c r="F457" s="42">
        <v>5000</v>
      </c>
      <c r="G457" s="42"/>
      <c r="H457" s="42">
        <f t="shared" si="92"/>
        <v>1657697</v>
      </c>
    </row>
    <row r="458" spans="1:8" s="18" customFormat="1" ht="11.45" customHeight="1" x14ac:dyDescent="0.2">
      <c r="A458" s="33"/>
      <c r="B458" s="37">
        <v>80150</v>
      </c>
      <c r="C458" s="9"/>
      <c r="D458" s="11" t="s">
        <v>239</v>
      </c>
      <c r="E458" s="42"/>
      <c r="F458" s="42"/>
      <c r="G458" s="42"/>
      <c r="H458" s="42"/>
    </row>
    <row r="459" spans="1:8" s="18" customFormat="1" ht="11.45" customHeight="1" x14ac:dyDescent="0.2">
      <c r="A459" s="33"/>
      <c r="B459" s="37"/>
      <c r="C459" s="9"/>
      <c r="D459" s="11" t="s">
        <v>243</v>
      </c>
      <c r="E459" s="42"/>
      <c r="F459" s="42"/>
      <c r="G459" s="42"/>
      <c r="H459" s="42"/>
    </row>
    <row r="460" spans="1:8" s="18" customFormat="1" ht="11.45" customHeight="1" x14ac:dyDescent="0.2">
      <c r="A460" s="33"/>
      <c r="B460" s="37"/>
      <c r="C460" s="27"/>
      <c r="D460" s="38" t="s">
        <v>244</v>
      </c>
      <c r="E460" s="39">
        <v>9924686</v>
      </c>
      <c r="F460" s="40">
        <f>SUM(F461,F464)</f>
        <v>0</v>
      </c>
      <c r="G460" s="40">
        <f>SUM(G461,G464)</f>
        <v>50500</v>
      </c>
      <c r="H460" s="39">
        <f>SUM(E460+F460-G460)</f>
        <v>9874186</v>
      </c>
    </row>
    <row r="461" spans="1:8" s="18" customFormat="1" ht="11.45" customHeight="1" x14ac:dyDescent="0.2">
      <c r="A461" s="33"/>
      <c r="B461" s="37"/>
      <c r="C461" s="27"/>
      <c r="D461" s="531" t="s">
        <v>26</v>
      </c>
      <c r="E461" s="524">
        <v>255299</v>
      </c>
      <c r="F461" s="524">
        <f>SUM(F462:F463)</f>
        <v>0</v>
      </c>
      <c r="G461" s="524">
        <f>SUM(G462:G463)</f>
        <v>30000</v>
      </c>
      <c r="H461" s="524">
        <f t="shared" ref="H461:H467" si="93">SUM(E461+F461-G461)</f>
        <v>225299</v>
      </c>
    </row>
    <row r="462" spans="1:8" s="18" customFormat="1" ht="21" customHeight="1" x14ac:dyDescent="0.2">
      <c r="A462" s="33"/>
      <c r="B462" s="37"/>
      <c r="C462" s="53">
        <v>2540</v>
      </c>
      <c r="D462" s="54" t="s">
        <v>212</v>
      </c>
      <c r="E462" s="48">
        <v>160954</v>
      </c>
      <c r="F462" s="48"/>
      <c r="G462" s="48">
        <v>10000</v>
      </c>
      <c r="H462" s="42">
        <f t="shared" si="93"/>
        <v>150954</v>
      </c>
    </row>
    <row r="463" spans="1:8" s="18" customFormat="1" ht="32.450000000000003" customHeight="1" x14ac:dyDescent="0.2">
      <c r="A463" s="33"/>
      <c r="B463" s="37"/>
      <c r="C463" s="53">
        <v>2590</v>
      </c>
      <c r="D463" s="131" t="s">
        <v>213</v>
      </c>
      <c r="E463" s="42">
        <v>94345</v>
      </c>
      <c r="F463" s="42"/>
      <c r="G463" s="42">
        <v>20000</v>
      </c>
      <c r="H463" s="42">
        <f t="shared" si="93"/>
        <v>74345</v>
      </c>
    </row>
    <row r="464" spans="1:8" s="18" customFormat="1" ht="12" customHeight="1" x14ac:dyDescent="0.2">
      <c r="A464" s="33"/>
      <c r="B464" s="37"/>
      <c r="C464" s="27"/>
      <c r="D464" s="518" t="s">
        <v>28</v>
      </c>
      <c r="E464" s="524">
        <v>9669387</v>
      </c>
      <c r="F464" s="524">
        <f>SUM(F465:F467)</f>
        <v>0</v>
      </c>
      <c r="G464" s="524">
        <f>SUM(G465:G467)</f>
        <v>20500</v>
      </c>
      <c r="H464" s="524">
        <f t="shared" si="93"/>
        <v>9648887</v>
      </c>
    </row>
    <row r="465" spans="1:8" s="18" customFormat="1" ht="12" customHeight="1" x14ac:dyDescent="0.2">
      <c r="A465" s="33"/>
      <c r="B465" s="37"/>
      <c r="C465" s="53">
        <v>4110</v>
      </c>
      <c r="D465" s="115" t="s">
        <v>29</v>
      </c>
      <c r="E465" s="44">
        <v>1338932</v>
      </c>
      <c r="F465" s="42"/>
      <c r="G465" s="42">
        <v>1000</v>
      </c>
      <c r="H465" s="42">
        <f t="shared" si="93"/>
        <v>1337932</v>
      </c>
    </row>
    <row r="466" spans="1:8" s="18" customFormat="1" ht="12" customHeight="1" x14ac:dyDescent="0.2">
      <c r="A466" s="33"/>
      <c r="B466" s="37"/>
      <c r="C466" s="53">
        <v>4240</v>
      </c>
      <c r="D466" s="115" t="s">
        <v>215</v>
      </c>
      <c r="E466" s="44">
        <v>113379</v>
      </c>
      <c r="F466" s="42"/>
      <c r="G466" s="42">
        <v>9000</v>
      </c>
      <c r="H466" s="42">
        <f t="shared" si="93"/>
        <v>104379</v>
      </c>
    </row>
    <row r="467" spans="1:8" s="18" customFormat="1" ht="12" customHeight="1" x14ac:dyDescent="0.2">
      <c r="A467" s="33"/>
      <c r="B467" s="37"/>
      <c r="C467" s="46">
        <v>4790</v>
      </c>
      <c r="D467" s="132" t="s">
        <v>219</v>
      </c>
      <c r="E467" s="42">
        <v>7154962</v>
      </c>
      <c r="F467" s="42"/>
      <c r="G467" s="42">
        <v>10500</v>
      </c>
      <c r="H467" s="42">
        <f t="shared" si="93"/>
        <v>7144462</v>
      </c>
    </row>
    <row r="468" spans="1:8" s="18" customFormat="1" ht="12" customHeight="1" x14ac:dyDescent="0.2">
      <c r="A468" s="33"/>
      <c r="B468" s="45">
        <v>80151</v>
      </c>
      <c r="C468" s="27"/>
      <c r="D468" s="38" t="s">
        <v>245</v>
      </c>
      <c r="E468" s="111">
        <v>471893</v>
      </c>
      <c r="F468" s="40">
        <f>SUM(F469)</f>
        <v>0</v>
      </c>
      <c r="G468" s="40">
        <f>SUM(G469)</f>
        <v>6000</v>
      </c>
      <c r="H468" s="39">
        <f>SUM(E468+F468-G468)</f>
        <v>465893</v>
      </c>
    </row>
    <row r="469" spans="1:8" s="18" customFormat="1" ht="12" customHeight="1" x14ac:dyDescent="0.2">
      <c r="A469" s="33"/>
      <c r="B469" s="45"/>
      <c r="C469" s="27"/>
      <c r="D469" s="531" t="s">
        <v>26</v>
      </c>
      <c r="E469" s="524">
        <v>6410</v>
      </c>
      <c r="F469" s="524">
        <f>SUM(F470:F470)</f>
        <v>0</v>
      </c>
      <c r="G469" s="524">
        <f>SUM(G470:G470)</f>
        <v>6000</v>
      </c>
      <c r="H469" s="524">
        <f t="shared" ref="H469:H470" si="94">SUM(E469+F469-G469)</f>
        <v>410</v>
      </c>
    </row>
    <row r="470" spans="1:8" s="18" customFormat="1" ht="21.75" customHeight="1" x14ac:dyDescent="0.2">
      <c r="A470" s="88"/>
      <c r="B470" s="114"/>
      <c r="C470" s="99">
        <v>2540</v>
      </c>
      <c r="D470" s="92" t="s">
        <v>212</v>
      </c>
      <c r="E470" s="40">
        <v>6410</v>
      </c>
      <c r="F470" s="40"/>
      <c r="G470" s="40">
        <v>6000</v>
      </c>
      <c r="H470" s="40">
        <f t="shared" si="94"/>
        <v>410</v>
      </c>
    </row>
    <row r="471" spans="1:8" s="18" customFormat="1" ht="11.45" customHeight="1" x14ac:dyDescent="0.2">
      <c r="A471" s="33"/>
      <c r="B471" s="37">
        <v>80152</v>
      </c>
      <c r="C471" s="9"/>
      <c r="D471" s="11" t="s">
        <v>239</v>
      </c>
      <c r="E471" s="42"/>
      <c r="F471" s="42"/>
      <c r="G471" s="42"/>
      <c r="H471" s="42"/>
    </row>
    <row r="472" spans="1:8" s="18" customFormat="1" ht="11.45" customHeight="1" x14ac:dyDescent="0.2">
      <c r="A472" s="33"/>
      <c r="B472" s="37"/>
      <c r="C472" s="9"/>
      <c r="D472" s="11" t="s">
        <v>243</v>
      </c>
      <c r="E472" s="42"/>
      <c r="F472" s="42"/>
      <c r="G472" s="42"/>
      <c r="H472" s="42"/>
    </row>
    <row r="473" spans="1:8" s="18" customFormat="1" ht="11.45" customHeight="1" x14ac:dyDescent="0.2">
      <c r="A473" s="33"/>
      <c r="B473" s="37"/>
      <c r="C473" s="9"/>
      <c r="D473" s="11" t="s">
        <v>246</v>
      </c>
      <c r="E473" s="42"/>
      <c r="F473" s="42"/>
      <c r="G473" s="42"/>
      <c r="H473" s="42"/>
    </row>
    <row r="474" spans="1:8" s="18" customFormat="1" ht="11.45" customHeight="1" x14ac:dyDescent="0.2">
      <c r="A474" s="33"/>
      <c r="B474" s="37"/>
      <c r="C474" s="9"/>
      <c r="D474" s="10" t="s">
        <v>247</v>
      </c>
      <c r="E474" s="42"/>
      <c r="F474" s="42"/>
      <c r="G474" s="42"/>
      <c r="H474" s="42"/>
    </row>
    <row r="475" spans="1:8" s="18" customFormat="1" ht="11.45" customHeight="1" x14ac:dyDescent="0.2">
      <c r="A475" s="33"/>
      <c r="B475" s="37"/>
      <c r="C475" s="9"/>
      <c r="D475" s="10" t="s">
        <v>248</v>
      </c>
      <c r="E475" s="42"/>
      <c r="F475" s="42"/>
      <c r="G475" s="42"/>
      <c r="H475" s="42"/>
    </row>
    <row r="476" spans="1:8" s="18" customFormat="1" ht="11.45" customHeight="1" x14ac:dyDescent="0.2">
      <c r="A476" s="33"/>
      <c r="B476" s="37"/>
      <c r="C476" s="9"/>
      <c r="D476" s="11" t="s">
        <v>249</v>
      </c>
      <c r="E476" s="42"/>
      <c r="F476" s="42"/>
      <c r="G476" s="42"/>
      <c r="H476" s="42"/>
    </row>
    <row r="477" spans="1:8" s="18" customFormat="1" ht="11.45" customHeight="1" x14ac:dyDescent="0.2">
      <c r="A477" s="33"/>
      <c r="B477" s="37"/>
      <c r="C477" s="9"/>
      <c r="D477" s="10" t="s">
        <v>250</v>
      </c>
      <c r="E477" s="42"/>
      <c r="F477" s="42"/>
      <c r="G477" s="42"/>
      <c r="H477" s="42"/>
    </row>
    <row r="478" spans="1:8" s="18" customFormat="1" ht="11.45" customHeight="1" x14ac:dyDescent="0.2">
      <c r="A478" s="33"/>
      <c r="B478" s="37"/>
      <c r="C478" s="27"/>
      <c r="D478" s="76" t="s">
        <v>251</v>
      </c>
      <c r="E478" s="39">
        <v>3476107</v>
      </c>
      <c r="F478" s="40">
        <f>SUM(F479,F482)</f>
        <v>16673</v>
      </c>
      <c r="G478" s="40">
        <f>SUM(G479,G482)</f>
        <v>53023</v>
      </c>
      <c r="H478" s="39">
        <f>SUM(E478+F478-G478)</f>
        <v>3439757</v>
      </c>
    </row>
    <row r="479" spans="1:8" s="18" customFormat="1" ht="11.45" customHeight="1" x14ac:dyDescent="0.2">
      <c r="A479" s="33"/>
      <c r="B479" s="37"/>
      <c r="C479" s="27"/>
      <c r="D479" s="531" t="s">
        <v>26</v>
      </c>
      <c r="E479" s="524">
        <v>573835</v>
      </c>
      <c r="F479" s="524">
        <f>SUM(F480:F481)</f>
        <v>0</v>
      </c>
      <c r="G479" s="524">
        <f>SUM(G480:G481)</f>
        <v>30000</v>
      </c>
      <c r="H479" s="524">
        <f t="shared" ref="H479:H488" si="95">SUM(E479+F479-G479)</f>
        <v>543835</v>
      </c>
    </row>
    <row r="480" spans="1:8" s="18" customFormat="1" ht="20.25" customHeight="1" x14ac:dyDescent="0.2">
      <c r="A480" s="33"/>
      <c r="B480" s="37"/>
      <c r="C480" s="53">
        <v>2540</v>
      </c>
      <c r="D480" s="54" t="s">
        <v>212</v>
      </c>
      <c r="E480" s="48">
        <v>204254</v>
      </c>
      <c r="F480" s="48"/>
      <c r="G480" s="48">
        <v>10000</v>
      </c>
      <c r="H480" s="42">
        <f t="shared" si="95"/>
        <v>194254</v>
      </c>
    </row>
    <row r="481" spans="1:8" s="18" customFormat="1" ht="30" customHeight="1" x14ac:dyDescent="0.2">
      <c r="A481" s="33"/>
      <c r="B481" s="37"/>
      <c r="C481" s="53">
        <v>2590</v>
      </c>
      <c r="D481" s="131" t="s">
        <v>213</v>
      </c>
      <c r="E481" s="42">
        <v>369581</v>
      </c>
      <c r="F481" s="42"/>
      <c r="G481" s="42">
        <v>20000</v>
      </c>
      <c r="H481" s="42">
        <f t="shared" si="95"/>
        <v>349581</v>
      </c>
    </row>
    <row r="482" spans="1:8" s="18" customFormat="1" ht="11.45" customHeight="1" x14ac:dyDescent="0.2">
      <c r="A482" s="33"/>
      <c r="B482" s="33"/>
      <c r="C482" s="27"/>
      <c r="D482" s="518" t="s">
        <v>28</v>
      </c>
      <c r="E482" s="524">
        <v>2902272</v>
      </c>
      <c r="F482" s="524">
        <f>SUM(F483:F488)</f>
        <v>16673</v>
      </c>
      <c r="G482" s="524">
        <f>SUM(G483:G488)</f>
        <v>23023</v>
      </c>
      <c r="H482" s="524">
        <f t="shared" si="95"/>
        <v>2895922</v>
      </c>
    </row>
    <row r="483" spans="1:8" s="18" customFormat="1" ht="11.45" customHeight="1" x14ac:dyDescent="0.2">
      <c r="A483" s="33"/>
      <c r="B483" s="33"/>
      <c r="C483" s="45">
        <v>4110</v>
      </c>
      <c r="D483" s="41" t="s">
        <v>29</v>
      </c>
      <c r="E483" s="48">
        <v>394321</v>
      </c>
      <c r="F483" s="48">
        <v>16673</v>
      </c>
      <c r="G483" s="48"/>
      <c r="H483" s="42">
        <f t="shared" si="95"/>
        <v>410994</v>
      </c>
    </row>
    <row r="484" spans="1:8" s="18" customFormat="1" ht="11.45" customHeight="1" x14ac:dyDescent="0.2">
      <c r="A484" s="33"/>
      <c r="B484" s="33"/>
      <c r="C484" s="45">
        <v>4120</v>
      </c>
      <c r="D484" s="41" t="s">
        <v>30</v>
      </c>
      <c r="E484" s="48">
        <v>53161</v>
      </c>
      <c r="F484" s="48"/>
      <c r="G484" s="48">
        <v>3643</v>
      </c>
      <c r="H484" s="42">
        <f t="shared" si="95"/>
        <v>49518</v>
      </c>
    </row>
    <row r="485" spans="1:8" s="18" customFormat="1" ht="11.45" customHeight="1" x14ac:dyDescent="0.2">
      <c r="A485" s="33"/>
      <c r="B485" s="33"/>
      <c r="C485" s="53">
        <v>4240</v>
      </c>
      <c r="D485" s="115" t="s">
        <v>215</v>
      </c>
      <c r="E485" s="48">
        <v>44850</v>
      </c>
      <c r="F485" s="48"/>
      <c r="G485" s="48">
        <v>5000</v>
      </c>
      <c r="H485" s="42">
        <f t="shared" si="95"/>
        <v>39850</v>
      </c>
    </row>
    <row r="486" spans="1:8" s="18" customFormat="1" ht="11.45" customHeight="1" x14ac:dyDescent="0.2">
      <c r="A486" s="33"/>
      <c r="B486" s="33"/>
      <c r="C486" s="45">
        <v>4430</v>
      </c>
      <c r="D486" s="41" t="s">
        <v>233</v>
      </c>
      <c r="E486" s="48">
        <v>1000</v>
      </c>
      <c r="F486" s="48"/>
      <c r="G486" s="48">
        <v>350</v>
      </c>
      <c r="H486" s="42">
        <f t="shared" si="95"/>
        <v>650</v>
      </c>
    </row>
    <row r="487" spans="1:8" s="18" customFormat="1" ht="11.45" customHeight="1" x14ac:dyDescent="0.2">
      <c r="A487" s="33"/>
      <c r="B487" s="33"/>
      <c r="C487" s="45">
        <v>4710</v>
      </c>
      <c r="D487" s="11" t="s">
        <v>33</v>
      </c>
      <c r="E487" s="48">
        <v>18062</v>
      </c>
      <c r="F487" s="48"/>
      <c r="G487" s="48">
        <v>1000</v>
      </c>
      <c r="H487" s="42">
        <f t="shared" si="95"/>
        <v>17062</v>
      </c>
    </row>
    <row r="488" spans="1:8" s="18" customFormat="1" ht="12" customHeight="1" x14ac:dyDescent="0.2">
      <c r="A488" s="33"/>
      <c r="B488" s="33"/>
      <c r="C488" s="46">
        <v>4790</v>
      </c>
      <c r="D488" s="132" t="s">
        <v>219</v>
      </c>
      <c r="E488" s="44">
        <v>2127008</v>
      </c>
      <c r="F488" s="44"/>
      <c r="G488" s="44">
        <v>13030</v>
      </c>
      <c r="H488" s="42">
        <f t="shared" si="95"/>
        <v>2113978</v>
      </c>
    </row>
    <row r="489" spans="1:8" s="18" customFormat="1" ht="12" customHeight="1" x14ac:dyDescent="0.2">
      <c r="A489" s="33"/>
      <c r="B489" s="45">
        <v>80195</v>
      </c>
      <c r="C489" s="27"/>
      <c r="D489" s="38" t="s">
        <v>10</v>
      </c>
      <c r="E489" s="39">
        <v>27246806.68999999</v>
      </c>
      <c r="F489" s="40">
        <f>SUM(F490,F494,F505,F509,F516)</f>
        <v>103873.92000000001</v>
      </c>
      <c r="G489" s="40">
        <f>SUM(G490,G494,G505,G509,G516)</f>
        <v>142173.92000000001</v>
      </c>
      <c r="H489" s="39">
        <f>SUM(E489+F489-G489)</f>
        <v>27208506.68999999</v>
      </c>
    </row>
    <row r="490" spans="1:8" s="18" customFormat="1" ht="12" customHeight="1" x14ac:dyDescent="0.2">
      <c r="A490" s="33"/>
      <c r="B490" s="45"/>
      <c r="C490" s="9"/>
      <c r="D490" s="518" t="s">
        <v>26</v>
      </c>
      <c r="E490" s="524">
        <v>1225562.92</v>
      </c>
      <c r="F490" s="524">
        <f>SUM(F491:F493)</f>
        <v>0</v>
      </c>
      <c r="G490" s="524">
        <f>SUM(G491:G493)</f>
        <v>39000</v>
      </c>
      <c r="H490" s="125">
        <f>SUM(E490+F490-G490)</f>
        <v>1186562.92</v>
      </c>
    </row>
    <row r="491" spans="1:8" s="18" customFormat="1" ht="21" customHeight="1" x14ac:dyDescent="0.2">
      <c r="A491" s="33"/>
      <c r="B491" s="45"/>
      <c r="C491" s="53">
        <v>3040</v>
      </c>
      <c r="D491" s="54" t="s">
        <v>252</v>
      </c>
      <c r="E491" s="42">
        <v>29910</v>
      </c>
      <c r="F491" s="43"/>
      <c r="G491" s="43">
        <f>5000+4000</f>
        <v>9000</v>
      </c>
      <c r="H491" s="48">
        <f t="shared" ref="H491:H527" si="96">SUM(E491+F491-G491)</f>
        <v>20910</v>
      </c>
    </row>
    <row r="492" spans="1:8" s="18" customFormat="1" ht="12" customHeight="1" x14ac:dyDescent="0.2">
      <c r="A492" s="33"/>
      <c r="B492" s="45"/>
      <c r="C492" s="122">
        <v>4170</v>
      </c>
      <c r="D492" s="123" t="s">
        <v>32</v>
      </c>
      <c r="E492" s="42">
        <v>22000</v>
      </c>
      <c r="F492" s="43"/>
      <c r="G492" s="43">
        <v>15000</v>
      </c>
      <c r="H492" s="48">
        <f t="shared" si="96"/>
        <v>7000</v>
      </c>
    </row>
    <row r="493" spans="1:8" s="18" customFormat="1" ht="12" customHeight="1" x14ac:dyDescent="0.2">
      <c r="A493" s="33"/>
      <c r="B493" s="45"/>
      <c r="C493" s="45">
        <v>4300</v>
      </c>
      <c r="D493" s="41" t="s">
        <v>14</v>
      </c>
      <c r="E493" s="48">
        <v>222850</v>
      </c>
      <c r="F493" s="48"/>
      <c r="G493" s="48">
        <v>15000</v>
      </c>
      <c r="H493" s="48">
        <f t="shared" si="96"/>
        <v>207850</v>
      </c>
    </row>
    <row r="494" spans="1:8" s="18" customFormat="1" ht="12" customHeight="1" x14ac:dyDescent="0.2">
      <c r="A494" s="33"/>
      <c r="B494" s="45"/>
      <c r="C494" s="27"/>
      <c r="D494" s="518" t="s">
        <v>28</v>
      </c>
      <c r="E494" s="524">
        <v>1775753</v>
      </c>
      <c r="F494" s="524">
        <f>SUM(F495:F504)</f>
        <v>27746</v>
      </c>
      <c r="G494" s="524">
        <f>SUM(G495:G504)</f>
        <v>27046</v>
      </c>
      <c r="H494" s="524">
        <f t="shared" si="96"/>
        <v>1776453</v>
      </c>
    </row>
    <row r="495" spans="1:8" s="18" customFormat="1" ht="12" customHeight="1" x14ac:dyDescent="0.2">
      <c r="A495" s="33"/>
      <c r="B495" s="45"/>
      <c r="C495" s="45">
        <v>4040</v>
      </c>
      <c r="D495" s="41" t="s">
        <v>187</v>
      </c>
      <c r="E495" s="48">
        <v>1655</v>
      </c>
      <c r="F495" s="48"/>
      <c r="G495" s="48">
        <v>798</v>
      </c>
      <c r="H495" s="44">
        <f t="shared" si="96"/>
        <v>857</v>
      </c>
    </row>
    <row r="496" spans="1:8" s="18" customFormat="1" ht="12" customHeight="1" x14ac:dyDescent="0.2">
      <c r="A496" s="33"/>
      <c r="B496" s="45"/>
      <c r="C496" s="45">
        <v>4110</v>
      </c>
      <c r="D496" s="41" t="s">
        <v>29</v>
      </c>
      <c r="E496" s="44">
        <v>11268</v>
      </c>
      <c r="F496" s="42"/>
      <c r="G496" s="42">
        <v>2900</v>
      </c>
      <c r="H496" s="42">
        <f t="shared" si="96"/>
        <v>8368</v>
      </c>
    </row>
    <row r="497" spans="1:8" s="18" customFormat="1" ht="12" customHeight="1" x14ac:dyDescent="0.2">
      <c r="A497" s="33"/>
      <c r="B497" s="45"/>
      <c r="C497" s="45">
        <v>4120</v>
      </c>
      <c r="D497" s="41" t="s">
        <v>30</v>
      </c>
      <c r="E497" s="44">
        <v>1322</v>
      </c>
      <c r="F497" s="42"/>
      <c r="G497" s="42">
        <f>449+1</f>
        <v>450</v>
      </c>
      <c r="H497" s="42">
        <f t="shared" si="96"/>
        <v>872</v>
      </c>
    </row>
    <row r="498" spans="1:8" s="18" customFormat="1" ht="12" customHeight="1" x14ac:dyDescent="0.2">
      <c r="A498" s="33"/>
      <c r="B498" s="45"/>
      <c r="C498" s="9" t="s">
        <v>170</v>
      </c>
      <c r="D498" s="11" t="s">
        <v>13</v>
      </c>
      <c r="E498" s="44">
        <v>5705</v>
      </c>
      <c r="F498" s="42">
        <f>15000+46</f>
        <v>15046</v>
      </c>
      <c r="G498" s="42"/>
      <c r="H498" s="42">
        <f t="shared" si="96"/>
        <v>20751</v>
      </c>
    </row>
    <row r="499" spans="1:8" s="18" customFormat="1" ht="12" customHeight="1" x14ac:dyDescent="0.2">
      <c r="A499" s="33"/>
      <c r="B499" s="45"/>
      <c r="C499" s="53">
        <v>4240</v>
      </c>
      <c r="D499" s="115" t="s">
        <v>215</v>
      </c>
      <c r="E499" s="44">
        <v>20000</v>
      </c>
      <c r="F499" s="42">
        <v>12000</v>
      </c>
      <c r="G499" s="42"/>
      <c r="H499" s="42">
        <f t="shared" si="96"/>
        <v>32000</v>
      </c>
    </row>
    <row r="500" spans="1:8" s="18" customFormat="1" ht="12" customHeight="1" x14ac:dyDescent="0.2">
      <c r="A500" s="33"/>
      <c r="B500" s="45"/>
      <c r="C500" s="53">
        <v>4260</v>
      </c>
      <c r="D500" s="115" t="s">
        <v>188</v>
      </c>
      <c r="E500" s="44">
        <v>3871</v>
      </c>
      <c r="F500" s="42">
        <v>700</v>
      </c>
      <c r="G500" s="42"/>
      <c r="H500" s="42">
        <f t="shared" si="96"/>
        <v>4571</v>
      </c>
    </row>
    <row r="501" spans="1:8" s="18" customFormat="1" ht="12" customHeight="1" x14ac:dyDescent="0.2">
      <c r="A501" s="33"/>
      <c r="B501" s="45"/>
      <c r="C501" s="45">
        <v>4440</v>
      </c>
      <c r="D501" s="41" t="s">
        <v>200</v>
      </c>
      <c r="E501" s="44">
        <v>1614595</v>
      </c>
      <c r="F501" s="42"/>
      <c r="G501" s="42">
        <v>3074</v>
      </c>
      <c r="H501" s="42">
        <f t="shared" si="96"/>
        <v>1611521</v>
      </c>
    </row>
    <row r="502" spans="1:8" s="18" customFormat="1" ht="12" customHeight="1" x14ac:dyDescent="0.2">
      <c r="A502" s="33"/>
      <c r="B502" s="45"/>
      <c r="C502" s="45">
        <v>4710</v>
      </c>
      <c r="D502" s="11" t="s">
        <v>33</v>
      </c>
      <c r="E502" s="44">
        <v>806</v>
      </c>
      <c r="F502" s="42"/>
      <c r="G502" s="42">
        <f>761+45</f>
        <v>806</v>
      </c>
      <c r="H502" s="42">
        <f t="shared" si="96"/>
        <v>0</v>
      </c>
    </row>
    <row r="503" spans="1:8" s="18" customFormat="1" ht="12" customHeight="1" x14ac:dyDescent="0.2">
      <c r="A503" s="33"/>
      <c r="B503" s="45"/>
      <c r="C503" s="46">
        <v>4790</v>
      </c>
      <c r="D503" s="132" t="s">
        <v>219</v>
      </c>
      <c r="E503" s="44">
        <v>41626</v>
      </c>
      <c r="F503" s="42"/>
      <c r="G503" s="42">
        <v>16660</v>
      </c>
      <c r="H503" s="42">
        <f t="shared" si="96"/>
        <v>24966</v>
      </c>
    </row>
    <row r="504" spans="1:8" s="18" customFormat="1" ht="12" customHeight="1" x14ac:dyDescent="0.2">
      <c r="A504" s="33"/>
      <c r="B504" s="45"/>
      <c r="C504" s="46">
        <v>4800</v>
      </c>
      <c r="D504" s="132" t="s">
        <v>253</v>
      </c>
      <c r="E504" s="44">
        <v>2358</v>
      </c>
      <c r="F504" s="42"/>
      <c r="G504" s="42">
        <v>2358</v>
      </c>
      <c r="H504" s="42">
        <f t="shared" si="96"/>
        <v>0</v>
      </c>
    </row>
    <row r="505" spans="1:8" s="18" customFormat="1" ht="22.15" customHeight="1" x14ac:dyDescent="0.2">
      <c r="A505" s="33"/>
      <c r="B505" s="33"/>
      <c r="C505" s="9"/>
      <c r="D505" s="520" t="s">
        <v>254</v>
      </c>
      <c r="E505" s="125">
        <v>498915</v>
      </c>
      <c r="F505" s="519">
        <f>SUM(F506:F508)</f>
        <v>500.02</v>
      </c>
      <c r="G505" s="519">
        <f>SUM(G506:G508)</f>
        <v>500.02</v>
      </c>
      <c r="H505" s="524">
        <f t="shared" si="96"/>
        <v>498915</v>
      </c>
    </row>
    <row r="506" spans="1:8" s="18" customFormat="1" ht="12" customHeight="1" x14ac:dyDescent="0.2">
      <c r="A506" s="33"/>
      <c r="B506" s="33"/>
      <c r="C506" s="45">
        <v>4127</v>
      </c>
      <c r="D506" s="41" t="s">
        <v>30</v>
      </c>
      <c r="E506" s="48">
        <v>3278.72</v>
      </c>
      <c r="F506" s="44">
        <f>0.01+0.01</f>
        <v>0.02</v>
      </c>
      <c r="G506" s="44"/>
      <c r="H506" s="42">
        <f t="shared" si="96"/>
        <v>3278.74</v>
      </c>
    </row>
    <row r="507" spans="1:8" s="18" customFormat="1" ht="12" customHeight="1" x14ac:dyDescent="0.2">
      <c r="A507" s="33"/>
      <c r="B507" s="33"/>
      <c r="C507" s="9" t="s">
        <v>255</v>
      </c>
      <c r="D507" s="11" t="s">
        <v>203</v>
      </c>
      <c r="E507" s="48">
        <v>0</v>
      </c>
      <c r="F507" s="44">
        <v>500</v>
      </c>
      <c r="G507" s="44"/>
      <c r="H507" s="42">
        <f t="shared" si="96"/>
        <v>500</v>
      </c>
    </row>
    <row r="508" spans="1:8" s="18" customFormat="1" ht="12" customHeight="1" x14ac:dyDescent="0.2">
      <c r="A508" s="33"/>
      <c r="B508" s="33"/>
      <c r="C508" s="46">
        <v>4217</v>
      </c>
      <c r="D508" s="11" t="s">
        <v>13</v>
      </c>
      <c r="E508" s="48">
        <v>68542.27</v>
      </c>
      <c r="F508" s="44"/>
      <c r="G508" s="44">
        <f>500+0.01+0.01</f>
        <v>500.02</v>
      </c>
      <c r="H508" s="42">
        <f t="shared" si="96"/>
        <v>68042.25</v>
      </c>
    </row>
    <row r="509" spans="1:8" s="18" customFormat="1" ht="21.75" customHeight="1" x14ac:dyDescent="0.2">
      <c r="A509" s="33"/>
      <c r="B509" s="33"/>
      <c r="C509" s="9"/>
      <c r="D509" s="532" t="s">
        <v>256</v>
      </c>
      <c r="E509" s="524">
        <v>75627.900000000009</v>
      </c>
      <c r="F509" s="527">
        <f>SUM(F510:F515)</f>
        <v>0</v>
      </c>
      <c r="G509" s="527">
        <f>SUM(G510:G515)</f>
        <v>75627.900000000009</v>
      </c>
      <c r="H509" s="524">
        <f t="shared" si="96"/>
        <v>0</v>
      </c>
    </row>
    <row r="510" spans="1:8" s="18" customFormat="1" ht="12" customHeight="1" x14ac:dyDescent="0.2">
      <c r="A510" s="33"/>
      <c r="B510" s="33"/>
      <c r="C510" s="45">
        <v>4217</v>
      </c>
      <c r="D510" s="41" t="s">
        <v>13</v>
      </c>
      <c r="E510" s="48">
        <v>10792</v>
      </c>
      <c r="F510" s="48"/>
      <c r="G510" s="48">
        <v>10792</v>
      </c>
      <c r="H510" s="42">
        <f t="shared" si="96"/>
        <v>0</v>
      </c>
    </row>
    <row r="511" spans="1:8" s="18" customFormat="1" ht="12" customHeight="1" x14ac:dyDescent="0.2">
      <c r="A511" s="33"/>
      <c r="B511" s="33"/>
      <c r="C511" s="45">
        <v>4219</v>
      </c>
      <c r="D511" s="41" t="s">
        <v>13</v>
      </c>
      <c r="E511" s="48">
        <v>653</v>
      </c>
      <c r="F511" s="48"/>
      <c r="G511" s="48">
        <v>653</v>
      </c>
      <c r="H511" s="42">
        <f t="shared" si="96"/>
        <v>0</v>
      </c>
    </row>
    <row r="512" spans="1:8" s="18" customFormat="1" ht="12" customHeight="1" x14ac:dyDescent="0.2">
      <c r="A512" s="33"/>
      <c r="B512" s="33"/>
      <c r="C512" s="45">
        <v>4307</v>
      </c>
      <c r="D512" s="41" t="s">
        <v>14</v>
      </c>
      <c r="E512" s="48">
        <v>39427.9</v>
      </c>
      <c r="F512" s="48"/>
      <c r="G512" s="48">
        <v>39427.9</v>
      </c>
      <c r="H512" s="42">
        <f t="shared" si="96"/>
        <v>0</v>
      </c>
    </row>
    <row r="513" spans="1:8" s="18" customFormat="1" ht="12" customHeight="1" x14ac:dyDescent="0.2">
      <c r="A513" s="33"/>
      <c r="B513" s="33"/>
      <c r="C513" s="45">
        <v>4309</v>
      </c>
      <c r="D513" s="41" t="s">
        <v>14</v>
      </c>
      <c r="E513" s="48">
        <v>2775</v>
      </c>
      <c r="F513" s="48"/>
      <c r="G513" s="48">
        <v>2775</v>
      </c>
      <c r="H513" s="42">
        <f t="shared" si="96"/>
        <v>0</v>
      </c>
    </row>
    <row r="514" spans="1:8" s="18" customFormat="1" ht="12" customHeight="1" x14ac:dyDescent="0.2">
      <c r="A514" s="33"/>
      <c r="B514" s="33"/>
      <c r="C514" s="45">
        <v>4427</v>
      </c>
      <c r="D514" s="11" t="s">
        <v>257</v>
      </c>
      <c r="E514" s="48">
        <v>20611.060000000001</v>
      </c>
      <c r="F514" s="48"/>
      <c r="G514" s="48">
        <v>20611.060000000001</v>
      </c>
      <c r="H514" s="42">
        <f t="shared" si="96"/>
        <v>0</v>
      </c>
    </row>
    <row r="515" spans="1:8" s="18" customFormat="1" ht="12" customHeight="1" x14ac:dyDescent="0.2">
      <c r="A515" s="33"/>
      <c r="B515" s="33"/>
      <c r="C515" s="45">
        <v>4429</v>
      </c>
      <c r="D515" s="11" t="s">
        <v>257</v>
      </c>
      <c r="E515" s="48">
        <v>1368.94</v>
      </c>
      <c r="F515" s="48"/>
      <c r="G515" s="48">
        <v>1368.94</v>
      </c>
      <c r="H515" s="42">
        <f t="shared" si="96"/>
        <v>0</v>
      </c>
    </row>
    <row r="516" spans="1:8" s="18" customFormat="1" ht="24" customHeight="1" x14ac:dyDescent="0.2">
      <c r="A516" s="33"/>
      <c r="B516" s="33"/>
      <c r="C516" s="9"/>
      <c r="D516" s="532" t="s">
        <v>258</v>
      </c>
      <c r="E516" s="125">
        <v>0</v>
      </c>
      <c r="F516" s="519">
        <f>SUM(F517:F518)</f>
        <v>75627.900000000009</v>
      </c>
      <c r="G516" s="519">
        <f>SUM(G517:G518)</f>
        <v>0</v>
      </c>
      <c r="H516" s="524">
        <f t="shared" si="96"/>
        <v>75627.900000000009</v>
      </c>
    </row>
    <row r="517" spans="1:8" s="18" customFormat="1" ht="12" customHeight="1" x14ac:dyDescent="0.2">
      <c r="A517" s="33"/>
      <c r="B517" s="33"/>
      <c r="C517" s="45">
        <v>2957</v>
      </c>
      <c r="D517" s="41" t="s">
        <v>259</v>
      </c>
      <c r="E517" s="48">
        <v>0</v>
      </c>
      <c r="F517" s="44">
        <v>70830.960000000006</v>
      </c>
      <c r="G517" s="44"/>
      <c r="H517" s="42">
        <f t="shared" si="96"/>
        <v>70830.960000000006</v>
      </c>
    </row>
    <row r="518" spans="1:8" s="18" customFormat="1" ht="12" customHeight="1" x14ac:dyDescent="0.2">
      <c r="A518" s="33"/>
      <c r="B518" s="33"/>
      <c r="C518" s="45">
        <v>2959</v>
      </c>
      <c r="D518" s="41" t="s">
        <v>259</v>
      </c>
      <c r="E518" s="48">
        <v>0</v>
      </c>
      <c r="F518" s="44">
        <v>4796.9399999999996</v>
      </c>
      <c r="G518" s="44"/>
      <c r="H518" s="42">
        <f t="shared" si="96"/>
        <v>4796.9399999999996</v>
      </c>
    </row>
    <row r="519" spans="1:8" s="18" customFormat="1" ht="12" customHeight="1" thickBot="1" x14ac:dyDescent="0.25">
      <c r="A519" s="34" t="s">
        <v>260</v>
      </c>
      <c r="B519" s="32"/>
      <c r="C519" s="34"/>
      <c r="D519" s="35" t="s">
        <v>158</v>
      </c>
      <c r="E519" s="134">
        <v>6914106.1899999995</v>
      </c>
      <c r="F519" s="134">
        <f>SUM(F520)</f>
        <v>654322</v>
      </c>
      <c r="G519" s="134">
        <f>SUM(G520)</f>
        <v>654322</v>
      </c>
      <c r="H519" s="31">
        <f t="shared" si="96"/>
        <v>6914106.1899999995</v>
      </c>
    </row>
    <row r="520" spans="1:8" s="18" customFormat="1" ht="12" customHeight="1" thickTop="1" x14ac:dyDescent="0.2">
      <c r="A520" s="33"/>
      <c r="B520" s="46">
        <v>85154</v>
      </c>
      <c r="C520" s="75"/>
      <c r="D520" s="76" t="s">
        <v>261</v>
      </c>
      <c r="E520" s="40">
        <v>4331513.1899999995</v>
      </c>
      <c r="F520" s="40">
        <f>SUM(F521,F523,F528,F533,F536)</f>
        <v>654322</v>
      </c>
      <c r="G520" s="40">
        <f>SUM(G521,G523,G528,G533,G536)</f>
        <v>654322</v>
      </c>
      <c r="H520" s="39">
        <f t="shared" si="96"/>
        <v>4331513.1899999995</v>
      </c>
    </row>
    <row r="521" spans="1:8" s="18" customFormat="1" ht="12" customHeight="1" x14ac:dyDescent="0.2">
      <c r="A521" s="33"/>
      <c r="B521" s="33"/>
      <c r="C521" s="46"/>
      <c r="D521" s="533" t="s">
        <v>262</v>
      </c>
      <c r="E521" s="84">
        <v>980568.94</v>
      </c>
      <c r="F521" s="84">
        <f>SUM(F522:F522)</f>
        <v>30208</v>
      </c>
      <c r="G521" s="84">
        <f>SUM(G522:G522)</f>
        <v>0</v>
      </c>
      <c r="H521" s="524">
        <f t="shared" si="96"/>
        <v>1010776.94</v>
      </c>
    </row>
    <row r="522" spans="1:8" s="18" customFormat="1" ht="12" customHeight="1" x14ac:dyDescent="0.2">
      <c r="A522" s="33"/>
      <c r="B522" s="33"/>
      <c r="C522" s="45">
        <v>4280</v>
      </c>
      <c r="D522" s="41" t="s">
        <v>216</v>
      </c>
      <c r="E522" s="42">
        <v>108800</v>
      </c>
      <c r="F522" s="42">
        <v>30208</v>
      </c>
      <c r="G522" s="42"/>
      <c r="H522" s="42">
        <f t="shared" si="96"/>
        <v>139008</v>
      </c>
    </row>
    <row r="523" spans="1:8" s="18" customFormat="1" ht="12" customHeight="1" x14ac:dyDescent="0.2">
      <c r="A523" s="33"/>
      <c r="B523" s="33"/>
      <c r="C523" s="46"/>
      <c r="D523" s="518" t="s">
        <v>263</v>
      </c>
      <c r="E523" s="519">
        <v>1954345</v>
      </c>
      <c r="F523" s="519">
        <f>SUM(F524:F527)</f>
        <v>382792</v>
      </c>
      <c r="G523" s="519">
        <f>SUM(G524:G527)</f>
        <v>0</v>
      </c>
      <c r="H523" s="524">
        <f t="shared" si="96"/>
        <v>2337137</v>
      </c>
    </row>
    <row r="524" spans="1:8" s="18" customFormat="1" ht="12" customHeight="1" x14ac:dyDescent="0.2">
      <c r="A524" s="33"/>
      <c r="B524" s="33"/>
      <c r="C524" s="45">
        <v>4010</v>
      </c>
      <c r="D524" s="41" t="s">
        <v>214</v>
      </c>
      <c r="E524" s="42">
        <v>923026</v>
      </c>
      <c r="F524" s="42">
        <v>300000</v>
      </c>
      <c r="G524" s="42"/>
      <c r="H524" s="42">
        <f t="shared" si="96"/>
        <v>1223026</v>
      </c>
    </row>
    <row r="525" spans="1:8" s="18" customFormat="1" ht="12" customHeight="1" x14ac:dyDescent="0.2">
      <c r="A525" s="33"/>
      <c r="B525" s="33"/>
      <c r="C525" s="45">
        <v>4040</v>
      </c>
      <c r="D525" s="41" t="s">
        <v>187</v>
      </c>
      <c r="E525" s="42">
        <v>57116</v>
      </c>
      <c r="F525" s="42">
        <v>19892</v>
      </c>
      <c r="G525" s="42"/>
      <c r="H525" s="42">
        <f t="shared" si="96"/>
        <v>77008</v>
      </c>
    </row>
    <row r="526" spans="1:8" s="18" customFormat="1" ht="12" customHeight="1" x14ac:dyDescent="0.2">
      <c r="A526" s="88"/>
      <c r="B526" s="88"/>
      <c r="C526" s="114">
        <v>4110</v>
      </c>
      <c r="D526" s="38" t="s">
        <v>29</v>
      </c>
      <c r="E526" s="40">
        <v>168861</v>
      </c>
      <c r="F526" s="40">
        <v>55600</v>
      </c>
      <c r="G526" s="40"/>
      <c r="H526" s="40">
        <f t="shared" si="96"/>
        <v>224461</v>
      </c>
    </row>
    <row r="527" spans="1:8" s="18" customFormat="1" ht="12" customHeight="1" x14ac:dyDescent="0.2">
      <c r="A527" s="33"/>
      <c r="B527" s="33"/>
      <c r="C527" s="45">
        <v>4120</v>
      </c>
      <c r="D527" s="41" t="s">
        <v>30</v>
      </c>
      <c r="E527" s="42">
        <v>23136</v>
      </c>
      <c r="F527" s="42">
        <v>7300</v>
      </c>
      <c r="G527" s="42"/>
      <c r="H527" s="42">
        <f t="shared" si="96"/>
        <v>30436</v>
      </c>
    </row>
    <row r="528" spans="1:8" s="18" customFormat="1" ht="12" customHeight="1" x14ac:dyDescent="0.2">
      <c r="A528" s="33"/>
      <c r="B528" s="33"/>
      <c r="C528" s="46"/>
      <c r="D528" s="534" t="s">
        <v>264</v>
      </c>
      <c r="E528" s="519">
        <v>50000</v>
      </c>
      <c r="F528" s="519">
        <f>SUM(F529:F532)</f>
        <v>200000</v>
      </c>
      <c r="G528" s="519">
        <f>SUM(G529:G532)</f>
        <v>0</v>
      </c>
      <c r="H528" s="524">
        <f t="shared" ref="H528:H535" si="97">SUM(E528+F528-G528)</f>
        <v>250000</v>
      </c>
    </row>
    <row r="529" spans="1:8" s="18" customFormat="1" ht="12" customHeight="1" x14ac:dyDescent="0.2">
      <c r="A529" s="33"/>
      <c r="B529" s="33"/>
      <c r="C529" s="45">
        <v>4010</v>
      </c>
      <c r="D529" s="41" t="s">
        <v>214</v>
      </c>
      <c r="E529" s="42">
        <v>0</v>
      </c>
      <c r="F529" s="42">
        <v>158500</v>
      </c>
      <c r="G529" s="42"/>
      <c r="H529" s="42">
        <f t="shared" si="97"/>
        <v>158500</v>
      </c>
    </row>
    <row r="530" spans="1:8" s="18" customFormat="1" ht="12" customHeight="1" x14ac:dyDescent="0.2">
      <c r="A530" s="33"/>
      <c r="B530" s="33"/>
      <c r="C530" s="45">
        <v>4110</v>
      </c>
      <c r="D530" s="41" t="s">
        <v>29</v>
      </c>
      <c r="E530" s="42">
        <v>0</v>
      </c>
      <c r="F530" s="42">
        <v>27590</v>
      </c>
      <c r="G530" s="42"/>
      <c r="H530" s="42">
        <f t="shared" si="97"/>
        <v>27590</v>
      </c>
    </row>
    <row r="531" spans="1:8" s="18" customFormat="1" ht="12" customHeight="1" x14ac:dyDescent="0.2">
      <c r="A531" s="33"/>
      <c r="B531" s="33"/>
      <c r="C531" s="45">
        <v>4120</v>
      </c>
      <c r="D531" s="41" t="s">
        <v>30</v>
      </c>
      <c r="E531" s="42">
        <v>0</v>
      </c>
      <c r="F531" s="42">
        <v>3910</v>
      </c>
      <c r="G531" s="42"/>
      <c r="H531" s="42">
        <f t="shared" si="97"/>
        <v>3910</v>
      </c>
    </row>
    <row r="532" spans="1:8" s="18" customFormat="1" ht="12" customHeight="1" x14ac:dyDescent="0.2">
      <c r="A532" s="33"/>
      <c r="B532" s="33"/>
      <c r="C532" s="9" t="s">
        <v>170</v>
      </c>
      <c r="D532" s="11" t="s">
        <v>13</v>
      </c>
      <c r="E532" s="42">
        <v>5000</v>
      </c>
      <c r="F532" s="42">
        <v>10000</v>
      </c>
      <c r="G532" s="42"/>
      <c r="H532" s="42">
        <f t="shared" si="97"/>
        <v>15000</v>
      </c>
    </row>
    <row r="533" spans="1:8" s="18" customFormat="1" ht="12" customHeight="1" x14ac:dyDescent="0.2">
      <c r="A533" s="33"/>
      <c r="B533" s="33"/>
      <c r="C533" s="46"/>
      <c r="D533" s="531" t="s">
        <v>265</v>
      </c>
      <c r="E533" s="519">
        <v>0</v>
      </c>
      <c r="F533" s="519">
        <f>SUM(F534:F535)</f>
        <v>10000</v>
      </c>
      <c r="G533" s="519">
        <f>SUM(G534:G535)</f>
        <v>0</v>
      </c>
      <c r="H533" s="524">
        <f t="shared" si="97"/>
        <v>10000</v>
      </c>
    </row>
    <row r="534" spans="1:8" s="18" customFormat="1" ht="12" customHeight="1" x14ac:dyDescent="0.2">
      <c r="A534" s="33"/>
      <c r="B534" s="33"/>
      <c r="C534" s="122">
        <v>4170</v>
      </c>
      <c r="D534" s="123" t="s">
        <v>32</v>
      </c>
      <c r="E534" s="42">
        <v>0</v>
      </c>
      <c r="F534" s="42">
        <v>3000</v>
      </c>
      <c r="G534" s="42"/>
      <c r="H534" s="42">
        <f t="shared" si="97"/>
        <v>3000</v>
      </c>
    </row>
    <row r="535" spans="1:8" s="18" customFormat="1" ht="12" customHeight="1" x14ac:dyDescent="0.2">
      <c r="A535" s="33"/>
      <c r="B535" s="33"/>
      <c r="C535" s="9" t="s">
        <v>170</v>
      </c>
      <c r="D535" s="11" t="s">
        <v>13</v>
      </c>
      <c r="E535" s="42">
        <v>0</v>
      </c>
      <c r="F535" s="42">
        <v>7000</v>
      </c>
      <c r="G535" s="42"/>
      <c r="H535" s="42">
        <f t="shared" si="97"/>
        <v>7000</v>
      </c>
    </row>
    <row r="536" spans="1:8" s="18" customFormat="1" ht="12" customHeight="1" x14ac:dyDescent="0.2">
      <c r="A536" s="33"/>
      <c r="B536" s="33"/>
      <c r="C536" s="27"/>
      <c r="D536" s="525" t="s">
        <v>266</v>
      </c>
      <c r="E536" s="524">
        <v>1346599.25</v>
      </c>
      <c r="F536" s="519">
        <f>SUM(F537:F544)</f>
        <v>31322</v>
      </c>
      <c r="G536" s="519">
        <f>SUM(G537:G544)</f>
        <v>654322</v>
      </c>
      <c r="H536" s="125">
        <f>SUM(E536+F536-G536)</f>
        <v>723599.25</v>
      </c>
    </row>
    <row r="537" spans="1:8" s="18" customFormat="1" ht="12" customHeight="1" x14ac:dyDescent="0.2">
      <c r="A537" s="33"/>
      <c r="B537" s="33"/>
      <c r="C537" s="45">
        <v>4010</v>
      </c>
      <c r="D537" s="41" t="s">
        <v>214</v>
      </c>
      <c r="E537" s="48">
        <v>255000</v>
      </c>
      <c r="F537" s="48"/>
      <c r="G537" s="48">
        <v>120000</v>
      </c>
      <c r="H537" s="43">
        <f t="shared" ref="H537:H544" si="98">SUM(E537+F537-G537)</f>
        <v>135000</v>
      </c>
    </row>
    <row r="538" spans="1:8" s="18" customFormat="1" ht="12" customHeight="1" x14ac:dyDescent="0.2">
      <c r="A538" s="33"/>
      <c r="B538" s="33"/>
      <c r="C538" s="45">
        <v>4110</v>
      </c>
      <c r="D538" s="41" t="s">
        <v>29</v>
      </c>
      <c r="E538" s="48">
        <v>44000</v>
      </c>
      <c r="F538" s="48"/>
      <c r="G538" s="48">
        <v>20000</v>
      </c>
      <c r="H538" s="43">
        <f t="shared" si="98"/>
        <v>24000</v>
      </c>
    </row>
    <row r="539" spans="1:8" s="18" customFormat="1" ht="12" customHeight="1" x14ac:dyDescent="0.2">
      <c r="A539" s="33"/>
      <c r="B539" s="33"/>
      <c r="C539" s="45">
        <v>4120</v>
      </c>
      <c r="D539" s="41" t="s">
        <v>30</v>
      </c>
      <c r="E539" s="48">
        <v>5000</v>
      </c>
      <c r="F539" s="48"/>
      <c r="G539" s="48">
        <v>3000</v>
      </c>
      <c r="H539" s="43">
        <f t="shared" si="98"/>
        <v>2000</v>
      </c>
    </row>
    <row r="540" spans="1:8" s="18" customFormat="1" ht="12" customHeight="1" x14ac:dyDescent="0.2">
      <c r="A540" s="33"/>
      <c r="B540" s="33"/>
      <c r="C540" s="9" t="s">
        <v>170</v>
      </c>
      <c r="D540" s="11" t="s">
        <v>13</v>
      </c>
      <c r="E540" s="48">
        <v>53599.25</v>
      </c>
      <c r="F540" s="48">
        <v>30000</v>
      </c>
      <c r="G540" s="48"/>
      <c r="H540" s="43">
        <f t="shared" si="98"/>
        <v>83599.25</v>
      </c>
    </row>
    <row r="541" spans="1:8" s="18" customFormat="1" ht="12" customHeight="1" x14ac:dyDescent="0.2">
      <c r="A541" s="33"/>
      <c r="B541" s="33"/>
      <c r="C541" s="45">
        <v>4260</v>
      </c>
      <c r="D541" s="41" t="s">
        <v>188</v>
      </c>
      <c r="E541" s="48">
        <v>46000</v>
      </c>
      <c r="F541" s="48"/>
      <c r="G541" s="48">
        <v>10000</v>
      </c>
      <c r="H541" s="43">
        <f t="shared" si="98"/>
        <v>36000</v>
      </c>
    </row>
    <row r="542" spans="1:8" s="18" customFormat="1" ht="12" customHeight="1" x14ac:dyDescent="0.2">
      <c r="A542" s="33"/>
      <c r="B542" s="33"/>
      <c r="C542" s="45">
        <v>4280</v>
      </c>
      <c r="D542" s="41" t="s">
        <v>216</v>
      </c>
      <c r="E542" s="48">
        <v>420000</v>
      </c>
      <c r="F542" s="48"/>
      <c r="G542" s="48">
        <f>250000+31322</f>
        <v>281322</v>
      </c>
      <c r="H542" s="43">
        <f t="shared" si="98"/>
        <v>138678</v>
      </c>
    </row>
    <row r="543" spans="1:8" s="18" customFormat="1" ht="12" customHeight="1" x14ac:dyDescent="0.2">
      <c r="A543" s="33"/>
      <c r="B543" s="33"/>
      <c r="C543" s="45">
        <v>4300</v>
      </c>
      <c r="D543" s="41" t="s">
        <v>14</v>
      </c>
      <c r="E543" s="48">
        <v>506500</v>
      </c>
      <c r="F543" s="48"/>
      <c r="G543" s="48">
        <v>220000</v>
      </c>
      <c r="H543" s="43">
        <f t="shared" si="98"/>
        <v>286500</v>
      </c>
    </row>
    <row r="544" spans="1:8" s="18" customFormat="1" ht="12" customHeight="1" x14ac:dyDescent="0.2">
      <c r="A544" s="33"/>
      <c r="B544" s="33"/>
      <c r="C544" s="53">
        <v>4440</v>
      </c>
      <c r="D544" s="115" t="s">
        <v>200</v>
      </c>
      <c r="E544" s="48">
        <v>4000</v>
      </c>
      <c r="F544" s="48">
        <v>1322</v>
      </c>
      <c r="G544" s="48"/>
      <c r="H544" s="43">
        <f t="shared" si="98"/>
        <v>5322</v>
      </c>
    </row>
    <row r="545" spans="1:8" s="18" customFormat="1" ht="12" customHeight="1" thickBot="1" x14ac:dyDescent="0.25">
      <c r="A545" s="34" t="s">
        <v>267</v>
      </c>
      <c r="B545" s="33"/>
      <c r="C545" s="34"/>
      <c r="D545" s="35" t="s">
        <v>94</v>
      </c>
      <c r="E545" s="31">
        <v>68968213.840000004</v>
      </c>
      <c r="F545" s="36">
        <f>SUM(F546,F563,F572,F576,F581,F584,F587,F593,F597,F604)</f>
        <v>489320.49</v>
      </c>
      <c r="G545" s="36">
        <f>SUM(G546,G563,G572,G576,G581,G584,G587,G593,G597,G604)</f>
        <v>296600.49</v>
      </c>
      <c r="H545" s="31">
        <f t="shared" ref="H545:H556" si="99">SUM(E545+F545-G545)</f>
        <v>69160933.840000004</v>
      </c>
    </row>
    <row r="546" spans="1:8" s="18" customFormat="1" ht="12" customHeight="1" thickTop="1" x14ac:dyDescent="0.2">
      <c r="A546" s="34"/>
      <c r="B546" s="37">
        <v>85202</v>
      </c>
      <c r="C546" s="27"/>
      <c r="D546" s="97" t="s">
        <v>268</v>
      </c>
      <c r="E546" s="111">
        <v>17034026.259999998</v>
      </c>
      <c r="F546" s="40">
        <f>SUM(F547,F559)</f>
        <v>39680.980000000003</v>
      </c>
      <c r="G546" s="40">
        <f>SUM(G547,G559)</f>
        <v>39680.980000000003</v>
      </c>
      <c r="H546" s="39">
        <f t="shared" si="99"/>
        <v>17034026.259999998</v>
      </c>
    </row>
    <row r="547" spans="1:8" s="18" customFormat="1" ht="12" customHeight="1" x14ac:dyDescent="0.2">
      <c r="A547" s="34"/>
      <c r="B547" s="37"/>
      <c r="C547" s="27"/>
      <c r="D547" s="518" t="s">
        <v>269</v>
      </c>
      <c r="E547" s="125">
        <v>3510251</v>
      </c>
      <c r="F547" s="527">
        <f>SUM(F548:F556)</f>
        <v>38602</v>
      </c>
      <c r="G547" s="527">
        <f>SUM(G548:G556)</f>
        <v>38602</v>
      </c>
      <c r="H547" s="524">
        <f t="shared" si="99"/>
        <v>3510251</v>
      </c>
    </row>
    <row r="548" spans="1:8" s="18" customFormat="1" ht="12" customHeight="1" x14ac:dyDescent="0.2">
      <c r="A548" s="34"/>
      <c r="B548" s="37"/>
      <c r="C548" s="45">
        <v>4110</v>
      </c>
      <c r="D548" s="41" t="s">
        <v>29</v>
      </c>
      <c r="E548" s="44">
        <v>322028</v>
      </c>
      <c r="F548" s="48">
        <v>11000</v>
      </c>
      <c r="G548" s="48"/>
      <c r="H548" s="42">
        <f t="shared" si="99"/>
        <v>333028</v>
      </c>
    </row>
    <row r="549" spans="1:8" s="18" customFormat="1" ht="12" customHeight="1" x14ac:dyDescent="0.2">
      <c r="A549" s="34"/>
      <c r="B549" s="37"/>
      <c r="C549" s="118" t="s">
        <v>170</v>
      </c>
      <c r="D549" s="133" t="s">
        <v>13</v>
      </c>
      <c r="E549" s="44">
        <v>100000</v>
      </c>
      <c r="F549" s="48">
        <v>4608</v>
      </c>
      <c r="G549" s="48"/>
      <c r="H549" s="42">
        <f t="shared" si="99"/>
        <v>104608</v>
      </c>
    </row>
    <row r="550" spans="1:8" s="18" customFormat="1" ht="12" customHeight="1" x14ac:dyDescent="0.2">
      <c r="A550" s="34"/>
      <c r="B550" s="37"/>
      <c r="C550" s="53">
        <v>4220</v>
      </c>
      <c r="D550" s="115" t="s">
        <v>27</v>
      </c>
      <c r="E550" s="44">
        <v>225710</v>
      </c>
      <c r="F550" s="48">
        <v>21030</v>
      </c>
      <c r="G550" s="48"/>
      <c r="H550" s="42">
        <f t="shared" si="99"/>
        <v>246740</v>
      </c>
    </row>
    <row r="551" spans="1:8" s="18" customFormat="1" ht="12" customHeight="1" x14ac:dyDescent="0.2">
      <c r="A551" s="34"/>
      <c r="B551" s="37"/>
      <c r="C551" s="45">
        <v>4260</v>
      </c>
      <c r="D551" s="41" t="s">
        <v>188</v>
      </c>
      <c r="E551" s="44">
        <v>245873</v>
      </c>
      <c r="F551" s="48"/>
      <c r="G551" s="48">
        <v>15873</v>
      </c>
      <c r="H551" s="42">
        <f t="shared" si="99"/>
        <v>230000</v>
      </c>
    </row>
    <row r="552" spans="1:8" s="18" customFormat="1" ht="12" customHeight="1" x14ac:dyDescent="0.2">
      <c r="A552" s="34"/>
      <c r="B552" s="37"/>
      <c r="C552" s="45">
        <v>4280</v>
      </c>
      <c r="D552" s="41" t="s">
        <v>216</v>
      </c>
      <c r="E552" s="44">
        <v>5200</v>
      </c>
      <c r="F552" s="48">
        <v>500</v>
      </c>
      <c r="G552" s="48"/>
      <c r="H552" s="42">
        <f t="shared" si="99"/>
        <v>5700</v>
      </c>
    </row>
    <row r="553" spans="1:8" s="18" customFormat="1" ht="12" customHeight="1" x14ac:dyDescent="0.2">
      <c r="A553" s="34"/>
      <c r="B553" s="37"/>
      <c r="C553" s="45">
        <v>4300</v>
      </c>
      <c r="D553" s="41" t="s">
        <v>14</v>
      </c>
      <c r="E553" s="44">
        <v>90650</v>
      </c>
      <c r="F553" s="48"/>
      <c r="G553" s="48">
        <v>1500</v>
      </c>
      <c r="H553" s="42">
        <f t="shared" si="99"/>
        <v>89150</v>
      </c>
    </row>
    <row r="554" spans="1:8" s="18" customFormat="1" ht="12" customHeight="1" x14ac:dyDescent="0.2">
      <c r="A554" s="34"/>
      <c r="B554" s="37"/>
      <c r="C554" s="53">
        <v>4430</v>
      </c>
      <c r="D554" s="115" t="s">
        <v>233</v>
      </c>
      <c r="E554" s="44">
        <v>12000</v>
      </c>
      <c r="F554" s="48"/>
      <c r="G554" s="48">
        <v>5769</v>
      </c>
      <c r="H554" s="42">
        <f t="shared" si="99"/>
        <v>6231</v>
      </c>
    </row>
    <row r="555" spans="1:8" s="18" customFormat="1" ht="12" customHeight="1" x14ac:dyDescent="0.2">
      <c r="A555" s="34"/>
      <c r="B555" s="37"/>
      <c r="C555" s="53">
        <v>4440</v>
      </c>
      <c r="D555" s="115" t="s">
        <v>200</v>
      </c>
      <c r="E555" s="44">
        <v>70953</v>
      </c>
      <c r="F555" s="48">
        <v>1464</v>
      </c>
      <c r="G555" s="48"/>
      <c r="H555" s="42">
        <f t="shared" si="99"/>
        <v>72417</v>
      </c>
    </row>
    <row r="556" spans="1:8" s="18" customFormat="1" ht="12" customHeight="1" x14ac:dyDescent="0.2">
      <c r="A556" s="34"/>
      <c r="B556" s="37"/>
      <c r="C556" s="45">
        <v>4710</v>
      </c>
      <c r="D556" s="11" t="s">
        <v>33</v>
      </c>
      <c r="E556" s="44">
        <v>18000</v>
      </c>
      <c r="F556" s="48"/>
      <c r="G556" s="48">
        <v>15460</v>
      </c>
      <c r="H556" s="42">
        <f t="shared" si="99"/>
        <v>2540</v>
      </c>
    </row>
    <row r="557" spans="1:8" s="18" customFormat="1" ht="12" customHeight="1" x14ac:dyDescent="0.2">
      <c r="A557" s="34"/>
      <c r="B557" s="37"/>
      <c r="C557" s="27"/>
      <c r="D557" s="57" t="s">
        <v>270</v>
      </c>
      <c r="E557" s="48"/>
      <c r="F557" s="42"/>
      <c r="G557" s="42"/>
      <c r="H557" s="43"/>
    </row>
    <row r="558" spans="1:8" s="18" customFormat="1" ht="12" customHeight="1" x14ac:dyDescent="0.2">
      <c r="A558" s="34"/>
      <c r="B558" s="37"/>
      <c r="C558" s="27"/>
      <c r="D558" s="57" t="s">
        <v>624</v>
      </c>
      <c r="E558" s="48"/>
      <c r="F558" s="42"/>
      <c r="G558" s="42"/>
      <c r="H558" s="43"/>
    </row>
    <row r="559" spans="1:8" s="18" customFormat="1" ht="12" customHeight="1" x14ac:dyDescent="0.2">
      <c r="A559" s="34"/>
      <c r="B559" s="37"/>
      <c r="C559" s="27"/>
      <c r="D559" s="535" t="s">
        <v>271</v>
      </c>
      <c r="E559" s="125">
        <v>35796</v>
      </c>
      <c r="F559" s="527">
        <f>SUM(F560:F562)</f>
        <v>1078.98</v>
      </c>
      <c r="G559" s="527">
        <f>SUM(G560:G562)</f>
        <v>1078.98</v>
      </c>
      <c r="H559" s="524">
        <f t="shared" ref="H559:H568" si="100">SUM(E559+F559-G559)</f>
        <v>35796</v>
      </c>
    </row>
    <row r="560" spans="1:8" s="18" customFormat="1" ht="12" customHeight="1" x14ac:dyDescent="0.2">
      <c r="A560" s="34"/>
      <c r="B560" s="37"/>
      <c r="C560" s="45">
        <v>4010</v>
      </c>
      <c r="D560" s="41" t="s">
        <v>214</v>
      </c>
      <c r="E560" s="44">
        <v>21010</v>
      </c>
      <c r="F560" s="48">
        <v>1078.98</v>
      </c>
      <c r="G560" s="48"/>
      <c r="H560" s="42">
        <f t="shared" si="100"/>
        <v>22088.98</v>
      </c>
    </row>
    <row r="561" spans="1:8" s="18" customFormat="1" ht="12" customHeight="1" x14ac:dyDescent="0.2">
      <c r="A561" s="34"/>
      <c r="B561" s="37"/>
      <c r="C561" s="45">
        <v>4110</v>
      </c>
      <c r="D561" s="41" t="s">
        <v>29</v>
      </c>
      <c r="E561" s="44">
        <v>4783</v>
      </c>
      <c r="F561" s="48"/>
      <c r="G561" s="48">
        <v>952.74</v>
      </c>
      <c r="H561" s="42">
        <f t="shared" si="100"/>
        <v>3830.26</v>
      </c>
    </row>
    <row r="562" spans="1:8" s="18" customFormat="1" ht="12" customHeight="1" x14ac:dyDescent="0.2">
      <c r="A562" s="34"/>
      <c r="B562" s="37"/>
      <c r="C562" s="45">
        <v>4120</v>
      </c>
      <c r="D562" s="41" t="s">
        <v>30</v>
      </c>
      <c r="E562" s="44">
        <v>615</v>
      </c>
      <c r="F562" s="48"/>
      <c r="G562" s="48">
        <v>126.24</v>
      </c>
      <c r="H562" s="42">
        <f t="shared" si="100"/>
        <v>488.76</v>
      </c>
    </row>
    <row r="563" spans="1:8" s="18" customFormat="1" ht="12" customHeight="1" x14ac:dyDescent="0.2">
      <c r="A563" s="34"/>
      <c r="B563" s="37">
        <v>85205</v>
      </c>
      <c r="C563" s="27"/>
      <c r="D563" s="87" t="s">
        <v>162</v>
      </c>
      <c r="E563" s="111">
        <v>89950</v>
      </c>
      <c r="F563" s="40">
        <f>SUM(F564)</f>
        <v>1000</v>
      </c>
      <c r="G563" s="40">
        <f>SUM(G564)</f>
        <v>1000</v>
      </c>
      <c r="H563" s="39">
        <f t="shared" si="100"/>
        <v>89950</v>
      </c>
    </row>
    <row r="564" spans="1:8" s="18" customFormat="1" ht="20.45" customHeight="1" x14ac:dyDescent="0.2">
      <c r="A564" s="34"/>
      <c r="B564" s="37"/>
      <c r="C564" s="27"/>
      <c r="D564" s="536" t="s">
        <v>272</v>
      </c>
      <c r="E564" s="125">
        <v>89950</v>
      </c>
      <c r="F564" s="527">
        <f>SUM(F565:F568)</f>
        <v>1000</v>
      </c>
      <c r="G564" s="527">
        <f>SUM(G565:G568)</f>
        <v>1000</v>
      </c>
      <c r="H564" s="524">
        <f t="shared" si="100"/>
        <v>89950</v>
      </c>
    </row>
    <row r="565" spans="1:8" s="18" customFormat="1" ht="12" customHeight="1" x14ac:dyDescent="0.2">
      <c r="A565" s="34"/>
      <c r="B565" s="37"/>
      <c r="C565" s="45">
        <v>4010</v>
      </c>
      <c r="D565" s="41" t="s">
        <v>214</v>
      </c>
      <c r="E565" s="44">
        <v>4100</v>
      </c>
      <c r="F565" s="48">
        <v>830</v>
      </c>
      <c r="G565" s="48"/>
      <c r="H565" s="42">
        <f t="shared" si="100"/>
        <v>4930</v>
      </c>
    </row>
    <row r="566" spans="1:8" s="18" customFormat="1" ht="12" customHeight="1" x14ac:dyDescent="0.2">
      <c r="A566" s="34"/>
      <c r="B566" s="37"/>
      <c r="C566" s="45">
        <v>4110</v>
      </c>
      <c r="D566" s="41" t="s">
        <v>29</v>
      </c>
      <c r="E566" s="44">
        <v>785</v>
      </c>
      <c r="F566" s="48">
        <v>147</v>
      </c>
      <c r="G566" s="48"/>
      <c r="H566" s="42">
        <f t="shared" si="100"/>
        <v>932</v>
      </c>
    </row>
    <row r="567" spans="1:8" s="18" customFormat="1" ht="12" customHeight="1" x14ac:dyDescent="0.2">
      <c r="A567" s="34"/>
      <c r="B567" s="37"/>
      <c r="C567" s="45">
        <v>4120</v>
      </c>
      <c r="D567" s="41" t="s">
        <v>30</v>
      </c>
      <c r="E567" s="44">
        <v>115</v>
      </c>
      <c r="F567" s="48">
        <v>23</v>
      </c>
      <c r="G567" s="48"/>
      <c r="H567" s="42">
        <f t="shared" si="100"/>
        <v>138</v>
      </c>
    </row>
    <row r="568" spans="1:8" s="18" customFormat="1" ht="12" customHeight="1" x14ac:dyDescent="0.2">
      <c r="A568" s="34"/>
      <c r="B568" s="37"/>
      <c r="C568" s="45">
        <v>4170</v>
      </c>
      <c r="D568" s="41" t="s">
        <v>32</v>
      </c>
      <c r="E568" s="44">
        <v>1000</v>
      </c>
      <c r="F568" s="48"/>
      <c r="G568" s="48">
        <v>1000</v>
      </c>
      <c r="H568" s="42">
        <f t="shared" si="100"/>
        <v>0</v>
      </c>
    </row>
    <row r="569" spans="1:8" s="18" customFormat="1" ht="12" customHeight="1" x14ac:dyDescent="0.2">
      <c r="A569" s="34"/>
      <c r="B569" s="45">
        <v>85213</v>
      </c>
      <c r="C569" s="74"/>
      <c r="D569" s="135" t="s">
        <v>95</v>
      </c>
      <c r="E569" s="48"/>
      <c r="F569" s="42"/>
      <c r="G569" s="42"/>
      <c r="H569" s="43"/>
    </row>
    <row r="570" spans="1:8" s="18" customFormat="1" ht="12" customHeight="1" x14ac:dyDescent="0.2">
      <c r="A570" s="34"/>
      <c r="B570" s="74"/>
      <c r="C570" s="74"/>
      <c r="D570" s="37" t="s">
        <v>96</v>
      </c>
      <c r="E570" s="48"/>
      <c r="F570" s="42"/>
      <c r="G570" s="42"/>
      <c r="H570" s="48"/>
    </row>
    <row r="571" spans="1:8" s="18" customFormat="1" ht="12" customHeight="1" x14ac:dyDescent="0.2">
      <c r="A571" s="34"/>
      <c r="B571" s="74"/>
      <c r="C571" s="74"/>
      <c r="D571" s="37" t="s">
        <v>97</v>
      </c>
      <c r="E571" s="48"/>
      <c r="F571" s="44"/>
      <c r="G571" s="44"/>
      <c r="H571" s="44"/>
    </row>
    <row r="572" spans="1:8" s="18" customFormat="1" ht="12" customHeight="1" x14ac:dyDescent="0.2">
      <c r="A572" s="34"/>
      <c r="B572" s="56"/>
      <c r="C572" s="37"/>
      <c r="D572" s="113" t="s">
        <v>98</v>
      </c>
      <c r="E572" s="111">
        <v>385300</v>
      </c>
      <c r="F572" s="40">
        <f>SUM(F573)</f>
        <v>0</v>
      </c>
      <c r="G572" s="40">
        <f>SUM(G573)</f>
        <v>6000</v>
      </c>
      <c r="H572" s="39">
        <f t="shared" ref="H572:H574" si="101">SUM(E572+F572-G572)</f>
        <v>379300</v>
      </c>
    </row>
    <row r="573" spans="1:8" s="18" customFormat="1" ht="12" customHeight="1" x14ac:dyDescent="0.2">
      <c r="A573" s="34"/>
      <c r="B573" s="37"/>
      <c r="C573" s="27"/>
      <c r="D573" s="518" t="s">
        <v>263</v>
      </c>
      <c r="E573" s="125">
        <v>385300</v>
      </c>
      <c r="F573" s="527">
        <f>SUM(F574)</f>
        <v>0</v>
      </c>
      <c r="G573" s="527">
        <f>SUM(G574)</f>
        <v>6000</v>
      </c>
      <c r="H573" s="524">
        <f t="shared" si="101"/>
        <v>379300</v>
      </c>
    </row>
    <row r="574" spans="1:8" s="18" customFormat="1" ht="12" customHeight="1" x14ac:dyDescent="0.2">
      <c r="A574" s="34"/>
      <c r="B574" s="37"/>
      <c r="C574" s="45">
        <v>4130</v>
      </c>
      <c r="D574" s="41" t="s">
        <v>232</v>
      </c>
      <c r="E574" s="48">
        <v>385300</v>
      </c>
      <c r="F574" s="42"/>
      <c r="G574" s="42">
        <v>6000</v>
      </c>
      <c r="H574" s="42">
        <f t="shared" si="101"/>
        <v>379300</v>
      </c>
    </row>
    <row r="575" spans="1:8" s="18" customFormat="1" ht="12" customHeight="1" x14ac:dyDescent="0.2">
      <c r="A575" s="34"/>
      <c r="B575" s="37">
        <v>85214</v>
      </c>
      <c r="C575" s="27"/>
      <c r="D575" s="85" t="s">
        <v>101</v>
      </c>
      <c r="E575" s="55"/>
      <c r="F575" s="86"/>
      <c r="G575" s="86"/>
      <c r="H575" s="55"/>
    </row>
    <row r="576" spans="1:8" s="18" customFormat="1" ht="12" customHeight="1" x14ac:dyDescent="0.2">
      <c r="A576" s="34"/>
      <c r="B576" s="37"/>
      <c r="C576" s="27"/>
      <c r="D576" s="87" t="s">
        <v>102</v>
      </c>
      <c r="E576" s="39">
        <v>9423504.1400000006</v>
      </c>
      <c r="F576" s="40">
        <f>SUM(F577,F579)</f>
        <v>1050</v>
      </c>
      <c r="G576" s="40">
        <f>SUM(G577,G579)</f>
        <v>130905</v>
      </c>
      <c r="H576" s="39">
        <f>SUM(E576+F576-G576)</f>
        <v>9293649.1400000006</v>
      </c>
    </row>
    <row r="577" spans="1:8" s="18" customFormat="1" ht="12" customHeight="1" x14ac:dyDescent="0.2">
      <c r="A577" s="34"/>
      <c r="B577" s="37"/>
      <c r="C577" s="27"/>
      <c r="D577" s="518" t="s">
        <v>263</v>
      </c>
      <c r="E577" s="83">
        <v>9376631.1400000006</v>
      </c>
      <c r="F577" s="519">
        <f>SUM(F578:F578)</f>
        <v>0</v>
      </c>
      <c r="G577" s="519">
        <f>SUM(G578:G578)</f>
        <v>130905</v>
      </c>
      <c r="H577" s="125">
        <f t="shared" ref="H577:H663" si="102">SUM(E577+F577-G577)</f>
        <v>9245726.1400000006</v>
      </c>
    </row>
    <row r="578" spans="1:8" s="18" customFormat="1" ht="12" customHeight="1" x14ac:dyDescent="0.2">
      <c r="A578" s="34"/>
      <c r="B578" s="37"/>
      <c r="C578" s="53">
        <v>3110</v>
      </c>
      <c r="D578" s="41" t="s">
        <v>273</v>
      </c>
      <c r="E578" s="43">
        <v>9287831.1400000006</v>
      </c>
      <c r="F578" s="42"/>
      <c r="G578" s="42">
        <v>130905</v>
      </c>
      <c r="H578" s="42">
        <f t="shared" si="102"/>
        <v>9156926.1400000006</v>
      </c>
    </row>
    <row r="579" spans="1:8" s="18" customFormat="1" ht="19.899999999999999" customHeight="1" x14ac:dyDescent="0.2">
      <c r="A579" s="34"/>
      <c r="B579" s="33"/>
      <c r="C579" s="9"/>
      <c r="D579" s="521" t="s">
        <v>274</v>
      </c>
      <c r="E579" s="125">
        <v>1760</v>
      </c>
      <c r="F579" s="519">
        <f>SUM(F580:F580)</f>
        <v>1050</v>
      </c>
      <c r="G579" s="519">
        <f>SUM(G580:G580)</f>
        <v>0</v>
      </c>
      <c r="H579" s="125">
        <f t="shared" si="102"/>
        <v>2810</v>
      </c>
    </row>
    <row r="580" spans="1:8" s="18" customFormat="1" ht="21.75" customHeight="1" x14ac:dyDescent="0.2">
      <c r="A580" s="34"/>
      <c r="B580" s="33"/>
      <c r="C580" s="53">
        <v>3290</v>
      </c>
      <c r="D580" s="54" t="s">
        <v>275</v>
      </c>
      <c r="E580" s="43">
        <v>1760</v>
      </c>
      <c r="F580" s="43">
        <v>1050</v>
      </c>
      <c r="G580" s="42"/>
      <c r="H580" s="43">
        <f t="shared" si="102"/>
        <v>2810</v>
      </c>
    </row>
    <row r="581" spans="1:8" s="18" customFormat="1" ht="12" customHeight="1" x14ac:dyDescent="0.2">
      <c r="A581" s="34"/>
      <c r="B581" s="37">
        <v>85215</v>
      </c>
      <c r="C581" s="53"/>
      <c r="D581" s="92" t="s">
        <v>276</v>
      </c>
      <c r="E581" s="39">
        <v>3129876</v>
      </c>
      <c r="F581" s="39">
        <f>SUM(F582)</f>
        <v>2100</v>
      </c>
      <c r="G581" s="40">
        <f>SUM(G582)</f>
        <v>0</v>
      </c>
      <c r="H581" s="39">
        <f t="shared" si="102"/>
        <v>3131976</v>
      </c>
    </row>
    <row r="582" spans="1:8" s="18" customFormat="1" ht="12" customHeight="1" x14ac:dyDescent="0.2">
      <c r="A582" s="34"/>
      <c r="B582" s="33"/>
      <c r="C582" s="53"/>
      <c r="D582" s="518" t="s">
        <v>263</v>
      </c>
      <c r="E582" s="83">
        <v>3129876</v>
      </c>
      <c r="F582" s="83">
        <f>SUM(F583:F583)</f>
        <v>2100</v>
      </c>
      <c r="G582" s="84">
        <f>SUM(G583:G583)</f>
        <v>0</v>
      </c>
      <c r="H582" s="125">
        <f>SUM(E582+F582-G582)</f>
        <v>3131976</v>
      </c>
    </row>
    <row r="583" spans="1:8" s="18" customFormat="1" ht="12" customHeight="1" x14ac:dyDescent="0.2">
      <c r="A583" s="136"/>
      <c r="B583" s="88"/>
      <c r="C583" s="99">
        <v>3110</v>
      </c>
      <c r="D583" s="137" t="s">
        <v>273</v>
      </c>
      <c r="E583" s="111">
        <v>3080949</v>
      </c>
      <c r="F583" s="111">
        <v>2100</v>
      </c>
      <c r="G583" s="82"/>
      <c r="H583" s="40">
        <f t="shared" ref="H583:H586" si="103">SUM(E583+F583-G583)</f>
        <v>3083049</v>
      </c>
    </row>
    <row r="584" spans="1:8" s="18" customFormat="1" ht="12" customHeight="1" x14ac:dyDescent="0.2">
      <c r="A584" s="34"/>
      <c r="B584" s="37">
        <v>85216</v>
      </c>
      <c r="C584" s="27"/>
      <c r="D584" s="38" t="s">
        <v>104</v>
      </c>
      <c r="E584" s="111">
        <v>4301417</v>
      </c>
      <c r="F584" s="39">
        <f>SUM(F585)</f>
        <v>324650</v>
      </c>
      <c r="G584" s="39">
        <f>SUM(G585)</f>
        <v>0</v>
      </c>
      <c r="H584" s="39">
        <f t="shared" si="103"/>
        <v>4626067</v>
      </c>
    </row>
    <row r="585" spans="1:8" s="18" customFormat="1" ht="12" customHeight="1" x14ac:dyDescent="0.2">
      <c r="A585" s="34"/>
      <c r="B585" s="37"/>
      <c r="C585" s="27"/>
      <c r="D585" s="518" t="s">
        <v>277</v>
      </c>
      <c r="E585" s="83">
        <v>4217600</v>
      </c>
      <c r="F585" s="527">
        <f>SUM(F586:F586)</f>
        <v>324650</v>
      </c>
      <c r="G585" s="527">
        <f>SUM(G586:G586)</f>
        <v>0</v>
      </c>
      <c r="H585" s="524">
        <f t="shared" si="103"/>
        <v>4542250</v>
      </c>
    </row>
    <row r="586" spans="1:8" s="18" customFormat="1" ht="12" customHeight="1" x14ac:dyDescent="0.2">
      <c r="A586" s="34"/>
      <c r="B586" s="37"/>
      <c r="C586" s="45">
        <v>3110</v>
      </c>
      <c r="D586" s="41" t="s">
        <v>273</v>
      </c>
      <c r="E586" s="44">
        <v>4216600</v>
      </c>
      <c r="F586" s="44">
        <v>324650</v>
      </c>
      <c r="G586" s="44"/>
      <c r="H586" s="42">
        <f t="shared" si="103"/>
        <v>4541250</v>
      </c>
    </row>
    <row r="587" spans="1:8" s="18" customFormat="1" ht="12" customHeight="1" x14ac:dyDescent="0.2">
      <c r="A587" s="34"/>
      <c r="B587" s="37">
        <v>85219</v>
      </c>
      <c r="C587" s="27"/>
      <c r="D587" s="87" t="s">
        <v>134</v>
      </c>
      <c r="E587" s="111">
        <v>15001493</v>
      </c>
      <c r="F587" s="40">
        <f>SUM(F588)</f>
        <v>5000</v>
      </c>
      <c r="G587" s="40">
        <f>SUM(G588)</f>
        <v>7100</v>
      </c>
      <c r="H587" s="39">
        <f t="shared" si="102"/>
        <v>14999393</v>
      </c>
    </row>
    <row r="588" spans="1:8" s="18" customFormat="1" ht="12" customHeight="1" x14ac:dyDescent="0.2">
      <c r="A588" s="34"/>
      <c r="B588" s="33"/>
      <c r="C588" s="27"/>
      <c r="D588" s="518" t="s">
        <v>263</v>
      </c>
      <c r="E588" s="125">
        <v>15001493</v>
      </c>
      <c r="F588" s="519">
        <f>SUM(F589:F591)</f>
        <v>5000</v>
      </c>
      <c r="G588" s="519">
        <f>SUM(G589:G591)</f>
        <v>7100</v>
      </c>
      <c r="H588" s="125">
        <f>SUM(E588+F588-G588)</f>
        <v>14999393</v>
      </c>
    </row>
    <row r="589" spans="1:8" s="18" customFormat="1" ht="12" customHeight="1" x14ac:dyDescent="0.2">
      <c r="A589" s="34"/>
      <c r="B589" s="37"/>
      <c r="C589" s="45">
        <v>4280</v>
      </c>
      <c r="D589" s="41" t="s">
        <v>216</v>
      </c>
      <c r="E589" s="48">
        <v>10620</v>
      </c>
      <c r="F589" s="42"/>
      <c r="G589" s="42">
        <v>5000</v>
      </c>
      <c r="H589" s="42">
        <f t="shared" ref="H589:H591" si="104">SUM(E589+F589-G589)</f>
        <v>5620</v>
      </c>
    </row>
    <row r="590" spans="1:8" s="18" customFormat="1" ht="12" customHeight="1" x14ac:dyDescent="0.2">
      <c r="A590" s="34"/>
      <c r="B590" s="37"/>
      <c r="C590" s="53">
        <v>4410</v>
      </c>
      <c r="D590" s="133" t="s">
        <v>218</v>
      </c>
      <c r="E590" s="48">
        <v>27254</v>
      </c>
      <c r="F590" s="42"/>
      <c r="G590" s="42">
        <v>2100</v>
      </c>
      <c r="H590" s="42">
        <f t="shared" si="104"/>
        <v>25154</v>
      </c>
    </row>
    <row r="591" spans="1:8" s="18" customFormat="1" ht="12" customHeight="1" x14ac:dyDescent="0.2">
      <c r="A591" s="34"/>
      <c r="B591" s="37"/>
      <c r="C591" s="53">
        <v>4430</v>
      </c>
      <c r="D591" s="115" t="s">
        <v>233</v>
      </c>
      <c r="E591" s="48">
        <v>42256</v>
      </c>
      <c r="F591" s="42">
        <v>5000</v>
      </c>
      <c r="G591" s="42"/>
      <c r="H591" s="42">
        <f t="shared" si="104"/>
        <v>47256</v>
      </c>
    </row>
    <row r="592" spans="1:8" s="18" customFormat="1" ht="12" customHeight="1" x14ac:dyDescent="0.2">
      <c r="A592" s="34"/>
      <c r="B592" s="46">
        <v>85220</v>
      </c>
      <c r="C592" s="75"/>
      <c r="D592" s="10" t="s">
        <v>278</v>
      </c>
      <c r="E592" s="48"/>
      <c r="F592" s="42"/>
      <c r="G592" s="42"/>
      <c r="H592" s="42"/>
    </row>
    <row r="593" spans="1:8" s="18" customFormat="1" ht="12" customHeight="1" x14ac:dyDescent="0.2">
      <c r="A593" s="34"/>
      <c r="B593" s="81"/>
      <c r="C593" s="75"/>
      <c r="D593" s="76" t="s">
        <v>279</v>
      </c>
      <c r="E593" s="111">
        <v>808107</v>
      </c>
      <c r="F593" s="40">
        <f>SUM(F595)</f>
        <v>0</v>
      </c>
      <c r="G593" s="40">
        <f>SUM(G595)</f>
        <v>3000</v>
      </c>
      <c r="H593" s="39">
        <f>SUM(E593+F593-G593)</f>
        <v>805107</v>
      </c>
    </row>
    <row r="594" spans="1:8" s="18" customFormat="1" ht="12" customHeight="1" x14ac:dyDescent="0.2">
      <c r="A594" s="34"/>
      <c r="B594" s="37"/>
      <c r="C594" s="53"/>
      <c r="D594" s="10" t="s">
        <v>280</v>
      </c>
      <c r="E594" s="48"/>
      <c r="F594" s="42"/>
      <c r="G594" s="42"/>
      <c r="H594" s="42"/>
    </row>
    <row r="595" spans="1:8" s="18" customFormat="1" ht="12" customHeight="1" x14ac:dyDescent="0.2">
      <c r="A595" s="34"/>
      <c r="B595" s="37"/>
      <c r="C595" s="53"/>
      <c r="D595" s="525" t="s">
        <v>281</v>
      </c>
      <c r="E595" s="125">
        <v>779107</v>
      </c>
      <c r="F595" s="519">
        <f>SUM(F596:F596)</f>
        <v>0</v>
      </c>
      <c r="G595" s="519">
        <f>SUM(G596:G596)</f>
        <v>3000</v>
      </c>
      <c r="H595" s="125">
        <f t="shared" ref="H595:H596" si="105">SUM(E595+F595-G595)</f>
        <v>776107</v>
      </c>
    </row>
    <row r="596" spans="1:8" s="18" customFormat="1" ht="12" customHeight="1" x14ac:dyDescent="0.2">
      <c r="A596" s="34"/>
      <c r="B596" s="37"/>
      <c r="C596" s="45">
        <v>4120</v>
      </c>
      <c r="D596" s="41" t="s">
        <v>30</v>
      </c>
      <c r="E596" s="44">
        <v>13863</v>
      </c>
      <c r="F596" s="42"/>
      <c r="G596" s="42">
        <v>3000</v>
      </c>
      <c r="H596" s="42">
        <f t="shared" si="105"/>
        <v>10863</v>
      </c>
    </row>
    <row r="597" spans="1:8" s="18" customFormat="1" ht="12" customHeight="1" x14ac:dyDescent="0.2">
      <c r="A597" s="34"/>
      <c r="B597" s="46">
        <v>85230</v>
      </c>
      <c r="C597" s="75"/>
      <c r="D597" s="76" t="s">
        <v>105</v>
      </c>
      <c r="E597" s="111">
        <v>5620415</v>
      </c>
      <c r="F597" s="40">
        <f>SUM(F598,F601)</f>
        <v>69839.5</v>
      </c>
      <c r="G597" s="40">
        <f>SUM(G598,G601)</f>
        <v>65914.5</v>
      </c>
      <c r="H597" s="39">
        <f>SUM(E597+F597-G597)</f>
        <v>5624340</v>
      </c>
    </row>
    <row r="598" spans="1:8" s="18" customFormat="1" ht="12" customHeight="1" x14ac:dyDescent="0.2">
      <c r="A598" s="34"/>
      <c r="B598" s="33"/>
      <c r="C598" s="9"/>
      <c r="D598" s="518" t="s">
        <v>263</v>
      </c>
      <c r="E598" s="83">
        <v>5567833</v>
      </c>
      <c r="F598" s="84">
        <f>SUM(F599:F600)</f>
        <v>63124</v>
      </c>
      <c r="G598" s="84">
        <f>SUM(G599:G600)</f>
        <v>63124</v>
      </c>
      <c r="H598" s="125">
        <f t="shared" ref="H598:H600" si="106">SUM(E598+F598-G598)</f>
        <v>5567833</v>
      </c>
    </row>
    <row r="599" spans="1:8" s="18" customFormat="1" ht="12" customHeight="1" x14ac:dyDescent="0.2">
      <c r="A599" s="34"/>
      <c r="B599" s="33"/>
      <c r="C599" s="45">
        <v>3110</v>
      </c>
      <c r="D599" s="41" t="s">
        <v>273</v>
      </c>
      <c r="E599" s="48">
        <v>3414833</v>
      </c>
      <c r="F599" s="42">
        <f>38124+25000</f>
        <v>63124</v>
      </c>
      <c r="G599" s="42"/>
      <c r="H599" s="42">
        <f t="shared" si="106"/>
        <v>3477957</v>
      </c>
    </row>
    <row r="600" spans="1:8" s="18" customFormat="1" ht="12" customHeight="1" x14ac:dyDescent="0.2">
      <c r="A600" s="34"/>
      <c r="B600" s="33"/>
      <c r="C600" s="10">
        <v>4300</v>
      </c>
      <c r="D600" s="11" t="s">
        <v>14</v>
      </c>
      <c r="E600" s="48">
        <v>2153000</v>
      </c>
      <c r="F600" s="42"/>
      <c r="G600" s="42">
        <f>38124+25000</f>
        <v>63124</v>
      </c>
      <c r="H600" s="42">
        <f t="shared" si="106"/>
        <v>2089876</v>
      </c>
    </row>
    <row r="601" spans="1:8" s="18" customFormat="1" ht="19.149999999999999" customHeight="1" x14ac:dyDescent="0.2">
      <c r="A601" s="34"/>
      <c r="B601" s="33"/>
      <c r="C601" s="27"/>
      <c r="D601" s="526" t="s">
        <v>282</v>
      </c>
      <c r="E601" s="125">
        <v>51125</v>
      </c>
      <c r="F601" s="519">
        <f>SUM(F602:F603)</f>
        <v>6715.5</v>
      </c>
      <c r="G601" s="519">
        <f>SUM(G602:G603)</f>
        <v>2790.5</v>
      </c>
      <c r="H601" s="125">
        <f>SUM(E601+F601-G601)</f>
        <v>55050</v>
      </c>
    </row>
    <row r="602" spans="1:8" s="18" customFormat="1" ht="21" customHeight="1" x14ac:dyDescent="0.2">
      <c r="A602" s="34"/>
      <c r="B602" s="33"/>
      <c r="C602" s="53">
        <v>3290</v>
      </c>
      <c r="D602" s="54" t="s">
        <v>275</v>
      </c>
      <c r="E602" s="48">
        <v>8500</v>
      </c>
      <c r="F602" s="44">
        <v>3925</v>
      </c>
      <c r="G602" s="44">
        <v>2790.5</v>
      </c>
      <c r="H602" s="42">
        <f t="shared" ref="H602:H603" si="107">SUM(E602+F602-G602)</f>
        <v>9634.5</v>
      </c>
    </row>
    <row r="603" spans="1:8" s="18" customFormat="1" ht="12" customHeight="1" x14ac:dyDescent="0.2">
      <c r="A603" s="34"/>
      <c r="B603" s="33"/>
      <c r="C603" s="37">
        <v>4370</v>
      </c>
      <c r="D603" s="37" t="s">
        <v>195</v>
      </c>
      <c r="E603" s="48">
        <v>42625</v>
      </c>
      <c r="F603" s="44">
        <v>2790.5</v>
      </c>
      <c r="G603" s="44"/>
      <c r="H603" s="42">
        <f t="shared" si="107"/>
        <v>45415.5</v>
      </c>
    </row>
    <row r="604" spans="1:8" s="18" customFormat="1" ht="12" customHeight="1" x14ac:dyDescent="0.2">
      <c r="A604" s="34"/>
      <c r="B604" s="37">
        <v>85295</v>
      </c>
      <c r="C604" s="27"/>
      <c r="D604" s="38" t="s">
        <v>10</v>
      </c>
      <c r="E604" s="39">
        <v>5522671.4400000004</v>
      </c>
      <c r="F604" s="40">
        <f>SUM(F605,F608,F611,F618)</f>
        <v>46000.01</v>
      </c>
      <c r="G604" s="40">
        <f>SUM(G605,G608,G611,G618)</f>
        <v>43000.01</v>
      </c>
      <c r="H604" s="39">
        <f>SUM(E604+F604-G604)</f>
        <v>5525671.4400000004</v>
      </c>
    </row>
    <row r="605" spans="1:8" s="18" customFormat="1" ht="12" customHeight="1" x14ac:dyDescent="0.2">
      <c r="A605" s="34"/>
      <c r="B605" s="33"/>
      <c r="C605" s="9"/>
      <c r="D605" s="518" t="s">
        <v>263</v>
      </c>
      <c r="E605" s="125">
        <v>1274960</v>
      </c>
      <c r="F605" s="519">
        <f>SUM(F606:F607)</f>
        <v>6000</v>
      </c>
      <c r="G605" s="519">
        <f>SUM(G606:G607)</f>
        <v>3000</v>
      </c>
      <c r="H605" s="125">
        <f t="shared" ref="H605:H645" si="108">SUM(E605+F605-G605)</f>
        <v>1277960</v>
      </c>
    </row>
    <row r="606" spans="1:8" s="18" customFormat="1" ht="12" customHeight="1" x14ac:dyDescent="0.2">
      <c r="A606" s="34"/>
      <c r="B606" s="33"/>
      <c r="C606" s="45">
        <v>4110</v>
      </c>
      <c r="D606" s="41" t="s">
        <v>29</v>
      </c>
      <c r="E606" s="48">
        <v>132507</v>
      </c>
      <c r="F606" s="44">
        <v>6000</v>
      </c>
      <c r="G606" s="44"/>
      <c r="H606" s="42">
        <f t="shared" si="108"/>
        <v>138507</v>
      </c>
    </row>
    <row r="607" spans="1:8" s="18" customFormat="1" ht="12" customHeight="1" x14ac:dyDescent="0.2">
      <c r="A607" s="34"/>
      <c r="B607" s="33"/>
      <c r="C607" s="45">
        <v>4120</v>
      </c>
      <c r="D607" s="41" t="s">
        <v>30</v>
      </c>
      <c r="E607" s="42">
        <v>22777</v>
      </c>
      <c r="F607" s="43"/>
      <c r="G607" s="42">
        <v>3000</v>
      </c>
      <c r="H607" s="42">
        <f t="shared" si="108"/>
        <v>19777</v>
      </c>
    </row>
    <row r="608" spans="1:8" s="18" customFormat="1" ht="43.5" customHeight="1" x14ac:dyDescent="0.2">
      <c r="A608" s="34"/>
      <c r="B608" s="33"/>
      <c r="C608" s="27"/>
      <c r="D608" s="521" t="s">
        <v>283</v>
      </c>
      <c r="E608" s="125">
        <v>40000</v>
      </c>
      <c r="F608" s="527">
        <f>SUM(F609:F610)</f>
        <v>0</v>
      </c>
      <c r="G608" s="527">
        <f>SUM(G609:G610)</f>
        <v>40000</v>
      </c>
      <c r="H608" s="524">
        <f>SUM(E608+F608-G608)</f>
        <v>0</v>
      </c>
    </row>
    <row r="609" spans="1:8" s="18" customFormat="1" ht="33" customHeight="1" x14ac:dyDescent="0.2">
      <c r="A609" s="34"/>
      <c r="B609" s="33"/>
      <c r="C609" s="118" t="s">
        <v>284</v>
      </c>
      <c r="D609" s="117" t="s">
        <v>285</v>
      </c>
      <c r="E609" s="44">
        <v>33712</v>
      </c>
      <c r="F609" s="44"/>
      <c r="G609" s="44">
        <v>33712</v>
      </c>
      <c r="H609" s="42">
        <f t="shared" ref="H609:H610" si="109">SUM(E609+F609-G609)</f>
        <v>0</v>
      </c>
    </row>
    <row r="610" spans="1:8" s="18" customFormat="1" ht="33.75" customHeight="1" x14ac:dyDescent="0.2">
      <c r="A610" s="34"/>
      <c r="B610" s="33"/>
      <c r="C610" s="118" t="s">
        <v>286</v>
      </c>
      <c r="D610" s="117" t="s">
        <v>285</v>
      </c>
      <c r="E610" s="44">
        <v>6288</v>
      </c>
      <c r="F610" s="44"/>
      <c r="G610" s="44">
        <v>6288</v>
      </c>
      <c r="H610" s="42">
        <f t="shared" si="109"/>
        <v>0</v>
      </c>
    </row>
    <row r="611" spans="1:8" s="18" customFormat="1" ht="45" customHeight="1" x14ac:dyDescent="0.2">
      <c r="A611" s="34"/>
      <c r="B611" s="33"/>
      <c r="C611" s="27"/>
      <c r="D611" s="521" t="s">
        <v>287</v>
      </c>
      <c r="E611" s="125">
        <v>36900</v>
      </c>
      <c r="F611" s="527">
        <f>SUM(F612:F617)</f>
        <v>40000</v>
      </c>
      <c r="G611" s="527">
        <f>SUM(G612:G617)</f>
        <v>0</v>
      </c>
      <c r="H611" s="524">
        <f>SUM(E611+F611-G611)</f>
        <v>76900</v>
      </c>
    </row>
    <row r="612" spans="1:8" s="18" customFormat="1" ht="12" customHeight="1" x14ac:dyDescent="0.2">
      <c r="A612" s="34"/>
      <c r="B612" s="33"/>
      <c r="C612" s="45">
        <v>4117</v>
      </c>
      <c r="D612" s="41" t="s">
        <v>288</v>
      </c>
      <c r="E612" s="44">
        <v>3976.06</v>
      </c>
      <c r="F612" s="44">
        <v>4908.78</v>
      </c>
      <c r="G612" s="44"/>
      <c r="H612" s="42">
        <f t="shared" ref="H612:H617" si="110">SUM(E612+F612-G612)</f>
        <v>8884.84</v>
      </c>
    </row>
    <row r="613" spans="1:8" s="18" customFormat="1" ht="12" customHeight="1" x14ac:dyDescent="0.2">
      <c r="A613" s="34"/>
      <c r="B613" s="33"/>
      <c r="C613" s="45">
        <v>4119</v>
      </c>
      <c r="D613" s="41" t="s">
        <v>288</v>
      </c>
      <c r="E613" s="44">
        <v>741.64</v>
      </c>
      <c r="F613" s="44">
        <v>915.59</v>
      </c>
      <c r="G613" s="44"/>
      <c r="H613" s="42">
        <f t="shared" si="110"/>
        <v>1657.23</v>
      </c>
    </row>
    <row r="614" spans="1:8" s="18" customFormat="1" ht="12" customHeight="1" x14ac:dyDescent="0.2">
      <c r="A614" s="34"/>
      <c r="B614" s="33"/>
      <c r="C614" s="45">
        <v>4127</v>
      </c>
      <c r="D614" s="11" t="s">
        <v>289</v>
      </c>
      <c r="E614" s="44">
        <v>557.97</v>
      </c>
      <c r="F614" s="44">
        <v>688.8</v>
      </c>
      <c r="G614" s="44"/>
      <c r="H614" s="42">
        <f t="shared" si="110"/>
        <v>1246.77</v>
      </c>
    </row>
    <row r="615" spans="1:8" s="18" customFormat="1" ht="12" customHeight="1" x14ac:dyDescent="0.2">
      <c r="A615" s="34"/>
      <c r="B615" s="33"/>
      <c r="C615" s="45">
        <v>4129</v>
      </c>
      <c r="D615" s="11" t="s">
        <v>289</v>
      </c>
      <c r="E615" s="44">
        <v>104.06</v>
      </c>
      <c r="F615" s="44">
        <v>128.47999999999999</v>
      </c>
      <c r="G615" s="44"/>
      <c r="H615" s="42">
        <f t="shared" si="110"/>
        <v>232.54</v>
      </c>
    </row>
    <row r="616" spans="1:8" s="18" customFormat="1" ht="12" customHeight="1" x14ac:dyDescent="0.2">
      <c r="A616" s="34"/>
      <c r="B616" s="33"/>
      <c r="C616" s="45">
        <v>4177</v>
      </c>
      <c r="D616" s="41" t="s">
        <v>32</v>
      </c>
      <c r="E616" s="44">
        <v>0</v>
      </c>
      <c r="F616" s="44">
        <v>28114.42</v>
      </c>
      <c r="G616" s="44"/>
      <c r="H616" s="42">
        <f t="shared" si="110"/>
        <v>28114.42</v>
      </c>
    </row>
    <row r="617" spans="1:8" s="18" customFormat="1" ht="12" customHeight="1" x14ac:dyDescent="0.2">
      <c r="A617" s="34"/>
      <c r="B617" s="33"/>
      <c r="C617" s="45">
        <v>4179</v>
      </c>
      <c r="D617" s="41" t="s">
        <v>32</v>
      </c>
      <c r="E617" s="44">
        <v>0</v>
      </c>
      <c r="F617" s="44">
        <v>5243.93</v>
      </c>
      <c r="G617" s="44"/>
      <c r="H617" s="42">
        <f t="shared" si="110"/>
        <v>5243.93</v>
      </c>
    </row>
    <row r="618" spans="1:8" s="18" customFormat="1" ht="45" customHeight="1" x14ac:dyDescent="0.2">
      <c r="A618" s="34"/>
      <c r="B618" s="33"/>
      <c r="C618" s="27"/>
      <c r="D618" s="521" t="s">
        <v>290</v>
      </c>
      <c r="E618" s="125">
        <v>925974.77000000014</v>
      </c>
      <c r="F618" s="527">
        <f>SUM(F619:F620)</f>
        <v>0.01</v>
      </c>
      <c r="G618" s="527">
        <f>SUM(G619:G620)</f>
        <v>0.01</v>
      </c>
      <c r="H618" s="524">
        <f>SUM(E618+F618-G618)</f>
        <v>925974.77000000014</v>
      </c>
    </row>
    <row r="619" spans="1:8" s="18" customFormat="1" ht="12" customHeight="1" x14ac:dyDescent="0.2">
      <c r="A619" s="34"/>
      <c r="B619" s="33"/>
      <c r="C619" s="45">
        <v>3027</v>
      </c>
      <c r="D619" s="41" t="s">
        <v>181</v>
      </c>
      <c r="E619" s="44">
        <v>1049.29</v>
      </c>
      <c r="F619" s="44"/>
      <c r="G619" s="44">
        <v>0.01</v>
      </c>
      <c r="H619" s="42">
        <f t="shared" ref="H619:H620" si="111">SUM(E619+F619-G619)</f>
        <v>1049.28</v>
      </c>
    </row>
    <row r="620" spans="1:8" s="18" customFormat="1" ht="12" customHeight="1" x14ac:dyDescent="0.2">
      <c r="A620" s="34"/>
      <c r="B620" s="33"/>
      <c r="C620" s="45">
        <v>3029</v>
      </c>
      <c r="D620" s="41" t="s">
        <v>181</v>
      </c>
      <c r="E620" s="44">
        <v>195.71</v>
      </c>
      <c r="F620" s="44">
        <v>0.01</v>
      </c>
      <c r="G620" s="44"/>
      <c r="H620" s="42">
        <f t="shared" si="111"/>
        <v>195.72</v>
      </c>
    </row>
    <row r="621" spans="1:8" s="18" customFormat="1" ht="12" customHeight="1" thickBot="1" x14ac:dyDescent="0.25">
      <c r="A621" s="32">
        <v>853</v>
      </c>
      <c r="B621" s="33"/>
      <c r="C621" s="34"/>
      <c r="D621" s="35" t="s">
        <v>111</v>
      </c>
      <c r="E621" s="31">
        <v>10875000.9</v>
      </c>
      <c r="F621" s="36">
        <f>SUM(F622)</f>
        <v>3120276</v>
      </c>
      <c r="G621" s="36">
        <f>SUM(G622)</f>
        <v>20276</v>
      </c>
      <c r="H621" s="31">
        <f t="shared" si="108"/>
        <v>13975000.9</v>
      </c>
    </row>
    <row r="622" spans="1:8" s="18" customFormat="1" ht="12" customHeight="1" thickTop="1" x14ac:dyDescent="0.2">
      <c r="A622" s="34"/>
      <c r="B622" s="37">
        <v>85395</v>
      </c>
      <c r="C622" s="27"/>
      <c r="D622" s="38" t="s">
        <v>10</v>
      </c>
      <c r="E622" s="111">
        <v>6899728.9000000004</v>
      </c>
      <c r="F622" s="39">
        <f>SUM(F623,F635,F646,F653,F660)</f>
        <v>3120276</v>
      </c>
      <c r="G622" s="39">
        <f>SUM(G623,G635,G646,G653,G660)</f>
        <v>20276</v>
      </c>
      <c r="H622" s="39">
        <f t="shared" si="108"/>
        <v>9999728.9000000004</v>
      </c>
    </row>
    <row r="623" spans="1:8" s="18" customFormat="1" ht="22.5" customHeight="1" x14ac:dyDescent="0.2">
      <c r="A623" s="34"/>
      <c r="B623" s="37"/>
      <c r="C623" s="27"/>
      <c r="D623" s="532" t="s">
        <v>291</v>
      </c>
      <c r="E623" s="125">
        <v>434361</v>
      </c>
      <c r="F623" s="125">
        <f>SUM(F624:F634)</f>
        <v>3000</v>
      </c>
      <c r="G623" s="125">
        <f>SUM(G624:G634)</f>
        <v>3000</v>
      </c>
      <c r="H623" s="125">
        <f t="shared" si="108"/>
        <v>434361</v>
      </c>
    </row>
    <row r="624" spans="1:8" s="18" customFormat="1" ht="12" customHeight="1" x14ac:dyDescent="0.2">
      <c r="A624" s="34"/>
      <c r="B624" s="37"/>
      <c r="C624" s="45">
        <v>3020</v>
      </c>
      <c r="D624" s="41" t="s">
        <v>181</v>
      </c>
      <c r="E624" s="48">
        <v>800</v>
      </c>
      <c r="F624" s="43"/>
      <c r="G624" s="43">
        <v>300</v>
      </c>
      <c r="H624" s="42">
        <f t="shared" si="108"/>
        <v>500</v>
      </c>
    </row>
    <row r="625" spans="1:8" s="18" customFormat="1" ht="12" customHeight="1" x14ac:dyDescent="0.2">
      <c r="A625" s="34"/>
      <c r="B625" s="37"/>
      <c r="C625" s="45">
        <v>4010</v>
      </c>
      <c r="D625" s="41" t="s">
        <v>214</v>
      </c>
      <c r="E625" s="48">
        <v>222010</v>
      </c>
      <c r="F625" s="43">
        <v>1000</v>
      </c>
      <c r="G625" s="43"/>
      <c r="H625" s="42">
        <f t="shared" si="108"/>
        <v>223010</v>
      </c>
    </row>
    <row r="626" spans="1:8" s="18" customFormat="1" ht="12" customHeight="1" x14ac:dyDescent="0.2">
      <c r="A626" s="34"/>
      <c r="B626" s="37"/>
      <c r="C626" s="45">
        <v>4040</v>
      </c>
      <c r="D626" s="41" t="s">
        <v>187</v>
      </c>
      <c r="E626" s="48">
        <v>15000</v>
      </c>
      <c r="F626" s="43"/>
      <c r="G626" s="43">
        <v>300</v>
      </c>
      <c r="H626" s="42">
        <f t="shared" si="108"/>
        <v>14700</v>
      </c>
    </row>
    <row r="627" spans="1:8" s="18" customFormat="1" ht="12" customHeight="1" x14ac:dyDescent="0.2">
      <c r="A627" s="34"/>
      <c r="B627" s="37"/>
      <c r="C627" s="45">
        <v>4110</v>
      </c>
      <c r="D627" s="41" t="s">
        <v>29</v>
      </c>
      <c r="E627" s="48">
        <v>42810</v>
      </c>
      <c r="F627" s="43">
        <v>600</v>
      </c>
      <c r="G627" s="43"/>
      <c r="H627" s="42">
        <f t="shared" si="108"/>
        <v>43410</v>
      </c>
    </row>
    <row r="628" spans="1:8" s="18" customFormat="1" ht="12" customHeight="1" x14ac:dyDescent="0.2">
      <c r="A628" s="34"/>
      <c r="B628" s="37"/>
      <c r="C628" s="122">
        <v>4170</v>
      </c>
      <c r="D628" s="123" t="s">
        <v>32</v>
      </c>
      <c r="E628" s="48">
        <v>13000</v>
      </c>
      <c r="F628" s="43"/>
      <c r="G628" s="43">
        <v>700</v>
      </c>
      <c r="H628" s="42">
        <f t="shared" si="108"/>
        <v>12300</v>
      </c>
    </row>
    <row r="629" spans="1:8" s="18" customFormat="1" ht="12" customHeight="1" x14ac:dyDescent="0.2">
      <c r="A629" s="34"/>
      <c r="B629" s="37"/>
      <c r="C629" s="118" t="s">
        <v>170</v>
      </c>
      <c r="D629" s="133" t="s">
        <v>13</v>
      </c>
      <c r="E629" s="48">
        <v>10200</v>
      </c>
      <c r="F629" s="43">
        <v>500</v>
      </c>
      <c r="G629" s="43"/>
      <c r="H629" s="42">
        <f t="shared" si="108"/>
        <v>10700</v>
      </c>
    </row>
    <row r="630" spans="1:8" s="18" customFormat="1" ht="12" customHeight="1" x14ac:dyDescent="0.2">
      <c r="A630" s="136"/>
      <c r="B630" s="113"/>
      <c r="C630" s="114">
        <v>4270</v>
      </c>
      <c r="D630" s="38" t="s">
        <v>171</v>
      </c>
      <c r="E630" s="111">
        <v>7000</v>
      </c>
      <c r="F630" s="39">
        <v>900</v>
      </c>
      <c r="G630" s="39"/>
      <c r="H630" s="40">
        <f t="shared" si="108"/>
        <v>7900</v>
      </c>
    </row>
    <row r="631" spans="1:8" s="18" customFormat="1" ht="12" customHeight="1" x14ac:dyDescent="0.2">
      <c r="A631" s="34"/>
      <c r="B631" s="37"/>
      <c r="C631" s="45">
        <v>4280</v>
      </c>
      <c r="D631" s="41" t="s">
        <v>216</v>
      </c>
      <c r="E631" s="48">
        <v>900</v>
      </c>
      <c r="F631" s="43"/>
      <c r="G631" s="43">
        <v>600</v>
      </c>
      <c r="H631" s="42">
        <f t="shared" si="108"/>
        <v>300</v>
      </c>
    </row>
    <row r="632" spans="1:8" s="18" customFormat="1" ht="12" customHeight="1" x14ac:dyDescent="0.2">
      <c r="A632" s="34"/>
      <c r="B632" s="37"/>
      <c r="C632" s="53">
        <v>4360</v>
      </c>
      <c r="D632" s="115" t="s">
        <v>217</v>
      </c>
      <c r="E632" s="48">
        <v>2030</v>
      </c>
      <c r="F632" s="43"/>
      <c r="G632" s="43">
        <v>300</v>
      </c>
      <c r="H632" s="42">
        <f t="shared" si="108"/>
        <v>1730</v>
      </c>
    </row>
    <row r="633" spans="1:8" s="18" customFormat="1" ht="12" customHeight="1" x14ac:dyDescent="0.2">
      <c r="A633" s="34"/>
      <c r="B633" s="37"/>
      <c r="C633" s="53">
        <v>4410</v>
      </c>
      <c r="D633" s="133" t="s">
        <v>218</v>
      </c>
      <c r="E633" s="48">
        <v>500</v>
      </c>
      <c r="F633" s="43"/>
      <c r="G633" s="43">
        <v>500</v>
      </c>
      <c r="H633" s="42">
        <f t="shared" si="108"/>
        <v>0</v>
      </c>
    </row>
    <row r="634" spans="1:8" s="18" customFormat="1" ht="21.6" customHeight="1" x14ac:dyDescent="0.2">
      <c r="A634" s="34"/>
      <c r="B634" s="37"/>
      <c r="C634" s="53">
        <v>4700</v>
      </c>
      <c r="D634" s="117" t="s">
        <v>176</v>
      </c>
      <c r="E634" s="48">
        <v>1500</v>
      </c>
      <c r="F634" s="43"/>
      <c r="G634" s="43">
        <v>300</v>
      </c>
      <c r="H634" s="42">
        <f t="shared" si="108"/>
        <v>1200</v>
      </c>
    </row>
    <row r="635" spans="1:8" s="18" customFormat="1" ht="12" customHeight="1" x14ac:dyDescent="0.2">
      <c r="A635" s="34"/>
      <c r="B635" s="37"/>
      <c r="C635" s="9"/>
      <c r="D635" s="531" t="s">
        <v>292</v>
      </c>
      <c r="E635" s="125">
        <v>4797719</v>
      </c>
      <c r="F635" s="519">
        <f>SUM(F636:F645)</f>
        <v>17276</v>
      </c>
      <c r="G635" s="519">
        <f>SUM(G636:G645)</f>
        <v>17276</v>
      </c>
      <c r="H635" s="125">
        <f t="shared" si="108"/>
        <v>4797719</v>
      </c>
    </row>
    <row r="636" spans="1:8" s="18" customFormat="1" ht="12" customHeight="1" x14ac:dyDescent="0.2">
      <c r="A636" s="34"/>
      <c r="B636" s="37"/>
      <c r="C636" s="45">
        <v>4010</v>
      </c>
      <c r="D636" s="41" t="s">
        <v>214</v>
      </c>
      <c r="E636" s="48">
        <v>2109417</v>
      </c>
      <c r="F636" s="44">
        <v>9600</v>
      </c>
      <c r="G636" s="44"/>
      <c r="H636" s="42">
        <f t="shared" si="108"/>
        <v>2119017</v>
      </c>
    </row>
    <row r="637" spans="1:8" s="18" customFormat="1" ht="12" customHeight="1" x14ac:dyDescent="0.2">
      <c r="A637" s="34"/>
      <c r="B637" s="37"/>
      <c r="C637" s="45">
        <v>4040</v>
      </c>
      <c r="D637" s="41" t="s">
        <v>187</v>
      </c>
      <c r="E637" s="48">
        <v>125000</v>
      </c>
      <c r="F637" s="44"/>
      <c r="G637" s="44">
        <v>7276</v>
      </c>
      <c r="H637" s="42">
        <f t="shared" si="108"/>
        <v>117724</v>
      </c>
    </row>
    <row r="638" spans="1:8" s="18" customFormat="1" ht="12" customHeight="1" x14ac:dyDescent="0.2">
      <c r="A638" s="34"/>
      <c r="B638" s="37"/>
      <c r="C638" s="45">
        <v>4110</v>
      </c>
      <c r="D638" s="41" t="s">
        <v>29</v>
      </c>
      <c r="E638" s="48">
        <v>372928</v>
      </c>
      <c r="F638" s="44"/>
      <c r="G638" s="44">
        <v>3000</v>
      </c>
      <c r="H638" s="42">
        <f t="shared" si="108"/>
        <v>369928</v>
      </c>
    </row>
    <row r="639" spans="1:8" s="18" customFormat="1" ht="12" customHeight="1" x14ac:dyDescent="0.2">
      <c r="A639" s="34"/>
      <c r="B639" s="37"/>
      <c r="C639" s="45">
        <v>4120</v>
      </c>
      <c r="D639" s="41" t="s">
        <v>30</v>
      </c>
      <c r="E639" s="48">
        <v>35177</v>
      </c>
      <c r="F639" s="44">
        <v>676</v>
      </c>
      <c r="G639" s="44"/>
      <c r="H639" s="42">
        <f t="shared" si="108"/>
        <v>35853</v>
      </c>
    </row>
    <row r="640" spans="1:8" s="18" customFormat="1" ht="12" customHeight="1" x14ac:dyDescent="0.2">
      <c r="A640" s="34"/>
      <c r="B640" s="37"/>
      <c r="C640" s="45" t="s">
        <v>170</v>
      </c>
      <c r="D640" s="41" t="s">
        <v>13</v>
      </c>
      <c r="E640" s="48">
        <v>359000</v>
      </c>
      <c r="F640" s="44"/>
      <c r="G640" s="44">
        <v>7000</v>
      </c>
      <c r="H640" s="42">
        <f t="shared" si="108"/>
        <v>352000</v>
      </c>
    </row>
    <row r="641" spans="1:8" s="18" customFormat="1" ht="12" customHeight="1" x14ac:dyDescent="0.2">
      <c r="A641" s="34"/>
      <c r="B641" s="37"/>
      <c r="C641" s="45">
        <v>4270</v>
      </c>
      <c r="D641" s="41" t="s">
        <v>171</v>
      </c>
      <c r="E641" s="48">
        <v>42000</v>
      </c>
      <c r="F641" s="44">
        <v>4300</v>
      </c>
      <c r="G641" s="44"/>
      <c r="H641" s="42">
        <f t="shared" si="108"/>
        <v>46300</v>
      </c>
    </row>
    <row r="642" spans="1:8" s="18" customFormat="1" ht="12" customHeight="1" x14ac:dyDescent="0.2">
      <c r="A642" s="34"/>
      <c r="B642" s="37"/>
      <c r="C642" s="45">
        <v>4300</v>
      </c>
      <c r="D642" s="41" t="s">
        <v>14</v>
      </c>
      <c r="E642" s="48">
        <v>78500</v>
      </c>
      <c r="F642" s="44">
        <v>1600</v>
      </c>
      <c r="G642" s="44"/>
      <c r="H642" s="42">
        <f t="shared" si="108"/>
        <v>80100</v>
      </c>
    </row>
    <row r="643" spans="1:8" s="18" customFormat="1" ht="12" customHeight="1" x14ac:dyDescent="0.2">
      <c r="A643" s="34"/>
      <c r="B643" s="37"/>
      <c r="C643" s="45">
        <v>4360</v>
      </c>
      <c r="D643" s="41" t="s">
        <v>217</v>
      </c>
      <c r="E643" s="48">
        <v>4500</v>
      </c>
      <c r="F643" s="44">
        <v>200</v>
      </c>
      <c r="G643" s="44"/>
      <c r="H643" s="42">
        <f t="shared" si="108"/>
        <v>4700</v>
      </c>
    </row>
    <row r="644" spans="1:8" s="18" customFormat="1" ht="12" customHeight="1" x14ac:dyDescent="0.2">
      <c r="A644" s="34"/>
      <c r="B644" s="37"/>
      <c r="C644" s="45">
        <v>4430</v>
      </c>
      <c r="D644" s="41" t="s">
        <v>233</v>
      </c>
      <c r="E644" s="48">
        <v>11000</v>
      </c>
      <c r="F644" s="44">
        <v>400</v>
      </c>
      <c r="G644" s="44"/>
      <c r="H644" s="42">
        <f t="shared" si="108"/>
        <v>11400</v>
      </c>
    </row>
    <row r="645" spans="1:8" s="18" customFormat="1" ht="21.6" customHeight="1" x14ac:dyDescent="0.2">
      <c r="A645" s="34"/>
      <c r="B645" s="37"/>
      <c r="C645" s="53">
        <v>4700</v>
      </c>
      <c r="D645" s="117" t="s">
        <v>176</v>
      </c>
      <c r="E645" s="48">
        <v>4000</v>
      </c>
      <c r="F645" s="44">
        <v>500</v>
      </c>
      <c r="G645" s="44"/>
      <c r="H645" s="42">
        <f t="shared" si="108"/>
        <v>4500</v>
      </c>
    </row>
    <row r="646" spans="1:8" s="18" customFormat="1" ht="44.25" customHeight="1" x14ac:dyDescent="0.2">
      <c r="A646" s="34"/>
      <c r="B646" s="37"/>
      <c r="C646" s="9"/>
      <c r="D646" s="521" t="s">
        <v>293</v>
      </c>
      <c r="E646" s="125">
        <v>0</v>
      </c>
      <c r="F646" s="519">
        <f>SUM(F647:F652)</f>
        <v>50000</v>
      </c>
      <c r="G646" s="519">
        <f>SUM(G647:G652)</f>
        <v>0</v>
      </c>
      <c r="H646" s="524">
        <f t="shared" ref="H646:H652" si="112">SUM(E646+F646-G646)</f>
        <v>50000</v>
      </c>
    </row>
    <row r="647" spans="1:8" s="18" customFormat="1" ht="12" customHeight="1" x14ac:dyDescent="0.2">
      <c r="A647" s="34"/>
      <c r="B647" s="37"/>
      <c r="C647" s="46">
        <v>4017</v>
      </c>
      <c r="D647" s="10" t="s">
        <v>214</v>
      </c>
      <c r="E647" s="48">
        <v>0</v>
      </c>
      <c r="F647" s="44">
        <v>8300</v>
      </c>
      <c r="G647" s="44"/>
      <c r="H647" s="42">
        <f t="shared" si="112"/>
        <v>8300</v>
      </c>
    </row>
    <row r="648" spans="1:8" s="18" customFormat="1" ht="12" customHeight="1" x14ac:dyDescent="0.2">
      <c r="A648" s="34"/>
      <c r="B648" s="37"/>
      <c r="C648" s="45">
        <v>4117</v>
      </c>
      <c r="D648" s="41" t="s">
        <v>288</v>
      </c>
      <c r="E648" s="48">
        <v>0</v>
      </c>
      <c r="F648" s="44">
        <v>1495</v>
      </c>
      <c r="G648" s="44"/>
      <c r="H648" s="42">
        <f t="shared" si="112"/>
        <v>1495</v>
      </c>
    </row>
    <row r="649" spans="1:8" s="18" customFormat="1" ht="12" customHeight="1" x14ac:dyDescent="0.2">
      <c r="A649" s="34"/>
      <c r="B649" s="37"/>
      <c r="C649" s="45">
        <v>4127</v>
      </c>
      <c r="D649" s="41" t="s">
        <v>30</v>
      </c>
      <c r="E649" s="48">
        <v>0</v>
      </c>
      <c r="F649" s="44">
        <v>205</v>
      </c>
      <c r="G649" s="44"/>
      <c r="H649" s="42">
        <f t="shared" si="112"/>
        <v>205</v>
      </c>
    </row>
    <row r="650" spans="1:8" s="18" customFormat="1" ht="12" customHeight="1" x14ac:dyDescent="0.2">
      <c r="A650" s="34"/>
      <c r="B650" s="37"/>
      <c r="C650" s="45">
        <v>4177</v>
      </c>
      <c r="D650" s="41" t="s">
        <v>32</v>
      </c>
      <c r="E650" s="48">
        <v>0</v>
      </c>
      <c r="F650" s="44">
        <v>14640</v>
      </c>
      <c r="G650" s="44"/>
      <c r="H650" s="42">
        <f t="shared" si="112"/>
        <v>14640</v>
      </c>
    </row>
    <row r="651" spans="1:8" s="18" customFormat="1" ht="12" customHeight="1" x14ac:dyDescent="0.2">
      <c r="A651" s="34"/>
      <c r="B651" s="37"/>
      <c r="C651" s="46">
        <v>4217</v>
      </c>
      <c r="D651" s="11" t="s">
        <v>13</v>
      </c>
      <c r="E651" s="48">
        <v>0</v>
      </c>
      <c r="F651" s="44">
        <v>23110</v>
      </c>
      <c r="G651" s="44"/>
      <c r="H651" s="42">
        <f t="shared" si="112"/>
        <v>23110</v>
      </c>
    </row>
    <row r="652" spans="1:8" s="18" customFormat="1" ht="12" customHeight="1" x14ac:dyDescent="0.2">
      <c r="A652" s="34"/>
      <c r="B652" s="37"/>
      <c r="C652" s="37">
        <v>4307</v>
      </c>
      <c r="D652" s="41" t="s">
        <v>14</v>
      </c>
      <c r="E652" s="48">
        <v>0</v>
      </c>
      <c r="F652" s="44">
        <v>2250</v>
      </c>
      <c r="G652" s="44"/>
      <c r="H652" s="42">
        <f t="shared" si="112"/>
        <v>2250</v>
      </c>
    </row>
    <row r="653" spans="1:8" s="18" customFormat="1" ht="42.75" customHeight="1" x14ac:dyDescent="0.2">
      <c r="A653" s="34"/>
      <c r="B653" s="37"/>
      <c r="C653" s="9"/>
      <c r="D653" s="521" t="s">
        <v>294</v>
      </c>
      <c r="E653" s="125">
        <v>0</v>
      </c>
      <c r="F653" s="519">
        <f>SUM(F654:F659)</f>
        <v>50000</v>
      </c>
      <c r="G653" s="519">
        <f>SUM(G654:G659)</f>
        <v>0</v>
      </c>
      <c r="H653" s="524">
        <f t="shared" ref="H653:H662" si="113">SUM(E653+F653-G653)</f>
        <v>50000</v>
      </c>
    </row>
    <row r="654" spans="1:8" s="18" customFormat="1" ht="12" customHeight="1" x14ac:dyDescent="0.2">
      <c r="A654" s="34"/>
      <c r="B654" s="37"/>
      <c r="C654" s="46">
        <v>4017</v>
      </c>
      <c r="D654" s="10" t="s">
        <v>214</v>
      </c>
      <c r="E654" s="48">
        <v>0</v>
      </c>
      <c r="F654" s="44">
        <v>8300</v>
      </c>
      <c r="G654" s="44"/>
      <c r="H654" s="42">
        <f t="shared" si="113"/>
        <v>8300</v>
      </c>
    </row>
    <row r="655" spans="1:8" s="18" customFormat="1" ht="12" customHeight="1" x14ac:dyDescent="0.2">
      <c r="A655" s="34"/>
      <c r="B655" s="37"/>
      <c r="C655" s="45">
        <v>4117</v>
      </c>
      <c r="D655" s="41" t="s">
        <v>288</v>
      </c>
      <c r="E655" s="48">
        <v>0</v>
      </c>
      <c r="F655" s="44">
        <v>1495</v>
      </c>
      <c r="G655" s="44"/>
      <c r="H655" s="42">
        <f t="shared" si="113"/>
        <v>1495</v>
      </c>
    </row>
    <row r="656" spans="1:8" s="18" customFormat="1" ht="12" customHeight="1" x14ac:dyDescent="0.2">
      <c r="A656" s="34"/>
      <c r="B656" s="37"/>
      <c r="C656" s="45">
        <v>4127</v>
      </c>
      <c r="D656" s="41" t="s">
        <v>30</v>
      </c>
      <c r="E656" s="48">
        <v>0</v>
      </c>
      <c r="F656" s="44">
        <v>205</v>
      </c>
      <c r="G656" s="44"/>
      <c r="H656" s="42">
        <f t="shared" si="113"/>
        <v>205</v>
      </c>
    </row>
    <row r="657" spans="1:8" s="18" customFormat="1" ht="12" customHeight="1" x14ac:dyDescent="0.2">
      <c r="A657" s="34"/>
      <c r="B657" s="37"/>
      <c r="C657" s="45">
        <v>4177</v>
      </c>
      <c r="D657" s="41" t="s">
        <v>32</v>
      </c>
      <c r="E657" s="48">
        <v>0</v>
      </c>
      <c r="F657" s="44">
        <v>13720</v>
      </c>
      <c r="G657" s="44"/>
      <c r="H657" s="42">
        <f t="shared" si="113"/>
        <v>13720</v>
      </c>
    </row>
    <row r="658" spans="1:8" s="18" customFormat="1" ht="12" customHeight="1" x14ac:dyDescent="0.2">
      <c r="A658" s="34"/>
      <c r="B658" s="37"/>
      <c r="C658" s="46">
        <v>4217</v>
      </c>
      <c r="D658" s="11" t="s">
        <v>13</v>
      </c>
      <c r="E658" s="48">
        <v>0</v>
      </c>
      <c r="F658" s="44">
        <v>22040</v>
      </c>
      <c r="G658" s="44"/>
      <c r="H658" s="42">
        <f t="shared" si="113"/>
        <v>22040</v>
      </c>
    </row>
    <row r="659" spans="1:8" s="18" customFormat="1" ht="12" customHeight="1" x14ac:dyDescent="0.2">
      <c r="A659" s="34"/>
      <c r="B659" s="37"/>
      <c r="C659" s="37">
        <v>4307</v>
      </c>
      <c r="D659" s="41" t="s">
        <v>14</v>
      </c>
      <c r="E659" s="48">
        <v>0</v>
      </c>
      <c r="F659" s="44">
        <v>4240</v>
      </c>
      <c r="G659" s="44"/>
      <c r="H659" s="42">
        <f t="shared" si="113"/>
        <v>4240</v>
      </c>
    </row>
    <row r="660" spans="1:8" s="18" customFormat="1" ht="12" customHeight="1" x14ac:dyDescent="0.2">
      <c r="A660" s="34"/>
      <c r="B660" s="37"/>
      <c r="C660" s="46"/>
      <c r="D660" s="523" t="s">
        <v>114</v>
      </c>
      <c r="E660" s="524">
        <v>0</v>
      </c>
      <c r="F660" s="519">
        <f>SUM(F661:F662)</f>
        <v>3000000</v>
      </c>
      <c r="G660" s="519">
        <f>SUM(G661:G662)</f>
        <v>0</v>
      </c>
      <c r="H660" s="125">
        <f t="shared" si="113"/>
        <v>3000000</v>
      </c>
    </row>
    <row r="661" spans="1:8" s="18" customFormat="1" ht="12" customHeight="1" x14ac:dyDescent="0.2">
      <c r="A661" s="34"/>
      <c r="B661" s="37"/>
      <c r="C661" s="46">
        <v>4210</v>
      </c>
      <c r="D661" s="11" t="s">
        <v>13</v>
      </c>
      <c r="E661" s="48">
        <v>0</v>
      </c>
      <c r="F661" s="42">
        <v>2250000</v>
      </c>
      <c r="G661" s="42"/>
      <c r="H661" s="42">
        <f t="shared" si="113"/>
        <v>2250000</v>
      </c>
    </row>
    <row r="662" spans="1:8" s="18" customFormat="1" ht="12" customHeight="1" x14ac:dyDescent="0.2">
      <c r="A662" s="34"/>
      <c r="B662" s="37"/>
      <c r="C662" s="37">
        <v>4300</v>
      </c>
      <c r="D662" s="41" t="s">
        <v>14</v>
      </c>
      <c r="E662" s="48">
        <v>0</v>
      </c>
      <c r="F662" s="42">
        <v>750000</v>
      </c>
      <c r="G662" s="42"/>
      <c r="H662" s="42">
        <f t="shared" si="113"/>
        <v>750000</v>
      </c>
    </row>
    <row r="663" spans="1:8" s="18" customFormat="1" ht="12" customHeight="1" thickBot="1" x14ac:dyDescent="0.25">
      <c r="A663" s="33">
        <v>854</v>
      </c>
      <c r="B663" s="33"/>
      <c r="C663" s="34"/>
      <c r="D663" s="35" t="s">
        <v>24</v>
      </c>
      <c r="E663" s="31">
        <v>17339628.440000001</v>
      </c>
      <c r="F663" s="36">
        <f>SUM(F665,F669,F675,F678,F682)</f>
        <v>149400</v>
      </c>
      <c r="G663" s="36">
        <f>SUM(G665,G669,G675,G678,G682)</f>
        <v>33400</v>
      </c>
      <c r="H663" s="31">
        <f t="shared" si="102"/>
        <v>17455628.440000001</v>
      </c>
    </row>
    <row r="664" spans="1:8" s="18" customFormat="1" ht="12" customHeight="1" thickTop="1" x14ac:dyDescent="0.2">
      <c r="A664" s="33"/>
      <c r="B664" s="45">
        <v>85406</v>
      </c>
      <c r="C664" s="45"/>
      <c r="D664" s="41" t="s">
        <v>295</v>
      </c>
      <c r="E664" s="55"/>
      <c r="F664" s="86"/>
      <c r="G664" s="86"/>
      <c r="H664" s="55"/>
    </row>
    <row r="665" spans="1:8" s="18" customFormat="1" ht="12" customHeight="1" x14ac:dyDescent="0.2">
      <c r="A665" s="33"/>
      <c r="B665" s="45"/>
      <c r="C665" s="27"/>
      <c r="D665" s="97" t="s">
        <v>296</v>
      </c>
      <c r="E665" s="39">
        <v>4335219.9400000004</v>
      </c>
      <c r="F665" s="40">
        <f>SUM(F666)</f>
        <v>5000</v>
      </c>
      <c r="G665" s="40">
        <f>SUM(G666)</f>
        <v>25000</v>
      </c>
      <c r="H665" s="39">
        <f t="shared" ref="H665" si="114">SUM(E665+F665-G665)</f>
        <v>4315219.9400000004</v>
      </c>
    </row>
    <row r="666" spans="1:8" s="18" customFormat="1" ht="12" customHeight="1" x14ac:dyDescent="0.2">
      <c r="A666" s="33"/>
      <c r="B666" s="33"/>
      <c r="C666" s="27"/>
      <c r="D666" s="518" t="s">
        <v>28</v>
      </c>
      <c r="E666" s="524">
        <v>4277483.08</v>
      </c>
      <c r="F666" s="524">
        <f>SUM(F667:F668)</f>
        <v>5000</v>
      </c>
      <c r="G666" s="524">
        <f>SUM(G667:G668)</f>
        <v>25000</v>
      </c>
      <c r="H666" s="125">
        <f>SUM(E666+F666-G666)</f>
        <v>4257483.08</v>
      </c>
    </row>
    <row r="667" spans="1:8" s="18" customFormat="1" ht="12" customHeight="1" x14ac:dyDescent="0.2">
      <c r="A667" s="33"/>
      <c r="B667" s="33"/>
      <c r="C667" s="45">
        <v>4120</v>
      </c>
      <c r="D667" s="41" t="s">
        <v>30</v>
      </c>
      <c r="E667" s="48">
        <v>73858</v>
      </c>
      <c r="F667" s="44"/>
      <c r="G667" s="44">
        <v>25000</v>
      </c>
      <c r="H667" s="43">
        <f t="shared" ref="H667:H668" si="115">SUM(E667+F667-G667)</f>
        <v>48858</v>
      </c>
    </row>
    <row r="668" spans="1:8" s="18" customFormat="1" ht="12" customHeight="1" x14ac:dyDescent="0.2">
      <c r="A668" s="33"/>
      <c r="B668" s="33"/>
      <c r="C668" s="9" t="s">
        <v>170</v>
      </c>
      <c r="D668" s="11" t="s">
        <v>13</v>
      </c>
      <c r="E668" s="48">
        <v>25789</v>
      </c>
      <c r="F668" s="44">
        <v>5000</v>
      </c>
      <c r="G668" s="44"/>
      <c r="H668" s="43">
        <f t="shared" si="115"/>
        <v>30789</v>
      </c>
    </row>
    <row r="669" spans="1:8" s="18" customFormat="1" ht="12.6" customHeight="1" x14ac:dyDescent="0.2">
      <c r="A669" s="33"/>
      <c r="B669" s="46">
        <v>85410</v>
      </c>
      <c r="C669" s="81"/>
      <c r="D669" s="76" t="s">
        <v>62</v>
      </c>
      <c r="E669" s="40">
        <v>4106008.6399999997</v>
      </c>
      <c r="F669" s="40">
        <f>SUM(F670,F672)</f>
        <v>6000</v>
      </c>
      <c r="G669" s="40">
        <f>SUM(G670,G672)</f>
        <v>2500</v>
      </c>
      <c r="H669" s="39">
        <f>SUM(E669+F669-G669)</f>
        <v>4109508.6399999997</v>
      </c>
    </row>
    <row r="670" spans="1:8" s="18" customFormat="1" ht="12" customHeight="1" x14ac:dyDescent="0.2">
      <c r="A670" s="33"/>
      <c r="B670" s="45"/>
      <c r="C670" s="27"/>
      <c r="D670" s="518" t="s">
        <v>28</v>
      </c>
      <c r="E670" s="125">
        <v>2822853.9699999997</v>
      </c>
      <c r="F670" s="527">
        <f>SUM(F671:F671)</f>
        <v>0</v>
      </c>
      <c r="G670" s="527">
        <f>SUM(G671:G671)</f>
        <v>2500</v>
      </c>
      <c r="H670" s="524">
        <f t="shared" ref="H670:H671" si="116">SUM(E670+F670-G670)</f>
        <v>2820353.9699999997</v>
      </c>
    </row>
    <row r="671" spans="1:8" s="18" customFormat="1" ht="12" customHeight="1" x14ac:dyDescent="0.2">
      <c r="A671" s="33"/>
      <c r="B671" s="45"/>
      <c r="C671" s="45">
        <v>4120</v>
      </c>
      <c r="D671" s="41" t="s">
        <v>30</v>
      </c>
      <c r="E671" s="48">
        <v>37105</v>
      </c>
      <c r="F671" s="48"/>
      <c r="G671" s="48">
        <v>2500</v>
      </c>
      <c r="H671" s="43">
        <f t="shared" si="116"/>
        <v>34605</v>
      </c>
    </row>
    <row r="672" spans="1:8" s="18" customFormat="1" ht="22.15" customHeight="1" x14ac:dyDescent="0.2">
      <c r="A672" s="33"/>
      <c r="B672" s="45"/>
      <c r="C672" s="27"/>
      <c r="D672" s="520" t="s">
        <v>220</v>
      </c>
      <c r="E672" s="524">
        <v>1147.67</v>
      </c>
      <c r="F672" s="524">
        <f>SUM(F673:F674)</f>
        <v>6000</v>
      </c>
      <c r="G672" s="524">
        <f>SUM(G673:G674)</f>
        <v>0</v>
      </c>
      <c r="H672" s="125">
        <f>SUM(E672+F672-G672)</f>
        <v>7147.67</v>
      </c>
    </row>
    <row r="673" spans="1:8" s="18" customFormat="1" ht="12" customHeight="1" x14ac:dyDescent="0.2">
      <c r="A673" s="33"/>
      <c r="B673" s="45"/>
      <c r="C673" s="37">
        <v>4370</v>
      </c>
      <c r="D673" s="37" t="s">
        <v>195</v>
      </c>
      <c r="E673" s="44">
        <v>0</v>
      </c>
      <c r="F673" s="48">
        <v>1000</v>
      </c>
      <c r="G673" s="48"/>
      <c r="H673" s="43">
        <f t="shared" ref="H673:H674" si="117">SUM(E673+F673-G673)</f>
        <v>1000</v>
      </c>
    </row>
    <row r="674" spans="1:8" s="18" customFormat="1" ht="22.15" customHeight="1" x14ac:dyDescent="0.2">
      <c r="A674" s="33"/>
      <c r="B674" s="45"/>
      <c r="C674" s="53">
        <v>4860</v>
      </c>
      <c r="D674" s="54" t="s">
        <v>224</v>
      </c>
      <c r="E674" s="44">
        <v>0</v>
      </c>
      <c r="F674" s="48">
        <v>5000</v>
      </c>
      <c r="G674" s="48"/>
      <c r="H674" s="43">
        <f t="shared" si="117"/>
        <v>5000</v>
      </c>
    </row>
    <row r="675" spans="1:8" s="18" customFormat="1" ht="12" customHeight="1" x14ac:dyDescent="0.2">
      <c r="A675" s="33"/>
      <c r="B675" s="45">
        <v>85415</v>
      </c>
      <c r="C675" s="37"/>
      <c r="D675" s="38" t="s">
        <v>117</v>
      </c>
      <c r="E675" s="111">
        <v>975875</v>
      </c>
      <c r="F675" s="39">
        <f>SUM(F676)</f>
        <v>110000</v>
      </c>
      <c r="G675" s="39">
        <f>SUM(G676)</f>
        <v>0</v>
      </c>
      <c r="H675" s="111">
        <f>SUM(E675+F675-G675)</f>
        <v>1085875</v>
      </c>
    </row>
    <row r="676" spans="1:8" s="18" customFormat="1" ht="22.5" customHeight="1" x14ac:dyDescent="0.2">
      <c r="A676" s="33"/>
      <c r="B676" s="10"/>
      <c r="C676" s="9"/>
      <c r="D676" s="532" t="s">
        <v>297</v>
      </c>
      <c r="E676" s="125">
        <v>0</v>
      </c>
      <c r="F676" s="125">
        <f>SUM(F677)</f>
        <v>110000</v>
      </c>
      <c r="G676" s="125">
        <f>SUM(G677)</f>
        <v>0</v>
      </c>
      <c r="H676" s="527">
        <f t="shared" ref="H676:H677" si="118">SUM(E676+F676-G676)</f>
        <v>110000</v>
      </c>
    </row>
    <row r="677" spans="1:8" s="18" customFormat="1" ht="20.45" customHeight="1" x14ac:dyDescent="0.2">
      <c r="A677" s="33"/>
      <c r="B677" s="10"/>
      <c r="C677" s="53">
        <v>3290</v>
      </c>
      <c r="D677" s="54" t="s">
        <v>275</v>
      </c>
      <c r="E677" s="48">
        <v>0</v>
      </c>
      <c r="F677" s="48">
        <v>110000</v>
      </c>
      <c r="G677" s="48"/>
      <c r="H677" s="42">
        <f t="shared" si="118"/>
        <v>110000</v>
      </c>
    </row>
    <row r="678" spans="1:8" s="18" customFormat="1" ht="12" customHeight="1" x14ac:dyDescent="0.2">
      <c r="A678" s="33"/>
      <c r="B678" s="46">
        <v>85417</v>
      </c>
      <c r="C678" s="75"/>
      <c r="D678" s="76" t="s">
        <v>64</v>
      </c>
      <c r="E678" s="39">
        <v>175309.09</v>
      </c>
      <c r="F678" s="40">
        <f>SUM(F679)</f>
        <v>0</v>
      </c>
      <c r="G678" s="40">
        <f>SUM(G679)</f>
        <v>4400</v>
      </c>
      <c r="H678" s="39">
        <f>SUM(E678+F678-G678)</f>
        <v>170909.09</v>
      </c>
    </row>
    <row r="679" spans="1:8" s="18" customFormat="1" ht="12" customHeight="1" x14ac:dyDescent="0.2">
      <c r="A679" s="33"/>
      <c r="B679" s="37"/>
      <c r="C679" s="27"/>
      <c r="D679" s="518" t="s">
        <v>28</v>
      </c>
      <c r="E679" s="125">
        <v>175309.09</v>
      </c>
      <c r="F679" s="527">
        <f>SUM(F680:F681)</f>
        <v>0</v>
      </c>
      <c r="G679" s="527">
        <f>SUM(G680:G681)</f>
        <v>4400</v>
      </c>
      <c r="H679" s="125">
        <f>SUM(E679+F679-G679)</f>
        <v>170909.09</v>
      </c>
    </row>
    <row r="680" spans="1:8" s="18" customFormat="1" ht="12" customHeight="1" x14ac:dyDescent="0.2">
      <c r="A680" s="33"/>
      <c r="B680" s="37"/>
      <c r="C680" s="45">
        <v>4010</v>
      </c>
      <c r="D680" s="41" t="s">
        <v>214</v>
      </c>
      <c r="E680" s="43">
        <v>4152</v>
      </c>
      <c r="F680" s="44"/>
      <c r="G680" s="44">
        <v>4152</v>
      </c>
      <c r="H680" s="42">
        <f t="shared" ref="H680:H681" si="119">SUM(E680+F680-G680)</f>
        <v>0</v>
      </c>
    </row>
    <row r="681" spans="1:8" s="18" customFormat="1" ht="12" customHeight="1" x14ac:dyDescent="0.2">
      <c r="A681" s="88"/>
      <c r="B681" s="113"/>
      <c r="C681" s="114">
        <v>4110</v>
      </c>
      <c r="D681" s="38" t="s">
        <v>29</v>
      </c>
      <c r="E681" s="39">
        <v>1127</v>
      </c>
      <c r="F681" s="82"/>
      <c r="G681" s="82">
        <v>248</v>
      </c>
      <c r="H681" s="40">
        <f t="shared" si="119"/>
        <v>879</v>
      </c>
    </row>
    <row r="682" spans="1:8" s="18" customFormat="1" ht="12" customHeight="1" x14ac:dyDescent="0.2">
      <c r="A682" s="33"/>
      <c r="B682" s="45">
        <v>85420</v>
      </c>
      <c r="C682" s="45"/>
      <c r="D682" s="97" t="s">
        <v>65</v>
      </c>
      <c r="E682" s="39">
        <v>5676393.2599999998</v>
      </c>
      <c r="F682" s="40">
        <f>SUM(F683)</f>
        <v>28400</v>
      </c>
      <c r="G682" s="40">
        <f>SUM(G683)</f>
        <v>1500</v>
      </c>
      <c r="H682" s="39">
        <f>SUM(E682+F682-G682)</f>
        <v>5703293.2599999998</v>
      </c>
    </row>
    <row r="683" spans="1:8" s="18" customFormat="1" ht="12" customHeight="1" x14ac:dyDescent="0.2">
      <c r="A683" s="33"/>
      <c r="B683" s="37"/>
      <c r="C683" s="27"/>
      <c r="D683" s="518" t="s">
        <v>28</v>
      </c>
      <c r="E683" s="125">
        <v>5676393.2599999998</v>
      </c>
      <c r="F683" s="527">
        <f>SUM(F684:F686)</f>
        <v>28400</v>
      </c>
      <c r="G683" s="527">
        <f>SUM(G684:G686)</f>
        <v>1500</v>
      </c>
      <c r="H683" s="125">
        <f>SUM(E683+F683-G683)</f>
        <v>5703293.2599999998</v>
      </c>
    </row>
    <row r="684" spans="1:8" s="18" customFormat="1" ht="12" customHeight="1" x14ac:dyDescent="0.2">
      <c r="A684" s="33"/>
      <c r="B684" s="37"/>
      <c r="C684" s="45">
        <v>4120</v>
      </c>
      <c r="D684" s="41" t="s">
        <v>30</v>
      </c>
      <c r="E684" s="43">
        <v>74562</v>
      </c>
      <c r="F684" s="44"/>
      <c r="G684" s="44">
        <v>1500</v>
      </c>
      <c r="H684" s="42">
        <f t="shared" ref="H684:H686" si="120">SUM(E684+F684-G684)</f>
        <v>73062</v>
      </c>
    </row>
    <row r="685" spans="1:8" s="18" customFormat="1" ht="12" customHeight="1" x14ac:dyDescent="0.2">
      <c r="A685" s="33"/>
      <c r="B685" s="37"/>
      <c r="C685" s="118" t="s">
        <v>170</v>
      </c>
      <c r="D685" s="133" t="s">
        <v>13</v>
      </c>
      <c r="E685" s="43">
        <v>164600</v>
      </c>
      <c r="F685" s="44">
        <v>27400</v>
      </c>
      <c r="G685" s="44"/>
      <c r="H685" s="42">
        <f t="shared" si="120"/>
        <v>192000</v>
      </c>
    </row>
    <row r="686" spans="1:8" s="18" customFormat="1" ht="21" customHeight="1" x14ac:dyDescent="0.2">
      <c r="A686" s="33"/>
      <c r="B686" s="37"/>
      <c r="C686" s="53">
        <v>4700</v>
      </c>
      <c r="D686" s="117" t="s">
        <v>176</v>
      </c>
      <c r="E686" s="43">
        <v>3100</v>
      </c>
      <c r="F686" s="44">
        <v>1000</v>
      </c>
      <c r="G686" s="44"/>
      <c r="H686" s="42">
        <f t="shared" si="120"/>
        <v>4100</v>
      </c>
    </row>
    <row r="687" spans="1:8" s="18" customFormat="1" ht="12" customHeight="1" thickBot="1" x14ac:dyDescent="0.25">
      <c r="A687" s="33">
        <v>855</v>
      </c>
      <c r="B687" s="33"/>
      <c r="C687" s="34"/>
      <c r="D687" s="35" t="s">
        <v>119</v>
      </c>
      <c r="E687" s="36">
        <v>23083197.129999999</v>
      </c>
      <c r="F687" s="36">
        <f>SUM(F688,F695,F698)</f>
        <v>37264</v>
      </c>
      <c r="G687" s="36">
        <f>SUM(G688,G695,G698)</f>
        <v>30620</v>
      </c>
      <c r="H687" s="36">
        <f>SUM(E687+F687-G687)</f>
        <v>23089841.129999999</v>
      </c>
    </row>
    <row r="688" spans="1:8" s="18" customFormat="1" ht="34.5" customHeight="1" thickTop="1" x14ac:dyDescent="0.2">
      <c r="A688" s="33"/>
      <c r="B688" s="53">
        <v>85502</v>
      </c>
      <c r="C688" s="27"/>
      <c r="D688" s="92" t="s">
        <v>120</v>
      </c>
      <c r="E688" s="39">
        <v>1140889</v>
      </c>
      <c r="F688" s="40">
        <f>SUM(F689,F691)</f>
        <v>9644</v>
      </c>
      <c r="G688" s="40">
        <f>SUM(G689,G691)</f>
        <v>0</v>
      </c>
      <c r="H688" s="39">
        <f>SUM(E688+F688-G688)</f>
        <v>1150533</v>
      </c>
    </row>
    <row r="689" spans="1:8" s="18" customFormat="1" ht="12.75" customHeight="1" x14ac:dyDescent="0.2">
      <c r="A689" s="33"/>
      <c r="B689" s="33"/>
      <c r="C689" s="9"/>
      <c r="D689" s="521" t="s">
        <v>263</v>
      </c>
      <c r="E689" s="125">
        <v>772102</v>
      </c>
      <c r="F689" s="519">
        <f>SUM(F690:F690)</f>
        <v>3000</v>
      </c>
      <c r="G689" s="519">
        <f>SUM(G690:G690)</f>
        <v>0</v>
      </c>
      <c r="H689" s="125">
        <f t="shared" ref="H689:H716" si="121">SUM(E689+F689-G689)</f>
        <v>775102</v>
      </c>
    </row>
    <row r="690" spans="1:8" s="18" customFormat="1" ht="12" customHeight="1" x14ac:dyDescent="0.2">
      <c r="A690" s="33"/>
      <c r="B690" s="37"/>
      <c r="C690" s="45">
        <v>4010</v>
      </c>
      <c r="D690" s="41" t="s">
        <v>214</v>
      </c>
      <c r="E690" s="44">
        <v>379087</v>
      </c>
      <c r="F690" s="48">
        <v>3000</v>
      </c>
      <c r="G690" s="44"/>
      <c r="H690" s="43">
        <f t="shared" si="121"/>
        <v>382087</v>
      </c>
    </row>
    <row r="691" spans="1:8" s="18" customFormat="1" ht="21" customHeight="1" x14ac:dyDescent="0.2">
      <c r="A691" s="33"/>
      <c r="B691" s="37"/>
      <c r="C691" s="9"/>
      <c r="D691" s="521" t="s">
        <v>298</v>
      </c>
      <c r="E691" s="125">
        <v>82560</v>
      </c>
      <c r="F691" s="519">
        <f>SUM(F692:F694)</f>
        <v>6644</v>
      </c>
      <c r="G691" s="519">
        <f>SUM(G692:G694)</f>
        <v>0</v>
      </c>
      <c r="H691" s="125">
        <f t="shared" si="121"/>
        <v>89204</v>
      </c>
    </row>
    <row r="692" spans="1:8" s="18" customFormat="1" ht="21.6" customHeight="1" x14ac:dyDescent="0.2">
      <c r="A692" s="33"/>
      <c r="B692" s="37"/>
      <c r="C692" s="53">
        <v>3290</v>
      </c>
      <c r="D692" s="54" t="s">
        <v>275</v>
      </c>
      <c r="E692" s="43">
        <v>80322</v>
      </c>
      <c r="F692" s="43">
        <v>6450</v>
      </c>
      <c r="G692" s="42"/>
      <c r="H692" s="43">
        <f t="shared" si="121"/>
        <v>86772</v>
      </c>
    </row>
    <row r="693" spans="1:8" s="18" customFormat="1" ht="20.45" customHeight="1" x14ac:dyDescent="0.2">
      <c r="A693" s="33"/>
      <c r="B693" s="37"/>
      <c r="C693" s="53">
        <v>4740</v>
      </c>
      <c r="D693" s="54" t="s">
        <v>221</v>
      </c>
      <c r="E693" s="44">
        <v>1841</v>
      </c>
      <c r="F693" s="48">
        <v>161</v>
      </c>
      <c r="G693" s="44"/>
      <c r="H693" s="43">
        <f t="shared" si="121"/>
        <v>2002</v>
      </c>
    </row>
    <row r="694" spans="1:8" s="18" customFormat="1" ht="20.45" customHeight="1" x14ac:dyDescent="0.2">
      <c r="A694" s="33"/>
      <c r="B694" s="37"/>
      <c r="C694" s="53">
        <v>4850</v>
      </c>
      <c r="D694" s="54" t="s">
        <v>223</v>
      </c>
      <c r="E694" s="44">
        <v>367</v>
      </c>
      <c r="F694" s="48">
        <v>33</v>
      </c>
      <c r="G694" s="44"/>
      <c r="H694" s="43">
        <f t="shared" si="121"/>
        <v>400</v>
      </c>
    </row>
    <row r="695" spans="1:8" s="18" customFormat="1" ht="12" customHeight="1" x14ac:dyDescent="0.2">
      <c r="A695" s="33"/>
      <c r="B695" s="37">
        <v>85504</v>
      </c>
      <c r="C695" s="27"/>
      <c r="D695" s="138" t="s">
        <v>299</v>
      </c>
      <c r="E695" s="111">
        <v>721489</v>
      </c>
      <c r="F695" s="39">
        <f>SUM(F696)</f>
        <v>0</v>
      </c>
      <c r="G695" s="39">
        <f>SUM(G696)</f>
        <v>3000</v>
      </c>
      <c r="H695" s="39">
        <f t="shared" si="121"/>
        <v>718489</v>
      </c>
    </row>
    <row r="696" spans="1:8" s="18" customFormat="1" ht="12" customHeight="1" x14ac:dyDescent="0.2">
      <c r="A696" s="33"/>
      <c r="B696" s="33"/>
      <c r="C696" s="46"/>
      <c r="D696" s="525" t="s">
        <v>300</v>
      </c>
      <c r="E696" s="524">
        <v>691669</v>
      </c>
      <c r="F696" s="519">
        <f>SUM(F697:F697)</f>
        <v>0</v>
      </c>
      <c r="G696" s="519">
        <f>SUM(G697:G697)</f>
        <v>3000</v>
      </c>
      <c r="H696" s="125">
        <f t="shared" si="121"/>
        <v>688669</v>
      </c>
    </row>
    <row r="697" spans="1:8" s="18" customFormat="1" ht="12" customHeight="1" x14ac:dyDescent="0.2">
      <c r="A697" s="33"/>
      <c r="B697" s="33"/>
      <c r="C697" s="45">
        <v>4010</v>
      </c>
      <c r="D697" s="41" t="s">
        <v>214</v>
      </c>
      <c r="E697" s="48">
        <v>496637</v>
      </c>
      <c r="F697" s="42"/>
      <c r="G697" s="42">
        <v>3000</v>
      </c>
      <c r="H697" s="42">
        <f t="shared" si="121"/>
        <v>493637</v>
      </c>
    </row>
    <row r="698" spans="1:8" s="18" customFormat="1" ht="12" customHeight="1" x14ac:dyDescent="0.2">
      <c r="A698" s="34"/>
      <c r="B698" s="37">
        <v>85510</v>
      </c>
      <c r="C698" s="45"/>
      <c r="D698" s="38" t="s">
        <v>163</v>
      </c>
      <c r="E698" s="111">
        <v>11594265</v>
      </c>
      <c r="F698" s="39">
        <f>SUM(F699)</f>
        <v>27620</v>
      </c>
      <c r="G698" s="39">
        <f>SUM(G699)</f>
        <v>27620</v>
      </c>
      <c r="H698" s="39">
        <f t="shared" si="121"/>
        <v>11594265</v>
      </c>
    </row>
    <row r="699" spans="1:8" s="18" customFormat="1" ht="12" customHeight="1" x14ac:dyDescent="0.2">
      <c r="A699" s="34"/>
      <c r="B699" s="33"/>
      <c r="C699" s="27"/>
      <c r="D699" s="528" t="s">
        <v>265</v>
      </c>
      <c r="E699" s="125">
        <v>4124152</v>
      </c>
      <c r="F699" s="527">
        <f>SUM(F700:F703)</f>
        <v>27620</v>
      </c>
      <c r="G699" s="527">
        <f>SUM(G700:G703)</f>
        <v>27620</v>
      </c>
      <c r="H699" s="125">
        <f t="shared" si="121"/>
        <v>4124152</v>
      </c>
    </row>
    <row r="700" spans="1:8" s="18" customFormat="1" ht="12" customHeight="1" x14ac:dyDescent="0.2">
      <c r="A700" s="34"/>
      <c r="B700" s="33"/>
      <c r="C700" s="118" t="s">
        <v>170</v>
      </c>
      <c r="D700" s="133" t="s">
        <v>13</v>
      </c>
      <c r="E700" s="48">
        <v>125000</v>
      </c>
      <c r="F700" s="44">
        <v>27620</v>
      </c>
      <c r="G700" s="44"/>
      <c r="H700" s="44">
        <f t="shared" si="121"/>
        <v>152620</v>
      </c>
    </row>
    <row r="701" spans="1:8" s="18" customFormat="1" ht="10.15" customHeight="1" x14ac:dyDescent="0.2">
      <c r="A701" s="34"/>
      <c r="B701" s="33"/>
      <c r="C701" s="45">
        <v>4300</v>
      </c>
      <c r="D701" s="41" t="s">
        <v>14</v>
      </c>
      <c r="E701" s="48">
        <v>327408</v>
      </c>
      <c r="F701" s="44"/>
      <c r="G701" s="44">
        <v>20000</v>
      </c>
      <c r="H701" s="44">
        <f t="shared" si="121"/>
        <v>307408</v>
      </c>
    </row>
    <row r="702" spans="1:8" s="18" customFormat="1" ht="12" customHeight="1" x14ac:dyDescent="0.2">
      <c r="A702" s="34"/>
      <c r="B702" s="33"/>
      <c r="C702" s="53">
        <v>4440</v>
      </c>
      <c r="D702" s="115" t="s">
        <v>200</v>
      </c>
      <c r="E702" s="48">
        <v>64994</v>
      </c>
      <c r="F702" s="44"/>
      <c r="G702" s="44">
        <v>820</v>
      </c>
      <c r="H702" s="44">
        <f t="shared" si="121"/>
        <v>64174</v>
      </c>
    </row>
    <row r="703" spans="1:8" s="18" customFormat="1" ht="13.5" customHeight="1" x14ac:dyDescent="0.2">
      <c r="A703" s="34"/>
      <c r="B703" s="33"/>
      <c r="C703" s="53">
        <v>4520</v>
      </c>
      <c r="D703" s="96" t="s">
        <v>301</v>
      </c>
      <c r="E703" s="48">
        <v>24300</v>
      </c>
      <c r="F703" s="44"/>
      <c r="G703" s="44">
        <v>6800</v>
      </c>
      <c r="H703" s="44">
        <f t="shared" si="121"/>
        <v>17500</v>
      </c>
    </row>
    <row r="704" spans="1:8" s="18" customFormat="1" ht="12" customHeight="1" thickBot="1" x14ac:dyDescent="0.25">
      <c r="A704" s="33">
        <v>900</v>
      </c>
      <c r="B704" s="33"/>
      <c r="C704" s="34"/>
      <c r="D704" s="35" t="s">
        <v>302</v>
      </c>
      <c r="E704" s="31">
        <v>75544549.75</v>
      </c>
      <c r="F704" s="36">
        <f>SUM(F705)</f>
        <v>5334</v>
      </c>
      <c r="G704" s="36">
        <f>SUM(G705)</f>
        <v>5334</v>
      </c>
      <c r="H704" s="31">
        <f t="shared" si="121"/>
        <v>75544549.75</v>
      </c>
    </row>
    <row r="705" spans="1:8" s="18" customFormat="1" ht="12" customHeight="1" thickTop="1" x14ac:dyDescent="0.2">
      <c r="A705" s="33"/>
      <c r="B705" s="37">
        <v>90013</v>
      </c>
      <c r="C705" s="45"/>
      <c r="D705" s="38" t="s">
        <v>303</v>
      </c>
      <c r="E705" s="39">
        <v>1551866</v>
      </c>
      <c r="F705" s="39">
        <f>SUM(F706)</f>
        <v>5334</v>
      </c>
      <c r="G705" s="39">
        <f>SUM(G706)</f>
        <v>5334</v>
      </c>
      <c r="H705" s="39">
        <f t="shared" si="121"/>
        <v>1551866</v>
      </c>
    </row>
    <row r="706" spans="1:8" s="18" customFormat="1" ht="12" customHeight="1" x14ac:dyDescent="0.2">
      <c r="A706" s="33"/>
      <c r="B706" s="139"/>
      <c r="C706" s="45"/>
      <c r="D706" s="528" t="s">
        <v>304</v>
      </c>
      <c r="E706" s="524">
        <v>1551866</v>
      </c>
      <c r="F706" s="524">
        <f>SUM(F707:F711)</f>
        <v>5334</v>
      </c>
      <c r="G706" s="524">
        <f>SUM(G707:G711)</f>
        <v>5334</v>
      </c>
      <c r="H706" s="524">
        <f t="shared" si="121"/>
        <v>1551866</v>
      </c>
    </row>
    <row r="707" spans="1:8" s="18" customFormat="1" ht="12" customHeight="1" x14ac:dyDescent="0.2">
      <c r="A707" s="33"/>
      <c r="B707" s="37"/>
      <c r="C707" s="45">
        <v>4270</v>
      </c>
      <c r="D707" s="41" t="s">
        <v>171</v>
      </c>
      <c r="E707" s="48">
        <v>54500</v>
      </c>
      <c r="F707" s="48">
        <v>5000</v>
      </c>
      <c r="G707" s="48"/>
      <c r="H707" s="44">
        <f t="shared" si="121"/>
        <v>59500</v>
      </c>
    </row>
    <row r="708" spans="1:8" s="18" customFormat="1" ht="12" customHeight="1" x14ac:dyDescent="0.2">
      <c r="A708" s="33"/>
      <c r="B708" s="37"/>
      <c r="C708" s="45">
        <v>4300</v>
      </c>
      <c r="D708" s="41" t="s">
        <v>14</v>
      </c>
      <c r="E708" s="48">
        <v>95253</v>
      </c>
      <c r="F708" s="48"/>
      <c r="G708" s="48">
        <v>5000</v>
      </c>
      <c r="H708" s="44">
        <f t="shared" si="121"/>
        <v>90253</v>
      </c>
    </row>
    <row r="709" spans="1:8" s="18" customFormat="1" ht="12" customHeight="1" x14ac:dyDescent="0.2">
      <c r="A709" s="33"/>
      <c r="B709" s="37"/>
      <c r="C709" s="53">
        <v>4360</v>
      </c>
      <c r="D709" s="115" t="s">
        <v>217</v>
      </c>
      <c r="E709" s="48">
        <v>4230</v>
      </c>
      <c r="F709" s="48">
        <v>300</v>
      </c>
      <c r="G709" s="48"/>
      <c r="H709" s="44">
        <f t="shared" si="121"/>
        <v>4530</v>
      </c>
    </row>
    <row r="710" spans="1:8" s="18" customFormat="1" ht="12" customHeight="1" x14ac:dyDescent="0.2">
      <c r="A710" s="33"/>
      <c r="B710" s="37"/>
      <c r="C710" s="53">
        <v>4440</v>
      </c>
      <c r="D710" s="115" t="s">
        <v>200</v>
      </c>
      <c r="E710" s="48">
        <v>25489</v>
      </c>
      <c r="F710" s="48">
        <v>34</v>
      </c>
      <c r="G710" s="48"/>
      <c r="H710" s="42">
        <f t="shared" si="121"/>
        <v>25523</v>
      </c>
    </row>
    <row r="711" spans="1:8" s="18" customFormat="1" ht="12" customHeight="1" x14ac:dyDescent="0.2">
      <c r="A711" s="33"/>
      <c r="B711" s="37"/>
      <c r="C711" s="53">
        <v>4710</v>
      </c>
      <c r="D711" s="133" t="s">
        <v>33</v>
      </c>
      <c r="E711" s="42">
        <v>5136</v>
      </c>
      <c r="F711" s="42"/>
      <c r="G711" s="42">
        <v>334</v>
      </c>
      <c r="H711" s="42">
        <f t="shared" si="121"/>
        <v>4802</v>
      </c>
    </row>
    <row r="712" spans="1:8" s="18" customFormat="1" ht="12" customHeight="1" thickBot="1" x14ac:dyDescent="0.25">
      <c r="A712" s="32">
        <v>926</v>
      </c>
      <c r="B712" s="33"/>
      <c r="C712" s="34"/>
      <c r="D712" s="35" t="s">
        <v>305</v>
      </c>
      <c r="E712" s="31">
        <v>26424576.18</v>
      </c>
      <c r="F712" s="31">
        <f>SUM(F713)</f>
        <v>1150</v>
      </c>
      <c r="G712" s="31">
        <f>SUM(G713)</f>
        <v>1150</v>
      </c>
      <c r="H712" s="31">
        <f t="shared" si="121"/>
        <v>26424576.18</v>
      </c>
    </row>
    <row r="713" spans="1:8" s="18" customFormat="1" ht="12" customHeight="1" thickTop="1" x14ac:dyDescent="0.2">
      <c r="A713" s="33"/>
      <c r="B713" s="45">
        <v>92601</v>
      </c>
      <c r="C713" s="74"/>
      <c r="D713" s="38" t="s">
        <v>306</v>
      </c>
      <c r="E713" s="39">
        <v>6508381.7599999998</v>
      </c>
      <c r="F713" s="39">
        <f>SUM(F714)</f>
        <v>1150</v>
      </c>
      <c r="G713" s="39">
        <f>SUM(G714)</f>
        <v>1150</v>
      </c>
      <c r="H713" s="39">
        <f t="shared" si="121"/>
        <v>6508381.7599999998</v>
      </c>
    </row>
    <row r="714" spans="1:8" s="18" customFormat="1" ht="12" customHeight="1" x14ac:dyDescent="0.2">
      <c r="A714" s="32"/>
      <c r="B714" s="33"/>
      <c r="C714" s="34"/>
      <c r="D714" s="518" t="s">
        <v>28</v>
      </c>
      <c r="E714" s="524">
        <v>374139</v>
      </c>
      <c r="F714" s="524">
        <f>SUM(F715:F716)</f>
        <v>1150</v>
      </c>
      <c r="G714" s="524">
        <f>SUM(G715:G716)</f>
        <v>1150</v>
      </c>
      <c r="H714" s="524">
        <f t="shared" si="121"/>
        <v>374139</v>
      </c>
    </row>
    <row r="715" spans="1:8" s="18" customFormat="1" ht="12" customHeight="1" x14ac:dyDescent="0.2">
      <c r="A715" s="32"/>
      <c r="B715" s="33"/>
      <c r="C715" s="45">
        <v>4110</v>
      </c>
      <c r="D715" s="41" t="s">
        <v>29</v>
      </c>
      <c r="E715" s="48">
        <v>21395</v>
      </c>
      <c r="F715" s="48"/>
      <c r="G715" s="48">
        <v>1150</v>
      </c>
      <c r="H715" s="44">
        <f t="shared" si="121"/>
        <v>20245</v>
      </c>
    </row>
    <row r="716" spans="1:8" s="18" customFormat="1" ht="12" customHeight="1" x14ac:dyDescent="0.2">
      <c r="A716" s="32"/>
      <c r="B716" s="37"/>
      <c r="C716" s="53">
        <v>4170</v>
      </c>
      <c r="D716" s="115" t="s">
        <v>32</v>
      </c>
      <c r="E716" s="140">
        <v>134914</v>
      </c>
      <c r="F716" s="44">
        <v>1150</v>
      </c>
      <c r="G716" s="44"/>
      <c r="H716" s="44">
        <f t="shared" si="121"/>
        <v>136064</v>
      </c>
    </row>
    <row r="717" spans="1:8" s="18" customFormat="1" ht="18.600000000000001" customHeight="1" thickBot="1" x14ac:dyDescent="0.25">
      <c r="A717" s="139"/>
      <c r="B717" s="37"/>
      <c r="C717" s="45"/>
      <c r="D717" s="30" t="s">
        <v>307</v>
      </c>
      <c r="E717" s="31">
        <v>109715089.34</v>
      </c>
      <c r="F717" s="31">
        <f>SUM(F718,F728,F736,F744,F761,F767)</f>
        <v>3994947.45</v>
      </c>
      <c r="G717" s="31">
        <f>SUM(G718,G728,G736,G744,G761,G767)</f>
        <v>12479.119999999999</v>
      </c>
      <c r="H717" s="31">
        <f t="shared" ref="H717:H726" si="122">SUM(E717+F717-G717)</f>
        <v>113697557.67</v>
      </c>
    </row>
    <row r="718" spans="1:8" s="18" customFormat="1" ht="18" customHeight="1" thickTop="1" thickBot="1" x14ac:dyDescent="0.25">
      <c r="A718" s="33">
        <v>750</v>
      </c>
      <c r="B718" s="33"/>
      <c r="C718" s="34"/>
      <c r="D718" s="35" t="s">
        <v>19</v>
      </c>
      <c r="E718" s="31">
        <v>1793716.16</v>
      </c>
      <c r="F718" s="31">
        <f>SUM(F719)</f>
        <v>20980.67</v>
      </c>
      <c r="G718" s="31">
        <f>SUM(G719)</f>
        <v>0</v>
      </c>
      <c r="H718" s="31">
        <f t="shared" si="122"/>
        <v>1814696.8299999998</v>
      </c>
    </row>
    <row r="719" spans="1:8" s="18" customFormat="1" ht="12" customHeight="1" thickTop="1" x14ac:dyDescent="0.2">
      <c r="A719" s="33"/>
      <c r="B719" s="45">
        <v>75011</v>
      </c>
      <c r="C719" s="74"/>
      <c r="D719" s="93" t="s">
        <v>123</v>
      </c>
      <c r="E719" s="111">
        <v>1793716.16</v>
      </c>
      <c r="F719" s="40">
        <f>SUM(F720,F724)</f>
        <v>20980.67</v>
      </c>
      <c r="G719" s="40">
        <f>SUM(G720,G724)</f>
        <v>0</v>
      </c>
      <c r="H719" s="39">
        <f t="shared" si="122"/>
        <v>1814696.8299999998</v>
      </c>
    </row>
    <row r="720" spans="1:8" s="18" customFormat="1" ht="12" customHeight="1" x14ac:dyDescent="0.2">
      <c r="A720" s="33"/>
      <c r="B720" s="45"/>
      <c r="C720" s="27"/>
      <c r="D720" s="518" t="s">
        <v>308</v>
      </c>
      <c r="E720" s="83">
        <v>1776885</v>
      </c>
      <c r="F720" s="527">
        <f>SUM(F721:F723)</f>
        <v>20000</v>
      </c>
      <c r="G720" s="527">
        <f>SUM(G721:G723)</f>
        <v>0</v>
      </c>
      <c r="H720" s="524">
        <f t="shared" si="122"/>
        <v>1796885</v>
      </c>
    </row>
    <row r="721" spans="1:8" s="18" customFormat="1" ht="12" customHeight="1" x14ac:dyDescent="0.2">
      <c r="A721" s="33"/>
      <c r="B721" s="45"/>
      <c r="C721" s="45">
        <v>4010</v>
      </c>
      <c r="D721" s="41" t="s">
        <v>214</v>
      </c>
      <c r="E721" s="44">
        <v>1370534</v>
      </c>
      <c r="F721" s="44">
        <v>18841</v>
      </c>
      <c r="G721" s="141"/>
      <c r="H721" s="42">
        <f t="shared" si="122"/>
        <v>1389375</v>
      </c>
    </row>
    <row r="722" spans="1:8" s="18" customFormat="1" ht="12" customHeight="1" x14ac:dyDescent="0.2">
      <c r="A722" s="33"/>
      <c r="B722" s="45"/>
      <c r="C722" s="45">
        <v>4110</v>
      </c>
      <c r="D722" s="41" t="s">
        <v>29</v>
      </c>
      <c r="E722" s="44">
        <v>253125</v>
      </c>
      <c r="F722" s="44">
        <v>1014</v>
      </c>
      <c r="G722" s="141"/>
      <c r="H722" s="42">
        <f t="shared" si="122"/>
        <v>254139</v>
      </c>
    </row>
    <row r="723" spans="1:8" s="18" customFormat="1" ht="12" customHeight="1" x14ac:dyDescent="0.2">
      <c r="A723" s="33"/>
      <c r="B723" s="45"/>
      <c r="C723" s="45">
        <v>4120</v>
      </c>
      <c r="D723" s="41" t="s">
        <v>30</v>
      </c>
      <c r="E723" s="44">
        <v>36076</v>
      </c>
      <c r="F723" s="44">
        <v>145</v>
      </c>
      <c r="G723" s="141"/>
      <c r="H723" s="42">
        <f t="shared" si="122"/>
        <v>36221</v>
      </c>
    </row>
    <row r="724" spans="1:8" s="18" customFormat="1" ht="21" customHeight="1" x14ac:dyDescent="0.2">
      <c r="A724" s="33"/>
      <c r="B724" s="33"/>
      <c r="C724" s="27"/>
      <c r="D724" s="532" t="s">
        <v>309</v>
      </c>
      <c r="E724" s="125">
        <v>16831.16</v>
      </c>
      <c r="F724" s="527">
        <f>SUM(F725:F726)</f>
        <v>980.67</v>
      </c>
      <c r="G724" s="527">
        <f>SUM(G725:G726)</f>
        <v>0</v>
      </c>
      <c r="H724" s="524">
        <f t="shared" si="122"/>
        <v>17811.829999999998</v>
      </c>
    </row>
    <row r="725" spans="1:8" s="18" customFormat="1" ht="22.15" customHeight="1" x14ac:dyDescent="0.2">
      <c r="A725" s="33"/>
      <c r="B725" s="33"/>
      <c r="C725" s="53">
        <v>4740</v>
      </c>
      <c r="D725" s="54" t="s">
        <v>221</v>
      </c>
      <c r="E725" s="44">
        <v>14068.17</v>
      </c>
      <c r="F725" s="44">
        <v>819.68</v>
      </c>
      <c r="G725" s="44"/>
      <c r="H725" s="42">
        <f t="shared" si="122"/>
        <v>14887.85</v>
      </c>
    </row>
    <row r="726" spans="1:8" s="18" customFormat="1" ht="22.15" customHeight="1" x14ac:dyDescent="0.2">
      <c r="A726" s="33"/>
      <c r="B726" s="33"/>
      <c r="C726" s="53">
        <v>4850</v>
      </c>
      <c r="D726" s="54" t="s">
        <v>223</v>
      </c>
      <c r="E726" s="44">
        <v>2762.99</v>
      </c>
      <c r="F726" s="44">
        <v>160.99</v>
      </c>
      <c r="G726" s="44"/>
      <c r="H726" s="42">
        <f t="shared" si="122"/>
        <v>2923.9799999999996</v>
      </c>
    </row>
    <row r="727" spans="1:8" s="18" customFormat="1" ht="12" customHeight="1" x14ac:dyDescent="0.2">
      <c r="A727" s="33">
        <v>754</v>
      </c>
      <c r="B727" s="33"/>
      <c r="C727" s="34"/>
      <c r="D727" s="35" t="s">
        <v>79</v>
      </c>
      <c r="E727" s="44"/>
      <c r="F727" s="43"/>
      <c r="G727" s="43"/>
      <c r="H727" s="44"/>
    </row>
    <row r="728" spans="1:8" s="18" customFormat="1" ht="12" customHeight="1" thickBot="1" x14ac:dyDescent="0.25">
      <c r="A728" s="33"/>
      <c r="B728" s="33"/>
      <c r="C728" s="34"/>
      <c r="D728" s="35" t="s">
        <v>80</v>
      </c>
      <c r="E728" s="36">
        <v>3435412</v>
      </c>
      <c r="F728" s="36">
        <f>SUM(F729)</f>
        <v>457562</v>
      </c>
      <c r="G728" s="36">
        <f>SUM(G729)</f>
        <v>0</v>
      </c>
      <c r="H728" s="36">
        <f>SUM(E728+F728-G728)</f>
        <v>3892974</v>
      </c>
    </row>
    <row r="729" spans="1:8" s="18" customFormat="1" ht="12" customHeight="1" thickTop="1" x14ac:dyDescent="0.2">
      <c r="A729" s="37"/>
      <c r="B729" s="37">
        <v>75495</v>
      </c>
      <c r="C729" s="27"/>
      <c r="D729" s="38" t="s">
        <v>10</v>
      </c>
      <c r="E729" s="39">
        <v>3435412</v>
      </c>
      <c r="F729" s="40">
        <f>SUM(F730,F734)</f>
        <v>457562</v>
      </c>
      <c r="G729" s="40">
        <f>SUM(G730,G734)</f>
        <v>0</v>
      </c>
      <c r="H729" s="39">
        <f>SUM(E729+F729-G729)</f>
        <v>3892974</v>
      </c>
    </row>
    <row r="730" spans="1:8" s="18" customFormat="1" ht="22.9" customHeight="1" x14ac:dyDescent="0.2">
      <c r="A730" s="37"/>
      <c r="B730" s="37"/>
      <c r="C730" s="9"/>
      <c r="D730" s="521" t="s">
        <v>310</v>
      </c>
      <c r="E730" s="125">
        <v>1998952</v>
      </c>
      <c r="F730" s="519">
        <f>SUM(F731:F733)</f>
        <v>213752</v>
      </c>
      <c r="G730" s="519">
        <f>SUM(G731:G733)</f>
        <v>0</v>
      </c>
      <c r="H730" s="125">
        <f t="shared" ref="H730:H733" si="123">SUM(E730+F730-G730)</f>
        <v>2212704</v>
      </c>
    </row>
    <row r="731" spans="1:8" s="18" customFormat="1" ht="20.25" customHeight="1" x14ac:dyDescent="0.2">
      <c r="A731" s="113"/>
      <c r="B731" s="113"/>
      <c r="C731" s="99">
        <v>3280</v>
      </c>
      <c r="D731" s="92" t="s">
        <v>311</v>
      </c>
      <c r="E731" s="111">
        <v>1987720</v>
      </c>
      <c r="F731" s="82">
        <f>30000+183000</f>
        <v>213000</v>
      </c>
      <c r="G731" s="82"/>
      <c r="H731" s="111">
        <f t="shared" si="123"/>
        <v>2200720</v>
      </c>
    </row>
    <row r="732" spans="1:8" s="18" customFormat="1" ht="22.5" customHeight="1" x14ac:dyDescent="0.2">
      <c r="A732" s="37"/>
      <c r="B732" s="37"/>
      <c r="C732" s="53">
        <v>4740</v>
      </c>
      <c r="D732" s="54" t="s">
        <v>221</v>
      </c>
      <c r="E732" s="44">
        <v>9365</v>
      </c>
      <c r="F732" s="48">
        <v>628</v>
      </c>
      <c r="G732" s="44"/>
      <c r="H732" s="43">
        <f t="shared" si="123"/>
        <v>9993</v>
      </c>
    </row>
    <row r="733" spans="1:8" s="18" customFormat="1" ht="21.6" customHeight="1" x14ac:dyDescent="0.2">
      <c r="A733" s="37"/>
      <c r="B733" s="37"/>
      <c r="C733" s="53">
        <v>4850</v>
      </c>
      <c r="D733" s="54" t="s">
        <v>223</v>
      </c>
      <c r="E733" s="44">
        <v>1867</v>
      </c>
      <c r="F733" s="48">
        <v>124</v>
      </c>
      <c r="G733" s="44"/>
      <c r="H733" s="43">
        <f t="shared" si="123"/>
        <v>1991</v>
      </c>
    </row>
    <row r="734" spans="1:8" s="18" customFormat="1" ht="34.5" customHeight="1" x14ac:dyDescent="0.2">
      <c r="A734" s="66"/>
      <c r="B734" s="33"/>
      <c r="C734" s="9"/>
      <c r="D734" s="532" t="s">
        <v>312</v>
      </c>
      <c r="E734" s="524">
        <v>1261956.77</v>
      </c>
      <c r="F734" s="524">
        <f>SUM(F735:F735)</f>
        <v>243810</v>
      </c>
      <c r="G734" s="524">
        <f>SUM(G735:G735)</f>
        <v>0</v>
      </c>
      <c r="H734" s="125">
        <f>SUM(E734+F734-G734)</f>
        <v>1505766.77</v>
      </c>
    </row>
    <row r="735" spans="1:8" s="18" customFormat="1" ht="12" customHeight="1" x14ac:dyDescent="0.2">
      <c r="A735" s="66"/>
      <c r="B735" s="33"/>
      <c r="C735" s="37">
        <v>4370</v>
      </c>
      <c r="D735" s="41" t="s">
        <v>195</v>
      </c>
      <c r="E735" s="48">
        <v>1261956.77</v>
      </c>
      <c r="F735" s="44">
        <v>243810</v>
      </c>
      <c r="G735" s="44"/>
      <c r="H735" s="48">
        <f t="shared" ref="H735" si="124">SUM(E735+F735-G735)</f>
        <v>1505766.77</v>
      </c>
    </row>
    <row r="736" spans="1:8" s="18" customFormat="1" ht="12" customHeight="1" thickBot="1" x14ac:dyDescent="0.25">
      <c r="A736" s="32">
        <v>801</v>
      </c>
      <c r="B736" s="33"/>
      <c r="C736" s="34"/>
      <c r="D736" s="35" t="s">
        <v>90</v>
      </c>
      <c r="E736" s="31">
        <v>560734.6</v>
      </c>
      <c r="F736" s="31">
        <f>SUM(F739)</f>
        <v>36249.78</v>
      </c>
      <c r="G736" s="31">
        <f>SUM(G739)</f>
        <v>1579.12</v>
      </c>
      <c r="H736" s="31">
        <f>SUM(E736+F736-G736)</f>
        <v>595405.26</v>
      </c>
    </row>
    <row r="737" spans="1:8" s="18" customFormat="1" ht="12" customHeight="1" thickTop="1" x14ac:dyDescent="0.2">
      <c r="A737" s="32"/>
      <c r="B737" s="37">
        <v>80153</v>
      </c>
      <c r="C737" s="34"/>
      <c r="D737" s="11" t="s">
        <v>130</v>
      </c>
      <c r="E737" s="55"/>
      <c r="F737" s="55"/>
      <c r="G737" s="55"/>
      <c r="H737" s="55"/>
    </row>
    <row r="738" spans="1:8" s="18" customFormat="1" ht="12" customHeight="1" x14ac:dyDescent="0.2">
      <c r="A738" s="32"/>
      <c r="B738" s="33"/>
      <c r="C738" s="34"/>
      <c r="D738" s="11" t="s">
        <v>131</v>
      </c>
      <c r="E738" s="55"/>
      <c r="F738" s="55"/>
      <c r="G738" s="55"/>
      <c r="H738" s="55"/>
    </row>
    <row r="739" spans="1:8" s="18" customFormat="1" ht="12" customHeight="1" x14ac:dyDescent="0.2">
      <c r="A739" s="33"/>
      <c r="B739" s="37"/>
      <c r="C739" s="27"/>
      <c r="D739" s="38" t="s">
        <v>132</v>
      </c>
      <c r="E739" s="39">
        <v>560734.6</v>
      </c>
      <c r="F739" s="39">
        <f>SUM(F740,F742)</f>
        <v>36249.78</v>
      </c>
      <c r="G739" s="39">
        <f>SUM(G740,G742)</f>
        <v>1579.12</v>
      </c>
      <c r="H739" s="39">
        <f t="shared" ref="H739:H783" si="125">SUM(E739+F739-G739)</f>
        <v>595405.26</v>
      </c>
    </row>
    <row r="740" spans="1:8" s="18" customFormat="1" ht="12" customHeight="1" x14ac:dyDescent="0.2">
      <c r="A740" s="91"/>
      <c r="B740" s="37"/>
      <c r="C740" s="27"/>
      <c r="D740" s="518" t="s">
        <v>28</v>
      </c>
      <c r="E740" s="125">
        <v>503669.12</v>
      </c>
      <c r="F740" s="519">
        <f>SUM(F741:F741)</f>
        <v>33237.93</v>
      </c>
      <c r="G740" s="519">
        <f>SUM(G741:G741)</f>
        <v>0</v>
      </c>
      <c r="H740" s="125">
        <f t="shared" si="125"/>
        <v>536907.05000000005</v>
      </c>
    </row>
    <row r="741" spans="1:8" s="18" customFormat="1" ht="12" customHeight="1" x14ac:dyDescent="0.2">
      <c r="A741" s="32"/>
      <c r="B741" s="66"/>
      <c r="C741" s="45">
        <v>4240</v>
      </c>
      <c r="D741" s="41" t="s">
        <v>215</v>
      </c>
      <c r="E741" s="43">
        <v>503669.12</v>
      </c>
      <c r="F741" s="42">
        <v>33237.93</v>
      </c>
      <c r="G741" s="110"/>
      <c r="H741" s="43">
        <f t="shared" si="125"/>
        <v>536907.05000000005</v>
      </c>
    </row>
    <row r="742" spans="1:8" s="18" customFormat="1" ht="12" customHeight="1" x14ac:dyDescent="0.2">
      <c r="A742" s="32"/>
      <c r="B742" s="66"/>
      <c r="C742" s="27"/>
      <c r="D742" s="531" t="s">
        <v>26</v>
      </c>
      <c r="E742" s="125">
        <v>57065.479999999996</v>
      </c>
      <c r="F742" s="519">
        <f>SUM(F743:F743)</f>
        <v>3011.85</v>
      </c>
      <c r="G742" s="519">
        <f>SUM(G743:G743)</f>
        <v>1579.12</v>
      </c>
      <c r="H742" s="125">
        <f t="shared" si="125"/>
        <v>58498.209999999992</v>
      </c>
    </row>
    <row r="743" spans="1:8" s="18" customFormat="1" ht="34.5" customHeight="1" x14ac:dyDescent="0.2">
      <c r="A743" s="32"/>
      <c r="B743" s="66"/>
      <c r="C743" s="53">
        <v>2830</v>
      </c>
      <c r="D743" s="79" t="s">
        <v>313</v>
      </c>
      <c r="E743" s="43">
        <v>51528.31</v>
      </c>
      <c r="F743" s="42">
        <v>3011.85</v>
      </c>
      <c r="G743" s="42">
        <v>1579.12</v>
      </c>
      <c r="H743" s="43">
        <f t="shared" si="125"/>
        <v>52961.039999999994</v>
      </c>
    </row>
    <row r="744" spans="1:8" s="18" customFormat="1" ht="12" customHeight="1" thickBot="1" x14ac:dyDescent="0.25">
      <c r="A744" s="34" t="s">
        <v>267</v>
      </c>
      <c r="B744" s="33"/>
      <c r="C744" s="34"/>
      <c r="D744" s="35" t="s">
        <v>94</v>
      </c>
      <c r="E744" s="31">
        <v>11560038.07</v>
      </c>
      <c r="F744" s="31">
        <f>SUM(F745,F754,F758)</f>
        <v>203486</v>
      </c>
      <c r="G744" s="31">
        <f>SUM(G745,G754,G758)</f>
        <v>6600</v>
      </c>
      <c r="H744" s="31">
        <f t="shared" si="125"/>
        <v>11756924.07</v>
      </c>
    </row>
    <row r="745" spans="1:8" s="18" customFormat="1" ht="12" customHeight="1" thickTop="1" x14ac:dyDescent="0.2">
      <c r="A745" s="34"/>
      <c r="B745" s="37">
        <v>85203</v>
      </c>
      <c r="C745" s="27"/>
      <c r="D745" s="97" t="s">
        <v>133</v>
      </c>
      <c r="E745" s="111">
        <v>1140872</v>
      </c>
      <c r="F745" s="40">
        <f>SUM(F746)</f>
        <v>12320</v>
      </c>
      <c r="G745" s="40">
        <f>SUM(G746)</f>
        <v>6600</v>
      </c>
      <c r="H745" s="39">
        <f t="shared" si="125"/>
        <v>1146592</v>
      </c>
    </row>
    <row r="746" spans="1:8" s="18" customFormat="1" ht="12" customHeight="1" x14ac:dyDescent="0.2">
      <c r="A746" s="34"/>
      <c r="B746" s="37"/>
      <c r="C746" s="27"/>
      <c r="D746" s="518" t="s">
        <v>314</v>
      </c>
      <c r="E746" s="83">
        <v>1029172</v>
      </c>
      <c r="F746" s="527">
        <f>SUM(F747:F753)</f>
        <v>12320</v>
      </c>
      <c r="G746" s="527">
        <f>SUM(G747:G753)</f>
        <v>6600</v>
      </c>
      <c r="H746" s="524">
        <f t="shared" si="125"/>
        <v>1034892</v>
      </c>
    </row>
    <row r="747" spans="1:8" s="18" customFormat="1" ht="12" customHeight="1" x14ac:dyDescent="0.2">
      <c r="A747" s="34"/>
      <c r="B747" s="37"/>
      <c r="C747" s="53">
        <v>3020</v>
      </c>
      <c r="D747" s="115" t="s">
        <v>181</v>
      </c>
      <c r="E747" s="48">
        <v>0</v>
      </c>
      <c r="F747" s="44">
        <v>1000</v>
      </c>
      <c r="G747" s="44"/>
      <c r="H747" s="44">
        <f t="shared" si="125"/>
        <v>1000</v>
      </c>
    </row>
    <row r="748" spans="1:8" s="18" customFormat="1" ht="12" customHeight="1" x14ac:dyDescent="0.2">
      <c r="A748" s="34"/>
      <c r="B748" s="37"/>
      <c r="C748" s="53">
        <v>4120</v>
      </c>
      <c r="D748" s="115" t="s">
        <v>30</v>
      </c>
      <c r="E748" s="48">
        <v>15490</v>
      </c>
      <c r="F748" s="44"/>
      <c r="G748" s="44">
        <v>2000</v>
      </c>
      <c r="H748" s="44">
        <f t="shared" si="125"/>
        <v>13490</v>
      </c>
    </row>
    <row r="749" spans="1:8" s="18" customFormat="1" ht="12" customHeight="1" x14ac:dyDescent="0.2">
      <c r="A749" s="34"/>
      <c r="B749" s="37"/>
      <c r="C749" s="121">
        <v>4210</v>
      </c>
      <c r="D749" s="133" t="s">
        <v>13</v>
      </c>
      <c r="E749" s="48">
        <v>30619</v>
      </c>
      <c r="F749" s="44">
        <f>1522+3000</f>
        <v>4522</v>
      </c>
      <c r="G749" s="44"/>
      <c r="H749" s="44">
        <f t="shared" si="125"/>
        <v>35141</v>
      </c>
    </row>
    <row r="750" spans="1:8" s="18" customFormat="1" ht="12" customHeight="1" x14ac:dyDescent="0.2">
      <c r="A750" s="34"/>
      <c r="B750" s="37"/>
      <c r="C750" s="53">
        <v>4220</v>
      </c>
      <c r="D750" s="115" t="s">
        <v>27</v>
      </c>
      <c r="E750" s="48">
        <v>4600</v>
      </c>
      <c r="F750" s="44">
        <v>4044</v>
      </c>
      <c r="G750" s="44"/>
      <c r="H750" s="44">
        <f t="shared" si="125"/>
        <v>8644</v>
      </c>
    </row>
    <row r="751" spans="1:8" s="18" customFormat="1" ht="12" customHeight="1" x14ac:dyDescent="0.2">
      <c r="A751" s="34"/>
      <c r="B751" s="37"/>
      <c r="C751" s="45">
        <v>4270</v>
      </c>
      <c r="D751" s="41" t="s">
        <v>171</v>
      </c>
      <c r="E751" s="48">
        <v>16500</v>
      </c>
      <c r="F751" s="44"/>
      <c r="G751" s="44">
        <v>4600</v>
      </c>
      <c r="H751" s="44">
        <f t="shared" si="125"/>
        <v>11900</v>
      </c>
    </row>
    <row r="752" spans="1:8" s="18" customFormat="1" ht="12" customHeight="1" x14ac:dyDescent="0.2">
      <c r="A752" s="34"/>
      <c r="B752" s="37"/>
      <c r="C752" s="46">
        <v>4300</v>
      </c>
      <c r="D752" s="10" t="s">
        <v>315</v>
      </c>
      <c r="E752" s="48">
        <v>64640</v>
      </c>
      <c r="F752" s="44">
        <v>2720</v>
      </c>
      <c r="G752" s="44"/>
      <c r="H752" s="44">
        <f t="shared" si="125"/>
        <v>67360</v>
      </c>
    </row>
    <row r="753" spans="1:8" s="18" customFormat="1" ht="12" customHeight="1" x14ac:dyDescent="0.2">
      <c r="A753" s="34"/>
      <c r="B753" s="37"/>
      <c r="C753" s="53">
        <v>4440</v>
      </c>
      <c r="D753" s="115" t="s">
        <v>200</v>
      </c>
      <c r="E753" s="48">
        <v>23775</v>
      </c>
      <c r="F753" s="44">
        <v>34</v>
      </c>
      <c r="G753" s="44"/>
      <c r="H753" s="44">
        <f t="shared" si="125"/>
        <v>23809</v>
      </c>
    </row>
    <row r="754" spans="1:8" s="18" customFormat="1" ht="12" customHeight="1" x14ac:dyDescent="0.2">
      <c r="A754" s="142"/>
      <c r="B754" s="37">
        <v>85219</v>
      </c>
      <c r="C754" s="27"/>
      <c r="D754" s="87" t="s">
        <v>134</v>
      </c>
      <c r="E754" s="111">
        <v>30578</v>
      </c>
      <c r="F754" s="40">
        <f t="shared" ref="F754:G754" si="126">SUM(F755)</f>
        <v>1582</v>
      </c>
      <c r="G754" s="40">
        <f t="shared" si="126"/>
        <v>0</v>
      </c>
      <c r="H754" s="39">
        <f t="shared" si="125"/>
        <v>32160</v>
      </c>
    </row>
    <row r="755" spans="1:8" s="18" customFormat="1" ht="12" customHeight="1" x14ac:dyDescent="0.2">
      <c r="A755" s="142"/>
      <c r="B755" s="33"/>
      <c r="C755" s="27"/>
      <c r="D755" s="518" t="s">
        <v>263</v>
      </c>
      <c r="E755" s="83">
        <v>30578</v>
      </c>
      <c r="F755" s="527">
        <f>SUM(F756:F757)</f>
        <v>1582</v>
      </c>
      <c r="G755" s="527">
        <f>SUM(G756:G757)</f>
        <v>0</v>
      </c>
      <c r="H755" s="524">
        <f t="shared" si="125"/>
        <v>32160</v>
      </c>
    </row>
    <row r="756" spans="1:8" s="18" customFormat="1" ht="12" customHeight="1" x14ac:dyDescent="0.2">
      <c r="A756" s="142"/>
      <c r="B756" s="33"/>
      <c r="C756" s="45">
        <v>3110</v>
      </c>
      <c r="D756" s="41" t="s">
        <v>273</v>
      </c>
      <c r="E756" s="44">
        <v>30127</v>
      </c>
      <c r="F756" s="44">
        <v>1559</v>
      </c>
      <c r="G756" s="141"/>
      <c r="H756" s="42">
        <f t="shared" si="125"/>
        <v>31686</v>
      </c>
    </row>
    <row r="757" spans="1:8" s="18" customFormat="1" ht="12" customHeight="1" x14ac:dyDescent="0.2">
      <c r="A757" s="142"/>
      <c r="B757" s="33"/>
      <c r="C757" s="46">
        <v>4210</v>
      </c>
      <c r="D757" s="11" t="s">
        <v>13</v>
      </c>
      <c r="E757" s="44">
        <v>451</v>
      </c>
      <c r="F757" s="44">
        <v>23</v>
      </c>
      <c r="G757" s="141"/>
      <c r="H757" s="42">
        <f t="shared" si="125"/>
        <v>474</v>
      </c>
    </row>
    <row r="758" spans="1:8" s="18" customFormat="1" ht="12" customHeight="1" x14ac:dyDescent="0.2">
      <c r="A758" s="142"/>
      <c r="B758" s="37">
        <v>85228</v>
      </c>
      <c r="C758" s="27"/>
      <c r="D758" s="97" t="s">
        <v>625</v>
      </c>
      <c r="E758" s="111">
        <v>3182192</v>
      </c>
      <c r="F758" s="40">
        <f t="shared" ref="F758:G758" si="127">SUM(F759)</f>
        <v>189584</v>
      </c>
      <c r="G758" s="40">
        <f t="shared" si="127"/>
        <v>0</v>
      </c>
      <c r="H758" s="39">
        <f t="shared" si="125"/>
        <v>3371776</v>
      </c>
    </row>
    <row r="759" spans="1:8" s="18" customFormat="1" ht="12" customHeight="1" x14ac:dyDescent="0.2">
      <c r="A759" s="142"/>
      <c r="B759" s="37"/>
      <c r="C759" s="27"/>
      <c r="D759" s="533" t="s">
        <v>262</v>
      </c>
      <c r="E759" s="83">
        <v>3182192</v>
      </c>
      <c r="F759" s="527">
        <f>SUM(F760:F760)</f>
        <v>189584</v>
      </c>
      <c r="G759" s="527">
        <f>SUM(G760:G760)</f>
        <v>0</v>
      </c>
      <c r="H759" s="524">
        <f t="shared" si="125"/>
        <v>3371776</v>
      </c>
    </row>
    <row r="760" spans="1:8" s="18" customFormat="1" ht="31.15" customHeight="1" x14ac:dyDescent="0.2">
      <c r="A760" s="142"/>
      <c r="B760" s="33"/>
      <c r="C760" s="118" t="s">
        <v>316</v>
      </c>
      <c r="D760" s="117" t="s">
        <v>285</v>
      </c>
      <c r="E760" s="44">
        <v>3182192</v>
      </c>
      <c r="F760" s="44">
        <v>189584</v>
      </c>
      <c r="G760" s="44"/>
      <c r="H760" s="42">
        <f t="shared" si="125"/>
        <v>3371776</v>
      </c>
    </row>
    <row r="761" spans="1:8" s="18" customFormat="1" ht="12" customHeight="1" thickBot="1" x14ac:dyDescent="0.25">
      <c r="A761" s="32">
        <v>853</v>
      </c>
      <c r="B761" s="33"/>
      <c r="C761" s="34"/>
      <c r="D761" s="35" t="s">
        <v>111</v>
      </c>
      <c r="E761" s="31">
        <v>17108172.77</v>
      </c>
      <c r="F761" s="36">
        <f>SUM(F762)</f>
        <v>18666</v>
      </c>
      <c r="G761" s="36">
        <f>SUM(G762)</f>
        <v>0</v>
      </c>
      <c r="H761" s="31">
        <f t="shared" si="125"/>
        <v>17126838.77</v>
      </c>
    </row>
    <row r="762" spans="1:8" s="18" customFormat="1" ht="12" customHeight="1" thickTop="1" x14ac:dyDescent="0.2">
      <c r="A762" s="34"/>
      <c r="B762" s="37">
        <v>85395</v>
      </c>
      <c r="C762" s="27"/>
      <c r="D762" s="38" t="s">
        <v>10</v>
      </c>
      <c r="E762" s="111">
        <v>17108172.77</v>
      </c>
      <c r="F762" s="39">
        <f>SUM(F763)</f>
        <v>18666</v>
      </c>
      <c r="G762" s="39">
        <f>SUM(G763)</f>
        <v>0</v>
      </c>
      <c r="H762" s="39">
        <f t="shared" si="125"/>
        <v>17126838.77</v>
      </c>
    </row>
    <row r="763" spans="1:8" s="18" customFormat="1" ht="22.5" customHeight="1" x14ac:dyDescent="0.2">
      <c r="A763" s="34"/>
      <c r="B763" s="37"/>
      <c r="C763" s="9"/>
      <c r="D763" s="537" t="s">
        <v>317</v>
      </c>
      <c r="E763" s="125">
        <v>340884</v>
      </c>
      <c r="F763" s="519">
        <f>SUM(F764:F766)</f>
        <v>18666</v>
      </c>
      <c r="G763" s="519">
        <f>SUM(G764:G766)</f>
        <v>0</v>
      </c>
      <c r="H763" s="125">
        <f>SUM(E763+F763-G763)</f>
        <v>359550</v>
      </c>
    </row>
    <row r="764" spans="1:8" s="18" customFormat="1" ht="21" customHeight="1" x14ac:dyDescent="0.2">
      <c r="A764" s="34"/>
      <c r="B764" s="37"/>
      <c r="C764" s="53">
        <v>3290</v>
      </c>
      <c r="D764" s="54" t="s">
        <v>275</v>
      </c>
      <c r="E764" s="43">
        <v>334200</v>
      </c>
      <c r="F764" s="42">
        <v>18300</v>
      </c>
      <c r="G764" s="42"/>
      <c r="H764" s="42">
        <f>SUM(E764+F764-G764)</f>
        <v>352500</v>
      </c>
    </row>
    <row r="765" spans="1:8" s="18" customFormat="1" ht="22.5" customHeight="1" x14ac:dyDescent="0.2">
      <c r="A765" s="34"/>
      <c r="B765" s="37"/>
      <c r="C765" s="53">
        <v>4740</v>
      </c>
      <c r="D765" s="54" t="s">
        <v>221</v>
      </c>
      <c r="E765" s="44">
        <v>5558</v>
      </c>
      <c r="F765" s="42">
        <v>305</v>
      </c>
      <c r="G765" s="42"/>
      <c r="H765" s="42">
        <f t="shared" ref="H765:H766" si="128">SUM(E765+F765-G765)</f>
        <v>5863</v>
      </c>
    </row>
    <row r="766" spans="1:8" s="18" customFormat="1" ht="21" customHeight="1" x14ac:dyDescent="0.2">
      <c r="A766" s="34"/>
      <c r="B766" s="37"/>
      <c r="C766" s="53">
        <v>4850</v>
      </c>
      <c r="D766" s="54" t="s">
        <v>223</v>
      </c>
      <c r="E766" s="44">
        <v>1126</v>
      </c>
      <c r="F766" s="42">
        <v>61</v>
      </c>
      <c r="G766" s="42"/>
      <c r="H766" s="42">
        <f t="shared" si="128"/>
        <v>1187</v>
      </c>
    </row>
    <row r="767" spans="1:8" s="18" customFormat="1" ht="12" customHeight="1" thickBot="1" x14ac:dyDescent="0.25">
      <c r="A767" s="33">
        <v>855</v>
      </c>
      <c r="B767" s="33"/>
      <c r="C767" s="34"/>
      <c r="D767" s="35" t="s">
        <v>119</v>
      </c>
      <c r="E767" s="36">
        <v>75227816</v>
      </c>
      <c r="F767" s="31">
        <f>SUM(F768,F774,F780,F786)</f>
        <v>3258003</v>
      </c>
      <c r="G767" s="31">
        <f>SUM(G768,G774,G780,G786)</f>
        <v>4300</v>
      </c>
      <c r="H767" s="31">
        <f t="shared" si="125"/>
        <v>78481519</v>
      </c>
    </row>
    <row r="768" spans="1:8" s="18" customFormat="1" ht="12" customHeight="1" thickTop="1" x14ac:dyDescent="0.2">
      <c r="A768" s="33"/>
      <c r="B768" s="45">
        <v>85501</v>
      </c>
      <c r="C768" s="56"/>
      <c r="D768" s="98" t="s">
        <v>137</v>
      </c>
      <c r="E768" s="40">
        <v>36808041</v>
      </c>
      <c r="F768" s="40">
        <f t="shared" ref="F768:G768" si="129">SUM(F769)</f>
        <v>25083</v>
      </c>
      <c r="G768" s="40">
        <f t="shared" si="129"/>
        <v>0</v>
      </c>
      <c r="H768" s="39">
        <f t="shared" si="125"/>
        <v>36833124</v>
      </c>
    </row>
    <row r="769" spans="1:8" s="18" customFormat="1" ht="12" customHeight="1" x14ac:dyDescent="0.2">
      <c r="A769" s="33"/>
      <c r="B769" s="37"/>
      <c r="C769" s="27"/>
      <c r="D769" s="518" t="s">
        <v>263</v>
      </c>
      <c r="E769" s="527">
        <v>36808041</v>
      </c>
      <c r="F769" s="527">
        <f>SUM(F770:F771)</f>
        <v>25083</v>
      </c>
      <c r="G769" s="527">
        <f>SUM(G770:G771)</f>
        <v>0</v>
      </c>
      <c r="H769" s="524">
        <f t="shared" si="125"/>
        <v>36833124</v>
      </c>
    </row>
    <row r="770" spans="1:8" s="18" customFormat="1" ht="12" customHeight="1" x14ac:dyDescent="0.2">
      <c r="A770" s="33"/>
      <c r="B770" s="33"/>
      <c r="C770" s="45">
        <v>3110</v>
      </c>
      <c r="D770" s="41" t="s">
        <v>273</v>
      </c>
      <c r="E770" s="44">
        <v>36687757</v>
      </c>
      <c r="F770" s="48">
        <v>24372</v>
      </c>
      <c r="G770" s="48"/>
      <c r="H770" s="42">
        <f t="shared" si="125"/>
        <v>36712129</v>
      </c>
    </row>
    <row r="771" spans="1:8" s="18" customFormat="1" ht="12" customHeight="1" x14ac:dyDescent="0.2">
      <c r="A771" s="33"/>
      <c r="B771" s="33"/>
      <c r="C771" s="45">
        <v>4010</v>
      </c>
      <c r="D771" s="41" t="s">
        <v>214</v>
      </c>
      <c r="E771" s="44">
        <v>58820</v>
      </c>
      <c r="F771" s="48">
        <v>711</v>
      </c>
      <c r="G771" s="48"/>
      <c r="H771" s="42">
        <f t="shared" si="125"/>
        <v>59531</v>
      </c>
    </row>
    <row r="772" spans="1:8" s="18" customFormat="1" ht="12" customHeight="1" x14ac:dyDescent="0.2">
      <c r="A772" s="33"/>
      <c r="B772" s="10">
        <v>85502</v>
      </c>
      <c r="C772" s="9"/>
      <c r="D772" s="57" t="s">
        <v>139</v>
      </c>
      <c r="E772" s="44"/>
      <c r="F772" s="44"/>
      <c r="G772" s="141"/>
      <c r="H772" s="42"/>
    </row>
    <row r="773" spans="1:8" s="18" customFormat="1" ht="12" customHeight="1" x14ac:dyDescent="0.2">
      <c r="A773" s="33"/>
      <c r="B773" s="10"/>
      <c r="C773" s="9"/>
      <c r="D773" s="57" t="s">
        <v>140</v>
      </c>
      <c r="E773" s="44"/>
      <c r="F773" s="44"/>
      <c r="G773" s="141"/>
      <c r="H773" s="42"/>
    </row>
    <row r="774" spans="1:8" s="18" customFormat="1" ht="12" customHeight="1" x14ac:dyDescent="0.2">
      <c r="A774" s="33"/>
      <c r="B774" s="10"/>
      <c r="C774" s="9"/>
      <c r="D774" s="87" t="s">
        <v>141</v>
      </c>
      <c r="E774" s="40">
        <v>38036920</v>
      </c>
      <c r="F774" s="40">
        <f t="shared" ref="F774:G774" si="130">SUM(F775)</f>
        <v>3225599</v>
      </c>
      <c r="G774" s="40">
        <f t="shared" si="130"/>
        <v>3400</v>
      </c>
      <c r="H774" s="39">
        <f t="shared" ref="H774:H779" si="131">SUM(E774+F774-G774)</f>
        <v>41259119</v>
      </c>
    </row>
    <row r="775" spans="1:8" s="18" customFormat="1" ht="12" customHeight="1" x14ac:dyDescent="0.2">
      <c r="A775" s="33"/>
      <c r="B775" s="37"/>
      <c r="C775" s="27"/>
      <c r="D775" s="518" t="s">
        <v>263</v>
      </c>
      <c r="E775" s="527">
        <v>38036920</v>
      </c>
      <c r="F775" s="527">
        <f>SUM(F776:F779)</f>
        <v>3225599</v>
      </c>
      <c r="G775" s="527">
        <f>SUM(G776:G779)</f>
        <v>3400</v>
      </c>
      <c r="H775" s="524">
        <f t="shared" si="131"/>
        <v>41259119</v>
      </c>
    </row>
    <row r="776" spans="1:8" s="18" customFormat="1" ht="12" customHeight="1" x14ac:dyDescent="0.2">
      <c r="A776" s="33"/>
      <c r="B776" s="33"/>
      <c r="C776" s="45">
        <v>3110</v>
      </c>
      <c r="D776" s="41" t="s">
        <v>273</v>
      </c>
      <c r="E776" s="44">
        <v>33825418</v>
      </c>
      <c r="F776" s="48">
        <v>2831079</v>
      </c>
      <c r="G776" s="48"/>
      <c r="H776" s="42">
        <f t="shared" si="131"/>
        <v>36656497</v>
      </c>
    </row>
    <row r="777" spans="1:8" s="18" customFormat="1" ht="12" customHeight="1" x14ac:dyDescent="0.2">
      <c r="A777" s="33"/>
      <c r="B777" s="33"/>
      <c r="C777" s="45">
        <v>4010</v>
      </c>
      <c r="D777" s="41" t="s">
        <v>214</v>
      </c>
      <c r="E777" s="44">
        <v>814382</v>
      </c>
      <c r="F777" s="48">
        <v>80124</v>
      </c>
      <c r="G777" s="48"/>
      <c r="H777" s="42">
        <f t="shared" si="131"/>
        <v>894506</v>
      </c>
    </row>
    <row r="778" spans="1:8" s="18" customFormat="1" ht="12" customHeight="1" x14ac:dyDescent="0.2">
      <c r="A778" s="33"/>
      <c r="B778" s="33"/>
      <c r="C778" s="45">
        <v>4110</v>
      </c>
      <c r="D778" s="41" t="s">
        <v>29</v>
      </c>
      <c r="E778" s="44">
        <v>3269332</v>
      </c>
      <c r="F778" s="48">
        <v>314396</v>
      </c>
      <c r="G778" s="48"/>
      <c r="H778" s="42">
        <f t="shared" si="131"/>
        <v>3583728</v>
      </c>
    </row>
    <row r="779" spans="1:8" s="18" customFormat="1" ht="12" customHeight="1" x14ac:dyDescent="0.2">
      <c r="A779" s="33"/>
      <c r="B779" s="33"/>
      <c r="C779" s="45">
        <v>4120</v>
      </c>
      <c r="D779" s="41" t="s">
        <v>289</v>
      </c>
      <c r="E779" s="44">
        <v>21470</v>
      </c>
      <c r="F779" s="48"/>
      <c r="G779" s="48">
        <v>3400</v>
      </c>
      <c r="H779" s="42">
        <f t="shared" si="131"/>
        <v>18070</v>
      </c>
    </row>
    <row r="780" spans="1:8" s="18" customFormat="1" ht="12" customHeight="1" x14ac:dyDescent="0.2">
      <c r="A780" s="33"/>
      <c r="B780" s="45">
        <v>85503</v>
      </c>
      <c r="C780" s="37"/>
      <c r="D780" s="38" t="s">
        <v>142</v>
      </c>
      <c r="E780" s="111">
        <v>4180</v>
      </c>
      <c r="F780" s="40">
        <f t="shared" ref="F780:G780" si="132">SUM(F781)</f>
        <v>3040</v>
      </c>
      <c r="G780" s="40">
        <f t="shared" si="132"/>
        <v>900</v>
      </c>
      <c r="H780" s="39">
        <f t="shared" si="125"/>
        <v>6320</v>
      </c>
    </row>
    <row r="781" spans="1:8" s="18" customFormat="1" ht="12" customHeight="1" x14ac:dyDescent="0.2">
      <c r="A781" s="33"/>
      <c r="B781" s="37"/>
      <c r="C781" s="27"/>
      <c r="D781" s="533" t="s">
        <v>262</v>
      </c>
      <c r="E781" s="83">
        <v>4180</v>
      </c>
      <c r="F781" s="527">
        <f>SUM(F782:F783)</f>
        <v>3040</v>
      </c>
      <c r="G781" s="527">
        <f>SUM(G782:G783)</f>
        <v>900</v>
      </c>
      <c r="H781" s="524">
        <f t="shared" si="125"/>
        <v>6320</v>
      </c>
    </row>
    <row r="782" spans="1:8" s="18" customFormat="1" ht="12" customHeight="1" x14ac:dyDescent="0.2">
      <c r="A782" s="88"/>
      <c r="B782" s="88"/>
      <c r="C782" s="143">
        <v>4210</v>
      </c>
      <c r="D782" s="67" t="s">
        <v>13</v>
      </c>
      <c r="E782" s="82">
        <v>1780</v>
      </c>
      <c r="F782" s="111">
        <v>3040</v>
      </c>
      <c r="G782" s="111"/>
      <c r="H782" s="40">
        <f t="shared" si="125"/>
        <v>4820</v>
      </c>
    </row>
    <row r="783" spans="1:8" s="18" customFormat="1" ht="22.5" customHeight="1" x14ac:dyDescent="0.2">
      <c r="A783" s="33"/>
      <c r="B783" s="33"/>
      <c r="C783" s="53">
        <v>4700</v>
      </c>
      <c r="D783" s="117" t="s">
        <v>176</v>
      </c>
      <c r="E783" s="44">
        <v>900</v>
      </c>
      <c r="F783" s="48"/>
      <c r="G783" s="48">
        <v>900</v>
      </c>
      <c r="H783" s="42">
        <f t="shared" si="125"/>
        <v>0</v>
      </c>
    </row>
    <row r="784" spans="1:8" s="18" customFormat="1" ht="12" customHeight="1" x14ac:dyDescent="0.2">
      <c r="A784" s="33"/>
      <c r="B784" s="37">
        <v>85513</v>
      </c>
      <c r="C784" s="27"/>
      <c r="D784" s="10" t="s">
        <v>143</v>
      </c>
      <c r="E784" s="42"/>
      <c r="F784" s="42"/>
      <c r="G784" s="42"/>
      <c r="H784" s="42"/>
    </row>
    <row r="785" spans="1:8" s="18" customFormat="1" ht="12" customHeight="1" x14ac:dyDescent="0.2">
      <c r="A785" s="33"/>
      <c r="B785" s="66"/>
      <c r="C785" s="27"/>
      <c r="D785" s="85" t="s">
        <v>144</v>
      </c>
      <c r="E785" s="42"/>
      <c r="F785" s="42"/>
      <c r="G785" s="42"/>
      <c r="H785" s="42"/>
    </row>
    <row r="786" spans="1:8" s="18" customFormat="1" ht="12" customHeight="1" x14ac:dyDescent="0.2">
      <c r="A786" s="33"/>
      <c r="B786" s="37"/>
      <c r="C786" s="27"/>
      <c r="D786" s="38" t="s">
        <v>145</v>
      </c>
      <c r="E786" s="39">
        <v>378675</v>
      </c>
      <c r="F786" s="40">
        <f t="shared" ref="F786:G786" si="133">SUM(F787)</f>
        <v>4281</v>
      </c>
      <c r="G786" s="40">
        <f t="shared" si="133"/>
        <v>0</v>
      </c>
      <c r="H786" s="39">
        <f>SUM(E786+F786-G786)</f>
        <v>382956</v>
      </c>
    </row>
    <row r="787" spans="1:8" s="18" customFormat="1" ht="12" customHeight="1" x14ac:dyDescent="0.2">
      <c r="A787" s="33"/>
      <c r="B787" s="37"/>
      <c r="C787" s="27"/>
      <c r="D787" s="518" t="s">
        <v>263</v>
      </c>
      <c r="E787" s="125">
        <v>378675</v>
      </c>
      <c r="F787" s="519">
        <f>SUM(F788)</f>
        <v>4281</v>
      </c>
      <c r="G787" s="519">
        <f>SUM(G788)</f>
        <v>0</v>
      </c>
      <c r="H787" s="125">
        <f>SUM(E787+F787-G787)</f>
        <v>382956</v>
      </c>
    </row>
    <row r="788" spans="1:8" s="18" customFormat="1" ht="12" customHeight="1" x14ac:dyDescent="0.2">
      <c r="A788" s="33"/>
      <c r="B788" s="33"/>
      <c r="C788" s="45">
        <v>4130</v>
      </c>
      <c r="D788" s="41" t="s">
        <v>232</v>
      </c>
      <c r="E788" s="44">
        <v>378675</v>
      </c>
      <c r="F788" s="42">
        <v>4281</v>
      </c>
      <c r="G788" s="42"/>
      <c r="H788" s="44">
        <f>SUM(E788+F788-G788)</f>
        <v>382956</v>
      </c>
    </row>
    <row r="789" spans="1:8" s="18" customFormat="1" ht="18" customHeight="1" thickBot="1" x14ac:dyDescent="0.25">
      <c r="A789" s="142"/>
      <c r="B789" s="37"/>
      <c r="C789" s="45"/>
      <c r="D789" s="30" t="s">
        <v>34</v>
      </c>
      <c r="E789" s="31">
        <v>20531142.300000001</v>
      </c>
      <c r="F789" s="31">
        <f>SUM(F790,F794,F798,F815,F820,F832,F842,F848,F854,F866,F870)</f>
        <v>140179.82</v>
      </c>
      <c r="G789" s="31">
        <f>SUM(G790,G794,G798,G815,G820,G832,G842,G848,G854,G866,G870)</f>
        <v>145094.62</v>
      </c>
      <c r="H789" s="31">
        <f>SUM(E789+F789-G789)</f>
        <v>20526227.5</v>
      </c>
    </row>
    <row r="790" spans="1:8" s="18" customFormat="1" ht="19.899999999999999" customHeight="1" thickTop="1" thickBot="1" x14ac:dyDescent="0.25">
      <c r="A790" s="102" t="s">
        <v>147</v>
      </c>
      <c r="B790" s="74"/>
      <c r="C790" s="74"/>
      <c r="D790" s="103" t="s">
        <v>148</v>
      </c>
      <c r="E790" s="31">
        <v>20000</v>
      </c>
      <c r="F790" s="31">
        <f t="shared" ref="F790:G791" si="134">SUM(F791)</f>
        <v>5000</v>
      </c>
      <c r="G790" s="31">
        <f t="shared" si="134"/>
        <v>0</v>
      </c>
      <c r="H790" s="31">
        <f t="shared" ref="H790:H795" si="135">SUM(E790+F790-G790)</f>
        <v>25000</v>
      </c>
    </row>
    <row r="791" spans="1:8" s="18" customFormat="1" ht="12" customHeight="1" thickTop="1" x14ac:dyDescent="0.2">
      <c r="A791" s="144"/>
      <c r="B791" s="145" t="s">
        <v>149</v>
      </c>
      <c r="C791" s="105"/>
      <c r="D791" s="106" t="s">
        <v>318</v>
      </c>
      <c r="E791" s="111">
        <v>20000</v>
      </c>
      <c r="F791" s="40">
        <f t="shared" si="134"/>
        <v>5000</v>
      </c>
      <c r="G791" s="40">
        <f t="shared" si="134"/>
        <v>0</v>
      </c>
      <c r="H791" s="39">
        <f t="shared" si="135"/>
        <v>25000</v>
      </c>
    </row>
    <row r="792" spans="1:8" s="18" customFormat="1" ht="12" customHeight="1" x14ac:dyDescent="0.2">
      <c r="A792" s="22"/>
      <c r="B792" s="33"/>
      <c r="C792" s="27"/>
      <c r="D792" s="531" t="s">
        <v>319</v>
      </c>
      <c r="E792" s="83">
        <v>20000</v>
      </c>
      <c r="F792" s="527">
        <f>SUM(F793:F793)</f>
        <v>5000</v>
      </c>
      <c r="G792" s="527">
        <f>SUM(G793:G793)</f>
        <v>0</v>
      </c>
      <c r="H792" s="524">
        <f t="shared" si="135"/>
        <v>25000</v>
      </c>
    </row>
    <row r="793" spans="1:8" s="18" customFormat="1" ht="12" customHeight="1" x14ac:dyDescent="0.2">
      <c r="A793" s="32"/>
      <c r="B793" s="37"/>
      <c r="C793" s="45">
        <v>4300</v>
      </c>
      <c r="D793" s="41" t="s">
        <v>14</v>
      </c>
      <c r="E793" s="48">
        <v>20000</v>
      </c>
      <c r="F793" s="48">
        <v>5000</v>
      </c>
      <c r="G793" s="48"/>
      <c r="H793" s="42">
        <f t="shared" si="135"/>
        <v>25000</v>
      </c>
    </row>
    <row r="794" spans="1:8" s="18" customFormat="1" ht="12" customHeight="1" thickBot="1" x14ac:dyDescent="0.25">
      <c r="A794" s="33">
        <v>700</v>
      </c>
      <c r="B794" s="33"/>
      <c r="C794" s="34"/>
      <c r="D794" s="35" t="s">
        <v>17</v>
      </c>
      <c r="E794" s="31">
        <v>433655.8</v>
      </c>
      <c r="F794" s="36">
        <f t="shared" ref="F794:G794" si="136">SUM(F795)</f>
        <v>0</v>
      </c>
      <c r="G794" s="36">
        <f t="shared" si="136"/>
        <v>20181.8</v>
      </c>
      <c r="H794" s="31">
        <f t="shared" si="135"/>
        <v>413474</v>
      </c>
    </row>
    <row r="795" spans="1:8" s="18" customFormat="1" ht="12" customHeight="1" thickTop="1" x14ac:dyDescent="0.2">
      <c r="A795" s="33"/>
      <c r="B795" s="37">
        <v>70005</v>
      </c>
      <c r="C795" s="27"/>
      <c r="D795" s="38" t="s">
        <v>35</v>
      </c>
      <c r="E795" s="39">
        <v>433655.8</v>
      </c>
      <c r="F795" s="40">
        <f>SUM(F796)</f>
        <v>0</v>
      </c>
      <c r="G795" s="40">
        <f>SUM(G796)</f>
        <v>20181.8</v>
      </c>
      <c r="H795" s="39">
        <f t="shared" si="135"/>
        <v>413474</v>
      </c>
    </row>
    <row r="796" spans="1:8" s="18" customFormat="1" ht="12" customHeight="1" x14ac:dyDescent="0.2">
      <c r="A796" s="33"/>
      <c r="B796" s="37"/>
      <c r="C796" s="27"/>
      <c r="D796" s="534" t="s">
        <v>36</v>
      </c>
      <c r="E796" s="524">
        <v>271855.8</v>
      </c>
      <c r="F796" s="519">
        <f>SUM(F797:F797)</f>
        <v>0</v>
      </c>
      <c r="G796" s="519">
        <f>SUM(G797:G797)</f>
        <v>20181.8</v>
      </c>
      <c r="H796" s="125">
        <f>SUM(E796+F796-G796)</f>
        <v>251674</v>
      </c>
    </row>
    <row r="797" spans="1:8" s="18" customFormat="1" ht="21.6" customHeight="1" x14ac:dyDescent="0.2">
      <c r="A797" s="33"/>
      <c r="B797" s="37"/>
      <c r="C797" s="53">
        <v>4390</v>
      </c>
      <c r="D797" s="69" t="s">
        <v>23</v>
      </c>
      <c r="E797" s="48">
        <v>28855.8</v>
      </c>
      <c r="F797" s="44"/>
      <c r="G797" s="44">
        <v>20181.8</v>
      </c>
      <c r="H797" s="42">
        <f t="shared" ref="H797:H869" si="137">SUM(E797+F797-G797)</f>
        <v>8674</v>
      </c>
    </row>
    <row r="798" spans="1:8" s="18" customFormat="1" ht="12" customHeight="1" thickBot="1" x14ac:dyDescent="0.25">
      <c r="A798" s="34" t="s">
        <v>152</v>
      </c>
      <c r="B798" s="33"/>
      <c r="C798" s="34"/>
      <c r="D798" s="35" t="s">
        <v>153</v>
      </c>
      <c r="E798" s="31">
        <v>1032677</v>
      </c>
      <c r="F798" s="31">
        <f>SUM(F799,F802)</f>
        <v>13519</v>
      </c>
      <c r="G798" s="31">
        <f>SUM(G799,G802)</f>
        <v>48980.82</v>
      </c>
      <c r="H798" s="31">
        <f t="shared" si="137"/>
        <v>997215.18</v>
      </c>
    </row>
    <row r="799" spans="1:8" s="18" customFormat="1" ht="12" customHeight="1" thickTop="1" x14ac:dyDescent="0.2">
      <c r="A799" s="34"/>
      <c r="B799" s="37">
        <v>71012</v>
      </c>
      <c r="C799" s="45"/>
      <c r="D799" s="38" t="s">
        <v>154</v>
      </c>
      <c r="E799" s="111">
        <v>339577</v>
      </c>
      <c r="F799" s="40">
        <f>SUM(F800)</f>
        <v>0</v>
      </c>
      <c r="G799" s="40">
        <f>SUM(G800)</f>
        <v>35461.82</v>
      </c>
      <c r="H799" s="39">
        <f t="shared" si="137"/>
        <v>304115.18</v>
      </c>
    </row>
    <row r="800" spans="1:8" s="18" customFormat="1" ht="12" customHeight="1" x14ac:dyDescent="0.2">
      <c r="A800" s="34"/>
      <c r="B800" s="37"/>
      <c r="C800" s="27"/>
      <c r="D800" s="538" t="s">
        <v>319</v>
      </c>
      <c r="E800" s="524">
        <v>57500</v>
      </c>
      <c r="F800" s="519">
        <f>SUM(F801)</f>
        <v>0</v>
      </c>
      <c r="G800" s="519">
        <f>SUM(G801)</f>
        <v>35461.82</v>
      </c>
      <c r="H800" s="125">
        <f>SUM(E800+F800-G800)</f>
        <v>22038.18</v>
      </c>
    </row>
    <row r="801" spans="1:8" s="18" customFormat="1" ht="12" customHeight="1" x14ac:dyDescent="0.2">
      <c r="A801" s="34"/>
      <c r="B801" s="37"/>
      <c r="C801" s="46">
        <v>4300</v>
      </c>
      <c r="D801" s="10" t="s">
        <v>315</v>
      </c>
      <c r="E801" s="48">
        <v>55000</v>
      </c>
      <c r="F801" s="44"/>
      <c r="G801" s="44">
        <v>35461.82</v>
      </c>
      <c r="H801" s="42">
        <f t="shared" ref="H801:H818" si="138">SUM(E801+F801-G801)</f>
        <v>19538.18</v>
      </c>
    </row>
    <row r="802" spans="1:8" s="18" customFormat="1" ht="12" customHeight="1" x14ac:dyDescent="0.2">
      <c r="A802" s="32"/>
      <c r="B802" s="37">
        <v>71015</v>
      </c>
      <c r="C802" s="45"/>
      <c r="D802" s="38" t="s">
        <v>320</v>
      </c>
      <c r="E802" s="111">
        <v>693100</v>
      </c>
      <c r="F802" s="40">
        <f>SUM(F804)</f>
        <v>13519</v>
      </c>
      <c r="G802" s="40">
        <f>SUM(G804)</f>
        <v>13519</v>
      </c>
      <c r="H802" s="39">
        <f t="shared" si="138"/>
        <v>693100</v>
      </c>
    </row>
    <row r="803" spans="1:8" s="18" customFormat="1" ht="12" customHeight="1" x14ac:dyDescent="0.2">
      <c r="A803" s="32"/>
      <c r="B803" s="37"/>
      <c r="C803" s="45"/>
      <c r="D803" s="11" t="s">
        <v>321</v>
      </c>
      <c r="E803" s="48"/>
      <c r="F803" s="42"/>
      <c r="G803" s="42"/>
      <c r="H803" s="43"/>
    </row>
    <row r="804" spans="1:8" s="18" customFormat="1" ht="12" customHeight="1" x14ac:dyDescent="0.2">
      <c r="A804" s="32"/>
      <c r="B804" s="37"/>
      <c r="C804" s="27"/>
      <c r="D804" s="531" t="s">
        <v>322</v>
      </c>
      <c r="E804" s="125">
        <v>693100</v>
      </c>
      <c r="F804" s="527">
        <f>SUM(F805:F814)</f>
        <v>13519</v>
      </c>
      <c r="G804" s="527">
        <f>SUM(G805:G814)</f>
        <v>13519</v>
      </c>
      <c r="H804" s="524">
        <f t="shared" si="138"/>
        <v>693100</v>
      </c>
    </row>
    <row r="805" spans="1:8" s="18" customFormat="1" ht="12" customHeight="1" x14ac:dyDescent="0.2">
      <c r="A805" s="47"/>
      <c r="B805" s="37"/>
      <c r="C805" s="45">
        <v>4020</v>
      </c>
      <c r="D805" s="41" t="s">
        <v>323</v>
      </c>
      <c r="E805" s="48">
        <v>372819</v>
      </c>
      <c r="F805" s="48">
        <v>1019</v>
      </c>
      <c r="G805" s="48"/>
      <c r="H805" s="42">
        <f t="shared" si="138"/>
        <v>373838</v>
      </c>
    </row>
    <row r="806" spans="1:8" s="18" customFormat="1" ht="12" customHeight="1" x14ac:dyDescent="0.2">
      <c r="A806" s="47"/>
      <c r="B806" s="37"/>
      <c r="C806" s="45">
        <v>4110</v>
      </c>
      <c r="D806" s="41" t="s">
        <v>29</v>
      </c>
      <c r="E806" s="48">
        <v>90892</v>
      </c>
      <c r="F806" s="48"/>
      <c r="G806" s="48">
        <v>615</v>
      </c>
      <c r="H806" s="42">
        <f t="shared" si="138"/>
        <v>90277</v>
      </c>
    </row>
    <row r="807" spans="1:8" s="18" customFormat="1" ht="12" customHeight="1" x14ac:dyDescent="0.2">
      <c r="A807" s="47"/>
      <c r="B807" s="37"/>
      <c r="C807" s="45">
        <v>4120</v>
      </c>
      <c r="D807" s="41" t="s">
        <v>289</v>
      </c>
      <c r="E807" s="48">
        <v>7076</v>
      </c>
      <c r="F807" s="48"/>
      <c r="G807" s="48">
        <v>404</v>
      </c>
      <c r="H807" s="42">
        <f t="shared" si="138"/>
        <v>6672</v>
      </c>
    </row>
    <row r="808" spans="1:8" s="18" customFormat="1" ht="12" customHeight="1" x14ac:dyDescent="0.2">
      <c r="A808" s="47"/>
      <c r="B808" s="37"/>
      <c r="C808" s="9" t="s">
        <v>170</v>
      </c>
      <c r="D808" s="11" t="s">
        <v>13</v>
      </c>
      <c r="E808" s="48">
        <v>18079</v>
      </c>
      <c r="F808" s="48"/>
      <c r="G808" s="48">
        <v>5000</v>
      </c>
      <c r="H808" s="42">
        <f t="shared" si="138"/>
        <v>13079</v>
      </c>
    </row>
    <row r="809" spans="1:8" s="18" customFormat="1" ht="12" customHeight="1" x14ac:dyDescent="0.2">
      <c r="A809" s="47"/>
      <c r="B809" s="37"/>
      <c r="C809" s="45">
        <v>4280</v>
      </c>
      <c r="D809" s="41" t="s">
        <v>216</v>
      </c>
      <c r="E809" s="48">
        <v>400</v>
      </c>
      <c r="F809" s="48"/>
      <c r="G809" s="48">
        <v>400</v>
      </c>
      <c r="H809" s="42">
        <f t="shared" si="138"/>
        <v>0</v>
      </c>
    </row>
    <row r="810" spans="1:8" s="18" customFormat="1" ht="12" customHeight="1" x14ac:dyDescent="0.2">
      <c r="A810" s="47"/>
      <c r="B810" s="37"/>
      <c r="C810" s="45">
        <v>4300</v>
      </c>
      <c r="D810" s="41" t="s">
        <v>14</v>
      </c>
      <c r="E810" s="48">
        <v>31400</v>
      </c>
      <c r="F810" s="48">
        <f>7500+5000</f>
        <v>12500</v>
      </c>
      <c r="G810" s="48"/>
      <c r="H810" s="42">
        <f t="shared" si="138"/>
        <v>43900</v>
      </c>
    </row>
    <row r="811" spans="1:8" s="18" customFormat="1" ht="21.75" customHeight="1" x14ac:dyDescent="0.2">
      <c r="A811" s="47"/>
      <c r="B811" s="37"/>
      <c r="C811" s="53">
        <v>4390</v>
      </c>
      <c r="D811" s="69" t="s">
        <v>23</v>
      </c>
      <c r="E811" s="44">
        <v>1100</v>
      </c>
      <c r="F811" s="48"/>
      <c r="G811" s="48">
        <v>1100</v>
      </c>
      <c r="H811" s="42">
        <f t="shared" si="138"/>
        <v>0</v>
      </c>
    </row>
    <row r="812" spans="1:8" s="18" customFormat="1" ht="12" customHeight="1" x14ac:dyDescent="0.2">
      <c r="A812" s="47"/>
      <c r="B812" s="37"/>
      <c r="C812" s="37">
        <v>4550</v>
      </c>
      <c r="D812" s="41" t="s">
        <v>324</v>
      </c>
      <c r="E812" s="48">
        <v>1000</v>
      </c>
      <c r="F812" s="48"/>
      <c r="G812" s="48">
        <v>1000</v>
      </c>
      <c r="H812" s="42">
        <f t="shared" si="138"/>
        <v>0</v>
      </c>
    </row>
    <row r="813" spans="1:8" s="18" customFormat="1" ht="12" customHeight="1" x14ac:dyDescent="0.2">
      <c r="A813" s="47"/>
      <c r="B813" s="37"/>
      <c r="C813" s="53">
        <v>4610</v>
      </c>
      <c r="D813" s="116" t="s">
        <v>20</v>
      </c>
      <c r="E813" s="48">
        <v>200</v>
      </c>
      <c r="F813" s="48"/>
      <c r="G813" s="48">
        <v>200</v>
      </c>
      <c r="H813" s="42">
        <f t="shared" si="138"/>
        <v>0</v>
      </c>
    </row>
    <row r="814" spans="1:8" s="18" customFormat="1" ht="12" customHeight="1" x14ac:dyDescent="0.2">
      <c r="A814" s="47"/>
      <c r="B814" s="37"/>
      <c r="C814" s="45">
        <v>4710</v>
      </c>
      <c r="D814" s="11" t="s">
        <v>33</v>
      </c>
      <c r="E814" s="48">
        <v>4800</v>
      </c>
      <c r="F814" s="48"/>
      <c r="G814" s="48">
        <v>4800</v>
      </c>
      <c r="H814" s="42">
        <f t="shared" si="138"/>
        <v>0</v>
      </c>
    </row>
    <row r="815" spans="1:8" s="18" customFormat="1" ht="12" customHeight="1" thickBot="1" x14ac:dyDescent="0.25">
      <c r="A815" s="19">
        <v>752</v>
      </c>
      <c r="B815" s="19"/>
      <c r="C815" s="146"/>
      <c r="D815" s="147" t="s">
        <v>155</v>
      </c>
      <c r="E815" s="31">
        <v>6000</v>
      </c>
      <c r="F815" s="31">
        <f>SUM(F816)</f>
        <v>0</v>
      </c>
      <c r="G815" s="31">
        <f>SUM(G816)</f>
        <v>2094</v>
      </c>
      <c r="H815" s="31">
        <f t="shared" si="138"/>
        <v>3906</v>
      </c>
    </row>
    <row r="816" spans="1:8" s="18" customFormat="1" ht="12" customHeight="1" thickTop="1" x14ac:dyDescent="0.2">
      <c r="A816" s="19"/>
      <c r="B816" s="75">
        <v>75212</v>
      </c>
      <c r="C816" s="20"/>
      <c r="D816" s="148" t="s">
        <v>156</v>
      </c>
      <c r="E816" s="111">
        <v>6000</v>
      </c>
      <c r="F816" s="40">
        <f>SUM(F817)</f>
        <v>0</v>
      </c>
      <c r="G816" s="40">
        <f>SUM(G817)</f>
        <v>2094</v>
      </c>
      <c r="H816" s="39">
        <f t="shared" si="138"/>
        <v>3906</v>
      </c>
    </row>
    <row r="817" spans="1:8" s="18" customFormat="1" ht="12" customHeight="1" x14ac:dyDescent="0.2">
      <c r="A817" s="19"/>
      <c r="B817" s="75"/>
      <c r="C817" s="81"/>
      <c r="D817" s="539" t="s">
        <v>83</v>
      </c>
      <c r="E817" s="83">
        <v>6000</v>
      </c>
      <c r="F817" s="527">
        <f>SUM(F818:F818)</f>
        <v>0</v>
      </c>
      <c r="G817" s="527">
        <f>SUM(G818:G818)</f>
        <v>2094</v>
      </c>
      <c r="H817" s="524">
        <f t="shared" si="138"/>
        <v>3906</v>
      </c>
    </row>
    <row r="818" spans="1:8" s="18" customFormat="1" ht="22.5" customHeight="1" x14ac:dyDescent="0.2">
      <c r="A818" s="33"/>
      <c r="B818" s="45"/>
      <c r="C818" s="53">
        <v>4700</v>
      </c>
      <c r="D818" s="117" t="s">
        <v>176</v>
      </c>
      <c r="E818" s="44">
        <v>6000</v>
      </c>
      <c r="F818" s="44"/>
      <c r="G818" s="44">
        <v>2094</v>
      </c>
      <c r="H818" s="42">
        <f t="shared" si="138"/>
        <v>3906</v>
      </c>
    </row>
    <row r="819" spans="1:8" s="18" customFormat="1" ht="12" customHeight="1" x14ac:dyDescent="0.2">
      <c r="A819" s="32">
        <v>754</v>
      </c>
      <c r="B819" s="33"/>
      <c r="C819" s="34"/>
      <c r="D819" s="33" t="s">
        <v>204</v>
      </c>
      <c r="E819" s="44"/>
      <c r="F819" s="48"/>
      <c r="G819" s="48"/>
      <c r="H819" s="48"/>
    </row>
    <row r="820" spans="1:8" s="18" customFormat="1" ht="12" customHeight="1" thickBot="1" x14ac:dyDescent="0.25">
      <c r="A820" s="149"/>
      <c r="B820" s="33"/>
      <c r="C820" s="34"/>
      <c r="D820" s="33" t="s">
        <v>80</v>
      </c>
      <c r="E820" s="36">
        <v>17071707</v>
      </c>
      <c r="F820" s="31">
        <f>SUM(F821)</f>
        <v>71811</v>
      </c>
      <c r="G820" s="31">
        <f>SUM(G821)</f>
        <v>60854</v>
      </c>
      <c r="H820" s="31">
        <f>SUM(E820+F820-G820)</f>
        <v>17082664</v>
      </c>
    </row>
    <row r="821" spans="1:8" s="18" customFormat="1" ht="12" customHeight="1" thickTop="1" x14ac:dyDescent="0.2">
      <c r="A821" s="149"/>
      <c r="B821" s="37">
        <v>75411</v>
      </c>
      <c r="C821" s="45"/>
      <c r="D821" s="113" t="s">
        <v>325</v>
      </c>
      <c r="E821" s="40">
        <v>17071707</v>
      </c>
      <c r="F821" s="40">
        <f>SUM(F822)</f>
        <v>71811</v>
      </c>
      <c r="G821" s="40">
        <f>SUM(G822)</f>
        <v>60854</v>
      </c>
      <c r="H821" s="39">
        <f>SUM(E821+F821-G821)</f>
        <v>17082664</v>
      </c>
    </row>
    <row r="822" spans="1:8" s="18" customFormat="1" ht="12" customHeight="1" x14ac:dyDescent="0.2">
      <c r="A822" s="32"/>
      <c r="B822" s="37"/>
      <c r="C822" s="45"/>
      <c r="D822" s="525" t="s">
        <v>326</v>
      </c>
      <c r="E822" s="527">
        <v>17071707</v>
      </c>
      <c r="F822" s="527">
        <f>SUM(F823:F831)</f>
        <v>71811</v>
      </c>
      <c r="G822" s="527">
        <f>SUM(G823:G831)</f>
        <v>60854</v>
      </c>
      <c r="H822" s="524">
        <f>SUM(E822+F822-G822)</f>
        <v>17082664</v>
      </c>
    </row>
    <row r="823" spans="1:8" s="18" customFormat="1" ht="23.25" customHeight="1" x14ac:dyDescent="0.2">
      <c r="A823" s="47"/>
      <c r="B823" s="10"/>
      <c r="C823" s="53">
        <v>3070</v>
      </c>
      <c r="D823" s="54" t="s">
        <v>327</v>
      </c>
      <c r="E823" s="42">
        <v>489491</v>
      </c>
      <c r="F823" s="42">
        <v>20000</v>
      </c>
      <c r="G823" s="42"/>
      <c r="H823" s="42">
        <f t="shared" ref="H823:H831" si="139">SUM(E823+F823-G823)</f>
        <v>509491</v>
      </c>
    </row>
    <row r="824" spans="1:8" s="18" customFormat="1" ht="12" customHeight="1" x14ac:dyDescent="0.2">
      <c r="A824" s="47"/>
      <c r="B824" s="10"/>
      <c r="C824" s="45">
        <v>4010</v>
      </c>
      <c r="D824" s="41" t="s">
        <v>214</v>
      </c>
      <c r="E824" s="42">
        <v>101589</v>
      </c>
      <c r="F824" s="42">
        <v>2000</v>
      </c>
      <c r="G824" s="42"/>
      <c r="H824" s="42">
        <f t="shared" si="139"/>
        <v>103589</v>
      </c>
    </row>
    <row r="825" spans="1:8" s="18" customFormat="1" ht="12" customHeight="1" x14ac:dyDescent="0.2">
      <c r="A825" s="47"/>
      <c r="B825" s="10"/>
      <c r="C825" s="53">
        <v>4020</v>
      </c>
      <c r="D825" s="123" t="s">
        <v>323</v>
      </c>
      <c r="E825" s="42">
        <v>101250</v>
      </c>
      <c r="F825" s="42">
        <v>1000</v>
      </c>
      <c r="G825" s="42">
        <f>2737+25749</f>
        <v>28486</v>
      </c>
      <c r="H825" s="42">
        <f t="shared" si="139"/>
        <v>73764</v>
      </c>
    </row>
    <row r="826" spans="1:8" s="18" customFormat="1" ht="20.45" customHeight="1" x14ac:dyDescent="0.2">
      <c r="A826" s="47"/>
      <c r="B826" s="10"/>
      <c r="C826" s="53">
        <v>4060</v>
      </c>
      <c r="D826" s="150" t="s">
        <v>328</v>
      </c>
      <c r="E826" s="42">
        <v>575215</v>
      </c>
      <c r="F826" s="42">
        <v>4000</v>
      </c>
      <c r="G826" s="42"/>
      <c r="H826" s="42">
        <f t="shared" si="139"/>
        <v>579215</v>
      </c>
    </row>
    <row r="827" spans="1:8" s="18" customFormat="1" ht="12" customHeight="1" x14ac:dyDescent="0.2">
      <c r="A827" s="47"/>
      <c r="B827" s="10"/>
      <c r="C827" s="45">
        <v>4110</v>
      </c>
      <c r="D827" s="41" t="s">
        <v>29</v>
      </c>
      <c r="E827" s="42">
        <v>34920</v>
      </c>
      <c r="F827" s="42">
        <v>8000</v>
      </c>
      <c r="G827" s="42">
        <v>490</v>
      </c>
      <c r="H827" s="42">
        <f t="shared" si="139"/>
        <v>42430</v>
      </c>
    </row>
    <row r="828" spans="1:8" s="18" customFormat="1" ht="12" customHeight="1" x14ac:dyDescent="0.2">
      <c r="A828" s="47"/>
      <c r="B828" s="10"/>
      <c r="C828" s="45">
        <v>4120</v>
      </c>
      <c r="D828" s="41" t="s">
        <v>289</v>
      </c>
      <c r="E828" s="42">
        <v>5174</v>
      </c>
      <c r="F828" s="42"/>
      <c r="G828" s="42">
        <v>67</v>
      </c>
      <c r="H828" s="42">
        <f t="shared" si="139"/>
        <v>5107</v>
      </c>
    </row>
    <row r="829" spans="1:8" s="18" customFormat="1" ht="19.899999999999999" customHeight="1" x14ac:dyDescent="0.2">
      <c r="A829" s="47"/>
      <c r="B829" s="10"/>
      <c r="C829" s="121">
        <v>4180</v>
      </c>
      <c r="D829" s="151" t="s">
        <v>329</v>
      </c>
      <c r="E829" s="42">
        <v>2858835</v>
      </c>
      <c r="F829" s="42"/>
      <c r="G829" s="42">
        <v>18000</v>
      </c>
      <c r="H829" s="42">
        <f t="shared" si="139"/>
        <v>2840835</v>
      </c>
    </row>
    <row r="830" spans="1:8" s="18" customFormat="1" ht="12" customHeight="1" x14ac:dyDescent="0.2">
      <c r="A830" s="47"/>
      <c r="B830" s="10"/>
      <c r="C830" s="9" t="s">
        <v>170</v>
      </c>
      <c r="D830" s="11" t="s">
        <v>13</v>
      </c>
      <c r="E830" s="42">
        <v>358323</v>
      </c>
      <c r="F830" s="42">
        <v>33000</v>
      </c>
      <c r="G830" s="42">
        <v>13811</v>
      </c>
      <c r="H830" s="42">
        <f t="shared" si="139"/>
        <v>377512</v>
      </c>
    </row>
    <row r="831" spans="1:8" s="18" customFormat="1" ht="12" customHeight="1" x14ac:dyDescent="0.2">
      <c r="A831" s="47"/>
      <c r="B831" s="10"/>
      <c r="C831" s="53">
        <v>4480</v>
      </c>
      <c r="D831" s="115" t="s">
        <v>177</v>
      </c>
      <c r="E831" s="42">
        <v>48092</v>
      </c>
      <c r="F831" s="42">
        <v>3811</v>
      </c>
      <c r="G831" s="42"/>
      <c r="H831" s="42">
        <f t="shared" si="139"/>
        <v>51903</v>
      </c>
    </row>
    <row r="832" spans="1:8" s="18" customFormat="1" ht="12" customHeight="1" thickBot="1" x14ac:dyDescent="0.25">
      <c r="A832" s="33">
        <v>755</v>
      </c>
      <c r="B832" s="33"/>
      <c r="C832" s="34"/>
      <c r="D832" s="35" t="s">
        <v>330</v>
      </c>
      <c r="E832" s="31">
        <v>264000</v>
      </c>
      <c r="F832" s="36">
        <f>SUM(F833)</f>
        <v>2424</v>
      </c>
      <c r="G832" s="36">
        <f>SUM(G833)</f>
        <v>2424</v>
      </c>
      <c r="H832" s="31">
        <f>SUM(E832+F832-G832)</f>
        <v>264000</v>
      </c>
    </row>
    <row r="833" spans="1:8" s="18" customFormat="1" ht="12" customHeight="1" thickTop="1" x14ac:dyDescent="0.2">
      <c r="A833" s="139"/>
      <c r="B833" s="45">
        <v>75515</v>
      </c>
      <c r="C833" s="74"/>
      <c r="D833" s="93" t="s">
        <v>331</v>
      </c>
      <c r="E833" s="39">
        <v>264000</v>
      </c>
      <c r="F833" s="40">
        <f>SUM(F834)</f>
        <v>2424</v>
      </c>
      <c r="G833" s="40">
        <f>SUM(G834)</f>
        <v>2424</v>
      </c>
      <c r="H833" s="39">
        <f>SUM(E833+F833-G833)</f>
        <v>264000</v>
      </c>
    </row>
    <row r="834" spans="1:8" s="18" customFormat="1" ht="12" customHeight="1" x14ac:dyDescent="0.2">
      <c r="A834" s="19"/>
      <c r="B834" s="74"/>
      <c r="C834" s="45"/>
      <c r="D834" s="533" t="s">
        <v>262</v>
      </c>
      <c r="E834" s="524">
        <v>264000</v>
      </c>
      <c r="F834" s="524">
        <f>SUM(F835:F841)</f>
        <v>2424</v>
      </c>
      <c r="G834" s="524">
        <f>SUM(G835:G841)</f>
        <v>2424</v>
      </c>
      <c r="H834" s="125">
        <f>SUM(E834+F834-G834)</f>
        <v>264000</v>
      </c>
    </row>
    <row r="835" spans="1:8" s="18" customFormat="1" ht="12" customHeight="1" x14ac:dyDescent="0.2">
      <c r="A835" s="32"/>
      <c r="B835" s="37"/>
      <c r="C835" s="45">
        <v>4010</v>
      </c>
      <c r="D835" s="41" t="s">
        <v>214</v>
      </c>
      <c r="E835" s="42">
        <v>0</v>
      </c>
      <c r="F835" s="44">
        <v>2025</v>
      </c>
      <c r="G835" s="44"/>
      <c r="H835" s="43">
        <f t="shared" ref="H835:H841" si="140">SUM(E835+F835-G835)</f>
        <v>2025</v>
      </c>
    </row>
    <row r="836" spans="1:8" s="18" customFormat="1" ht="12" customHeight="1" x14ac:dyDescent="0.2">
      <c r="A836" s="94"/>
      <c r="B836" s="113"/>
      <c r="C836" s="114">
        <v>4110</v>
      </c>
      <c r="D836" s="38" t="s">
        <v>29</v>
      </c>
      <c r="E836" s="40">
        <v>0</v>
      </c>
      <c r="F836" s="82">
        <v>349</v>
      </c>
      <c r="G836" s="82"/>
      <c r="H836" s="39">
        <f t="shared" si="140"/>
        <v>349</v>
      </c>
    </row>
    <row r="837" spans="1:8" s="18" customFormat="1" ht="12" customHeight="1" x14ac:dyDescent="0.2">
      <c r="A837" s="32"/>
      <c r="B837" s="37"/>
      <c r="C837" s="45">
        <v>4120</v>
      </c>
      <c r="D837" s="41" t="s">
        <v>289</v>
      </c>
      <c r="E837" s="42">
        <v>0</v>
      </c>
      <c r="F837" s="44">
        <v>50</v>
      </c>
      <c r="G837" s="44"/>
      <c r="H837" s="43">
        <f t="shared" si="140"/>
        <v>50</v>
      </c>
    </row>
    <row r="838" spans="1:8" s="18" customFormat="1" ht="12" customHeight="1" x14ac:dyDescent="0.2">
      <c r="A838" s="32"/>
      <c r="B838" s="37"/>
      <c r="C838" s="9" t="s">
        <v>170</v>
      </c>
      <c r="D838" s="11" t="s">
        <v>13</v>
      </c>
      <c r="E838" s="42">
        <v>2490</v>
      </c>
      <c r="F838" s="44"/>
      <c r="G838" s="44">
        <v>219</v>
      </c>
      <c r="H838" s="43">
        <f t="shared" si="140"/>
        <v>2271</v>
      </c>
    </row>
    <row r="839" spans="1:8" s="18" customFormat="1" ht="12" customHeight="1" x14ac:dyDescent="0.2">
      <c r="A839" s="32"/>
      <c r="B839" s="37"/>
      <c r="C839" s="45">
        <v>4300</v>
      </c>
      <c r="D839" s="41" t="s">
        <v>14</v>
      </c>
      <c r="E839" s="42">
        <v>128570</v>
      </c>
      <c r="F839" s="44"/>
      <c r="G839" s="44">
        <v>80</v>
      </c>
      <c r="H839" s="43">
        <f t="shared" si="140"/>
        <v>128490</v>
      </c>
    </row>
    <row r="840" spans="1:8" s="18" customFormat="1" ht="12" customHeight="1" x14ac:dyDescent="0.2">
      <c r="A840" s="32"/>
      <c r="B840" s="37"/>
      <c r="C840" s="53">
        <v>4360</v>
      </c>
      <c r="D840" s="115" t="s">
        <v>217</v>
      </c>
      <c r="E840" s="42">
        <v>2900</v>
      </c>
      <c r="F840" s="44"/>
      <c r="G840" s="44">
        <v>125</v>
      </c>
      <c r="H840" s="43">
        <f t="shared" si="140"/>
        <v>2775</v>
      </c>
    </row>
    <row r="841" spans="1:8" s="18" customFormat="1" ht="21" customHeight="1" x14ac:dyDescent="0.2">
      <c r="A841" s="32"/>
      <c r="B841" s="37"/>
      <c r="C841" s="53">
        <v>4700</v>
      </c>
      <c r="D841" s="117" t="s">
        <v>176</v>
      </c>
      <c r="E841" s="42">
        <v>2000</v>
      </c>
      <c r="F841" s="44"/>
      <c r="G841" s="44">
        <v>2000</v>
      </c>
      <c r="H841" s="43">
        <f t="shared" si="140"/>
        <v>0</v>
      </c>
    </row>
    <row r="842" spans="1:8" s="18" customFormat="1" ht="12" customHeight="1" thickBot="1" x14ac:dyDescent="0.25">
      <c r="A842" s="32">
        <v>801</v>
      </c>
      <c r="B842" s="33"/>
      <c r="C842" s="34"/>
      <c r="D842" s="35" t="s">
        <v>90</v>
      </c>
      <c r="E842" s="31">
        <v>32216.5</v>
      </c>
      <c r="F842" s="31">
        <f>SUM(F845)</f>
        <v>2300.8200000000002</v>
      </c>
      <c r="G842" s="31">
        <f>SUM(G845)</f>
        <v>0</v>
      </c>
      <c r="H842" s="31">
        <f>SUM(E842+F842-G842)</f>
        <v>34517.32</v>
      </c>
    </row>
    <row r="843" spans="1:8" s="18" customFormat="1" ht="12" customHeight="1" thickTop="1" x14ac:dyDescent="0.2">
      <c r="A843" s="32"/>
      <c r="B843" s="37">
        <v>80153</v>
      </c>
      <c r="C843" s="34"/>
      <c r="D843" s="11" t="s">
        <v>130</v>
      </c>
      <c r="E843" s="55"/>
      <c r="F843" s="55"/>
      <c r="G843" s="55"/>
      <c r="H843" s="55"/>
    </row>
    <row r="844" spans="1:8" s="18" customFormat="1" ht="12" customHeight="1" x14ac:dyDescent="0.2">
      <c r="A844" s="32"/>
      <c r="B844" s="33"/>
      <c r="C844" s="34"/>
      <c r="D844" s="11" t="s">
        <v>131</v>
      </c>
      <c r="E844" s="55"/>
      <c r="F844" s="55"/>
      <c r="G844" s="55"/>
      <c r="H844" s="55"/>
    </row>
    <row r="845" spans="1:8" s="18" customFormat="1" ht="12" customHeight="1" x14ac:dyDescent="0.2">
      <c r="A845" s="33"/>
      <c r="B845" s="37"/>
      <c r="C845" s="27"/>
      <c r="D845" s="38" t="s">
        <v>132</v>
      </c>
      <c r="E845" s="39">
        <v>32216.5</v>
      </c>
      <c r="F845" s="39">
        <f>SUM(F846)</f>
        <v>2300.8200000000002</v>
      </c>
      <c r="G845" s="39">
        <f>SUM(G846)</f>
        <v>0</v>
      </c>
      <c r="H845" s="39">
        <f>SUM(E845+F845-G845)</f>
        <v>34517.32</v>
      </c>
    </row>
    <row r="846" spans="1:8" s="18" customFormat="1" ht="12" customHeight="1" x14ac:dyDescent="0.2">
      <c r="A846" s="91"/>
      <c r="B846" s="37"/>
      <c r="C846" s="27"/>
      <c r="D846" s="518" t="s">
        <v>28</v>
      </c>
      <c r="E846" s="125">
        <v>31896.54</v>
      </c>
      <c r="F846" s="519">
        <f>SUM(F847:F847)</f>
        <v>2300.8200000000002</v>
      </c>
      <c r="G846" s="519">
        <f>SUM(G847:G847)</f>
        <v>0</v>
      </c>
      <c r="H846" s="125">
        <f>SUM(E846+F846-G846)</f>
        <v>34197.360000000001</v>
      </c>
    </row>
    <row r="847" spans="1:8" s="18" customFormat="1" ht="12" customHeight="1" x14ac:dyDescent="0.2">
      <c r="A847" s="32"/>
      <c r="B847" s="66"/>
      <c r="C847" s="45">
        <v>4240</v>
      </c>
      <c r="D847" s="41" t="s">
        <v>215</v>
      </c>
      <c r="E847" s="43">
        <v>31896.54</v>
      </c>
      <c r="F847" s="42">
        <v>2300.8200000000002</v>
      </c>
      <c r="G847" s="110"/>
      <c r="H847" s="43">
        <f>SUM(E847+F847-G847)</f>
        <v>34197.360000000001</v>
      </c>
    </row>
    <row r="848" spans="1:8" s="18" customFormat="1" ht="12" customHeight="1" thickBot="1" x14ac:dyDescent="0.25">
      <c r="A848" s="33">
        <v>851</v>
      </c>
      <c r="B848" s="33"/>
      <c r="C848" s="34"/>
      <c r="D848" s="35" t="s">
        <v>158</v>
      </c>
      <c r="E848" s="31">
        <v>59038</v>
      </c>
      <c r="F848" s="31">
        <f>SUM(F851)</f>
        <v>11662</v>
      </c>
      <c r="G848" s="31">
        <f>SUM(G851)</f>
        <v>0</v>
      </c>
      <c r="H848" s="31">
        <f t="shared" ref="H848:H865" si="141">SUM(E848+F848-G848)</f>
        <v>70700</v>
      </c>
    </row>
    <row r="849" spans="1:8" s="18" customFormat="1" ht="12" customHeight="1" thickTop="1" x14ac:dyDescent="0.2">
      <c r="A849" s="34"/>
      <c r="B849" s="37">
        <v>85156</v>
      </c>
      <c r="C849" s="45"/>
      <c r="D849" s="41" t="s">
        <v>332</v>
      </c>
      <c r="E849" s="55"/>
      <c r="F849" s="55"/>
      <c r="G849" s="55"/>
      <c r="H849" s="55"/>
    </row>
    <row r="850" spans="1:8" s="18" customFormat="1" ht="12" customHeight="1" x14ac:dyDescent="0.2">
      <c r="A850" s="34"/>
      <c r="B850" s="37"/>
      <c r="C850" s="45"/>
      <c r="D850" s="41" t="s">
        <v>333</v>
      </c>
      <c r="E850" s="55"/>
      <c r="F850" s="55"/>
      <c r="G850" s="55"/>
      <c r="H850" s="55"/>
    </row>
    <row r="851" spans="1:8" s="18" customFormat="1" ht="12" customHeight="1" x14ac:dyDescent="0.2">
      <c r="A851" s="34"/>
      <c r="B851" s="66"/>
      <c r="C851" s="45"/>
      <c r="D851" s="38" t="s">
        <v>334</v>
      </c>
      <c r="E851" s="111">
        <v>59038</v>
      </c>
      <c r="F851" s="40">
        <f>SUM(F852)</f>
        <v>11662</v>
      </c>
      <c r="G851" s="40">
        <f>SUM(G852)</f>
        <v>0</v>
      </c>
      <c r="H851" s="39">
        <f t="shared" si="141"/>
        <v>70700</v>
      </c>
    </row>
    <row r="852" spans="1:8" s="18" customFormat="1" ht="12" customHeight="1" x14ac:dyDescent="0.2">
      <c r="A852" s="34"/>
      <c r="B852" s="37"/>
      <c r="C852" s="34"/>
      <c r="D852" s="518" t="s">
        <v>263</v>
      </c>
      <c r="E852" s="83">
        <v>59038</v>
      </c>
      <c r="F852" s="527">
        <f>SUM(F853:F853)</f>
        <v>11662</v>
      </c>
      <c r="G852" s="527">
        <f>SUM(G853:G853)</f>
        <v>0</v>
      </c>
      <c r="H852" s="524">
        <f t="shared" si="141"/>
        <v>70700</v>
      </c>
    </row>
    <row r="853" spans="1:8" s="18" customFormat="1" ht="12" customHeight="1" x14ac:dyDescent="0.2">
      <c r="A853" s="32"/>
      <c r="B853" s="33"/>
      <c r="C853" s="45">
        <v>4130</v>
      </c>
      <c r="D853" s="41" t="s">
        <v>232</v>
      </c>
      <c r="E853" s="44">
        <v>59038</v>
      </c>
      <c r="F853" s="44">
        <v>11662</v>
      </c>
      <c r="G853" s="44"/>
      <c r="H853" s="42">
        <f t="shared" si="141"/>
        <v>70700</v>
      </c>
    </row>
    <row r="854" spans="1:8" s="18" customFormat="1" ht="12" customHeight="1" thickBot="1" x14ac:dyDescent="0.25">
      <c r="A854" s="34" t="s">
        <v>267</v>
      </c>
      <c r="B854" s="33"/>
      <c r="C854" s="34"/>
      <c r="D854" s="35" t="s">
        <v>94</v>
      </c>
      <c r="E854" s="31">
        <v>487200</v>
      </c>
      <c r="F854" s="31">
        <f>SUM(F855)</f>
        <v>14983</v>
      </c>
      <c r="G854" s="31">
        <f>SUM(G855)</f>
        <v>9583</v>
      </c>
      <c r="H854" s="31">
        <f t="shared" si="141"/>
        <v>492600</v>
      </c>
    </row>
    <row r="855" spans="1:8" s="18" customFormat="1" ht="12" customHeight="1" thickTop="1" x14ac:dyDescent="0.2">
      <c r="A855" s="142"/>
      <c r="B855" s="37">
        <v>85205</v>
      </c>
      <c r="C855" s="9"/>
      <c r="D855" s="67" t="s">
        <v>162</v>
      </c>
      <c r="E855" s="111">
        <v>487200</v>
      </c>
      <c r="F855" s="40">
        <f>SUM(F856)</f>
        <v>14983</v>
      </c>
      <c r="G855" s="40">
        <f>SUM(G856)</f>
        <v>9583</v>
      </c>
      <c r="H855" s="39">
        <f t="shared" si="141"/>
        <v>492600</v>
      </c>
    </row>
    <row r="856" spans="1:8" s="18" customFormat="1" ht="21" customHeight="1" x14ac:dyDescent="0.2">
      <c r="A856" s="142"/>
      <c r="B856" s="37"/>
      <c r="C856" s="27"/>
      <c r="D856" s="526" t="s">
        <v>335</v>
      </c>
      <c r="E856" s="83">
        <v>454800</v>
      </c>
      <c r="F856" s="527">
        <f>SUM(F857:F865)</f>
        <v>14983</v>
      </c>
      <c r="G856" s="527">
        <f>SUM(G857:G865)</f>
        <v>9583</v>
      </c>
      <c r="H856" s="524">
        <f t="shared" si="141"/>
        <v>460200</v>
      </c>
    </row>
    <row r="857" spans="1:8" s="18" customFormat="1" ht="12" customHeight="1" x14ac:dyDescent="0.2">
      <c r="A857" s="142"/>
      <c r="B857" s="37"/>
      <c r="C857" s="45">
        <v>4010</v>
      </c>
      <c r="D857" s="41" t="s">
        <v>214</v>
      </c>
      <c r="E857" s="48">
        <v>151786</v>
      </c>
      <c r="F857" s="44">
        <v>4500</v>
      </c>
      <c r="G857" s="44"/>
      <c r="H857" s="42">
        <f t="shared" si="141"/>
        <v>156286</v>
      </c>
    </row>
    <row r="858" spans="1:8" s="18" customFormat="1" ht="12" customHeight="1" x14ac:dyDescent="0.2">
      <c r="A858" s="142"/>
      <c r="B858" s="37"/>
      <c r="C858" s="45">
        <v>4110</v>
      </c>
      <c r="D858" s="41" t="s">
        <v>29</v>
      </c>
      <c r="E858" s="48">
        <v>29629</v>
      </c>
      <c r="F858" s="44">
        <v>790</v>
      </c>
      <c r="G858" s="44"/>
      <c r="H858" s="42">
        <f t="shared" si="141"/>
        <v>30419</v>
      </c>
    </row>
    <row r="859" spans="1:8" s="18" customFormat="1" ht="12" customHeight="1" x14ac:dyDescent="0.2">
      <c r="A859" s="142"/>
      <c r="B859" s="37"/>
      <c r="C859" s="45">
        <v>4120</v>
      </c>
      <c r="D859" s="41" t="s">
        <v>289</v>
      </c>
      <c r="E859" s="48">
        <v>4187</v>
      </c>
      <c r="F859" s="44">
        <v>110</v>
      </c>
      <c r="G859" s="44"/>
      <c r="H859" s="42">
        <f t="shared" si="141"/>
        <v>4297</v>
      </c>
    </row>
    <row r="860" spans="1:8" s="18" customFormat="1" ht="12" customHeight="1" x14ac:dyDescent="0.2">
      <c r="A860" s="142"/>
      <c r="B860" s="37"/>
      <c r="C860" s="46">
        <v>4210</v>
      </c>
      <c r="D860" s="11" t="s">
        <v>13</v>
      </c>
      <c r="E860" s="48">
        <v>8650</v>
      </c>
      <c r="F860" s="44">
        <v>9200</v>
      </c>
      <c r="G860" s="44"/>
      <c r="H860" s="42">
        <f t="shared" si="141"/>
        <v>17850</v>
      </c>
    </row>
    <row r="861" spans="1:8" s="18" customFormat="1" ht="12" customHeight="1" x14ac:dyDescent="0.2">
      <c r="A861" s="142"/>
      <c r="B861" s="37"/>
      <c r="C861" s="45">
        <v>4220</v>
      </c>
      <c r="D861" s="41" t="s">
        <v>27</v>
      </c>
      <c r="E861" s="48">
        <v>12000</v>
      </c>
      <c r="F861" s="44"/>
      <c r="G861" s="44">
        <v>3000</v>
      </c>
      <c r="H861" s="42">
        <f t="shared" si="141"/>
        <v>9000</v>
      </c>
    </row>
    <row r="862" spans="1:8" s="18" customFormat="1" ht="12" customHeight="1" x14ac:dyDescent="0.2">
      <c r="A862" s="142"/>
      <c r="B862" s="37"/>
      <c r="C862" s="45">
        <v>4260</v>
      </c>
      <c r="D862" s="41" t="s">
        <v>188</v>
      </c>
      <c r="E862" s="48">
        <v>19600</v>
      </c>
      <c r="F862" s="44"/>
      <c r="G862" s="44">
        <v>6000</v>
      </c>
      <c r="H862" s="42">
        <f t="shared" si="141"/>
        <v>13600</v>
      </c>
    </row>
    <row r="863" spans="1:8" s="18" customFormat="1" ht="12" customHeight="1" x14ac:dyDescent="0.2">
      <c r="A863" s="142"/>
      <c r="B863" s="37"/>
      <c r="C863" s="45">
        <v>4300</v>
      </c>
      <c r="D863" s="41" t="s">
        <v>14</v>
      </c>
      <c r="E863" s="44">
        <v>27660</v>
      </c>
      <c r="F863" s="44">
        <v>383</v>
      </c>
      <c r="G863" s="44"/>
      <c r="H863" s="42">
        <f t="shared" si="141"/>
        <v>28043</v>
      </c>
    </row>
    <row r="864" spans="1:8" s="18" customFormat="1" ht="12" customHeight="1" x14ac:dyDescent="0.2">
      <c r="A864" s="142"/>
      <c r="B864" s="37"/>
      <c r="C864" s="53">
        <v>4440</v>
      </c>
      <c r="D864" s="115" t="s">
        <v>200</v>
      </c>
      <c r="E864" s="44">
        <v>3876</v>
      </c>
      <c r="F864" s="44"/>
      <c r="G864" s="44">
        <v>383</v>
      </c>
      <c r="H864" s="42">
        <f t="shared" si="141"/>
        <v>3493</v>
      </c>
    </row>
    <row r="865" spans="1:8" s="18" customFormat="1" ht="12" customHeight="1" x14ac:dyDescent="0.2">
      <c r="A865" s="142"/>
      <c r="B865" s="37"/>
      <c r="C865" s="45">
        <v>4710</v>
      </c>
      <c r="D865" s="11" t="s">
        <v>33</v>
      </c>
      <c r="E865" s="44">
        <v>200</v>
      </c>
      <c r="F865" s="44"/>
      <c r="G865" s="44">
        <v>200</v>
      </c>
      <c r="H865" s="42">
        <f t="shared" si="141"/>
        <v>0</v>
      </c>
    </row>
    <row r="866" spans="1:8" s="18" customFormat="1" ht="12" customHeight="1" thickBot="1" x14ac:dyDescent="0.25">
      <c r="A866" s="32">
        <v>853</v>
      </c>
      <c r="B866" s="33"/>
      <c r="C866" s="34"/>
      <c r="D866" s="35" t="s">
        <v>111</v>
      </c>
      <c r="E866" s="31">
        <v>506850</v>
      </c>
      <c r="F866" s="31">
        <f>SUM(F867)</f>
        <v>18480</v>
      </c>
      <c r="G866" s="31">
        <f>SUM(G867)</f>
        <v>0</v>
      </c>
      <c r="H866" s="31">
        <f t="shared" si="137"/>
        <v>525330</v>
      </c>
    </row>
    <row r="867" spans="1:8" s="18" customFormat="1" ht="12" customHeight="1" thickTop="1" x14ac:dyDescent="0.2">
      <c r="A867" s="32"/>
      <c r="B867" s="37">
        <v>85395</v>
      </c>
      <c r="C867" s="27"/>
      <c r="D867" s="38" t="s">
        <v>10</v>
      </c>
      <c r="E867" s="111">
        <v>9240</v>
      </c>
      <c r="F867" s="40">
        <f t="shared" ref="F867:G867" si="142">SUM(F868)</f>
        <v>18480</v>
      </c>
      <c r="G867" s="40">
        <f t="shared" si="142"/>
        <v>0</v>
      </c>
      <c r="H867" s="39">
        <f t="shared" si="137"/>
        <v>27720</v>
      </c>
    </row>
    <row r="868" spans="1:8" s="18" customFormat="1" ht="12" customHeight="1" x14ac:dyDescent="0.2">
      <c r="A868" s="34"/>
      <c r="B868" s="33"/>
      <c r="C868" s="27"/>
      <c r="D868" s="518" t="s">
        <v>263</v>
      </c>
      <c r="E868" s="83">
        <v>9240</v>
      </c>
      <c r="F868" s="527">
        <f>SUM(F869:F869)</f>
        <v>18480</v>
      </c>
      <c r="G868" s="527">
        <f>SUM(G869:G869)</f>
        <v>0</v>
      </c>
      <c r="H868" s="524">
        <f t="shared" si="137"/>
        <v>27720</v>
      </c>
    </row>
    <row r="869" spans="1:8" s="18" customFormat="1" ht="12" customHeight="1" x14ac:dyDescent="0.2">
      <c r="A869" s="34"/>
      <c r="B869" s="33"/>
      <c r="C869" s="45">
        <v>3110</v>
      </c>
      <c r="D869" s="41" t="s">
        <v>273</v>
      </c>
      <c r="E869" s="44">
        <v>9240</v>
      </c>
      <c r="F869" s="44">
        <v>18480</v>
      </c>
      <c r="G869" s="141"/>
      <c r="H869" s="42">
        <f t="shared" si="137"/>
        <v>27720</v>
      </c>
    </row>
    <row r="870" spans="1:8" s="18" customFormat="1" ht="12" customHeight="1" thickBot="1" x14ac:dyDescent="0.25">
      <c r="A870" s="33">
        <v>855</v>
      </c>
      <c r="B870" s="33"/>
      <c r="C870" s="34"/>
      <c r="D870" s="35" t="s">
        <v>119</v>
      </c>
      <c r="E870" s="36">
        <v>474707</v>
      </c>
      <c r="F870" s="31">
        <f>SUM(F871)</f>
        <v>0</v>
      </c>
      <c r="G870" s="31">
        <f>SUM(G871)</f>
        <v>977</v>
      </c>
      <c r="H870" s="31">
        <f t="shared" ref="H870:H876" si="143">SUM(E870+F870-G870)</f>
        <v>473730</v>
      </c>
    </row>
    <row r="871" spans="1:8" s="18" customFormat="1" ht="12" customHeight="1" thickTop="1" x14ac:dyDescent="0.2">
      <c r="A871" s="34"/>
      <c r="B871" s="46">
        <v>85510</v>
      </c>
      <c r="C871" s="75"/>
      <c r="D871" s="138" t="s">
        <v>163</v>
      </c>
      <c r="E871" s="40">
        <v>247794</v>
      </c>
      <c r="F871" s="40">
        <f t="shared" ref="F871:G871" si="144">SUM(F872)</f>
        <v>0</v>
      </c>
      <c r="G871" s="40">
        <f t="shared" si="144"/>
        <v>977</v>
      </c>
      <c r="H871" s="39">
        <f t="shared" si="143"/>
        <v>246817</v>
      </c>
    </row>
    <row r="872" spans="1:8" s="18" customFormat="1" ht="12" customHeight="1" x14ac:dyDescent="0.2">
      <c r="A872" s="34"/>
      <c r="B872" s="37"/>
      <c r="C872" s="27"/>
      <c r="D872" s="518" t="s">
        <v>263</v>
      </c>
      <c r="E872" s="527">
        <v>247794</v>
      </c>
      <c r="F872" s="527">
        <f>SUM(F873:F876)</f>
        <v>0</v>
      </c>
      <c r="G872" s="527">
        <f>SUM(G873:G876)</f>
        <v>977</v>
      </c>
      <c r="H872" s="524">
        <f t="shared" si="143"/>
        <v>246817</v>
      </c>
    </row>
    <row r="873" spans="1:8" s="18" customFormat="1" ht="12" customHeight="1" x14ac:dyDescent="0.2">
      <c r="A873" s="34"/>
      <c r="B873" s="33"/>
      <c r="C873" s="45">
        <v>3110</v>
      </c>
      <c r="D873" s="41" t="s">
        <v>273</v>
      </c>
      <c r="E873" s="44">
        <v>245340</v>
      </c>
      <c r="F873" s="48"/>
      <c r="G873" s="48">
        <v>967.6</v>
      </c>
      <c r="H873" s="42">
        <f t="shared" si="143"/>
        <v>244372.4</v>
      </c>
    </row>
    <row r="874" spans="1:8" s="18" customFormat="1" ht="12" customHeight="1" x14ac:dyDescent="0.2">
      <c r="A874" s="34"/>
      <c r="B874" s="33"/>
      <c r="C874" s="45">
        <v>4110</v>
      </c>
      <c r="D874" s="41" t="s">
        <v>29</v>
      </c>
      <c r="E874" s="44">
        <v>264</v>
      </c>
      <c r="F874" s="48"/>
      <c r="G874" s="48">
        <v>2</v>
      </c>
      <c r="H874" s="42">
        <f t="shared" si="143"/>
        <v>262</v>
      </c>
    </row>
    <row r="875" spans="1:8" s="18" customFormat="1" ht="12" customHeight="1" x14ac:dyDescent="0.2">
      <c r="A875" s="34"/>
      <c r="B875" s="33"/>
      <c r="C875" s="45">
        <v>4120</v>
      </c>
      <c r="D875" s="41" t="s">
        <v>289</v>
      </c>
      <c r="E875" s="44">
        <v>39</v>
      </c>
      <c r="F875" s="48"/>
      <c r="G875" s="48">
        <v>2</v>
      </c>
      <c r="H875" s="42">
        <f t="shared" si="143"/>
        <v>37</v>
      </c>
    </row>
    <row r="876" spans="1:8" s="18" customFormat="1" ht="12" customHeight="1" x14ac:dyDescent="0.2">
      <c r="A876" s="34"/>
      <c r="B876" s="33"/>
      <c r="C876" s="46">
        <v>4210</v>
      </c>
      <c r="D876" s="11" t="s">
        <v>13</v>
      </c>
      <c r="E876" s="44">
        <v>651</v>
      </c>
      <c r="F876" s="48"/>
      <c r="G876" s="48">
        <v>5.4</v>
      </c>
      <c r="H876" s="42">
        <f t="shared" si="143"/>
        <v>645.6</v>
      </c>
    </row>
    <row r="877" spans="1:8" s="18" customFormat="1" ht="3.75" customHeight="1" x14ac:dyDescent="0.2">
      <c r="A877" s="49"/>
      <c r="B877" s="49"/>
      <c r="C877" s="50"/>
      <c r="D877" s="51"/>
      <c r="E877" s="39"/>
      <c r="F877" s="39"/>
      <c r="G877" s="39"/>
      <c r="H877" s="39"/>
    </row>
    <row r="878" spans="1:8" s="18" customFormat="1" ht="12.6" customHeight="1" x14ac:dyDescent="0.2"/>
    <row r="879" spans="1:8" s="18" customFormat="1" ht="12.6" customHeight="1" x14ac:dyDescent="0.2"/>
    <row r="880" spans="1:8" s="18" customFormat="1" ht="12.6" customHeight="1" x14ac:dyDescent="0.2"/>
    <row r="881" s="18" customFormat="1" ht="12.6" customHeight="1" x14ac:dyDescent="0.2"/>
    <row r="882" s="18" customFormat="1" ht="12.6" customHeight="1" x14ac:dyDescent="0.2"/>
    <row r="883" s="18" customFormat="1" ht="12.6" customHeight="1" x14ac:dyDescent="0.2"/>
    <row r="884" s="18" customFormat="1" ht="12.6" customHeight="1" x14ac:dyDescent="0.2"/>
    <row r="885" s="18" customFormat="1" ht="12.6" customHeight="1" x14ac:dyDescent="0.2"/>
    <row r="886" s="18" customFormat="1" ht="12.6" customHeight="1" x14ac:dyDescent="0.2"/>
    <row r="887" s="18" customFormat="1" ht="12.6" customHeight="1" x14ac:dyDescent="0.2"/>
    <row r="888" s="18" customFormat="1" ht="12.6" customHeight="1" x14ac:dyDescent="0.2"/>
    <row r="889" s="18" customFormat="1" ht="12.6" customHeight="1" x14ac:dyDescent="0.2"/>
    <row r="890" s="18" customFormat="1" ht="12.6" customHeight="1" x14ac:dyDescent="0.2"/>
    <row r="891" s="18" customFormat="1" ht="12.6" customHeight="1" x14ac:dyDescent="0.2"/>
    <row r="892" s="18" customFormat="1" ht="12.6" customHeight="1" x14ac:dyDescent="0.2"/>
    <row r="893" s="18" customFormat="1" ht="12.6" customHeight="1" x14ac:dyDescent="0.2"/>
    <row r="894" s="18" customFormat="1" ht="12.6" customHeight="1" x14ac:dyDescent="0.2"/>
    <row r="895" s="18" customFormat="1" ht="12.6" customHeight="1" x14ac:dyDescent="0.2"/>
    <row r="896" s="18" customFormat="1" ht="12.6" customHeight="1" x14ac:dyDescent="0.2"/>
    <row r="897" s="18" customFormat="1" ht="12.6" customHeight="1" x14ac:dyDescent="0.2"/>
    <row r="898" s="18" customFormat="1" ht="12.6" customHeight="1" x14ac:dyDescent="0.2"/>
    <row r="899" s="18" customFormat="1" ht="12.6" customHeight="1" x14ac:dyDescent="0.2"/>
    <row r="900" s="18" customFormat="1" ht="12.6" customHeight="1" x14ac:dyDescent="0.2"/>
    <row r="901" s="18" customFormat="1" ht="12.6" customHeight="1" x14ac:dyDescent="0.2"/>
    <row r="902" s="18" customFormat="1" ht="12.6" customHeight="1" x14ac:dyDescent="0.2"/>
    <row r="903" s="18" customFormat="1" ht="12.6" customHeight="1" x14ac:dyDescent="0.2"/>
    <row r="904" s="18" customFormat="1" ht="12.6" customHeight="1" x14ac:dyDescent="0.2"/>
    <row r="905" s="18" customFormat="1" ht="12.6" customHeight="1" x14ac:dyDescent="0.2"/>
    <row r="906" s="18" customFormat="1" ht="12.6" customHeight="1" x14ac:dyDescent="0.2"/>
    <row r="907" s="18" customFormat="1" ht="12.6" customHeight="1" x14ac:dyDescent="0.2"/>
    <row r="908" s="18" customFormat="1" ht="12.6" customHeight="1" x14ac:dyDescent="0.2"/>
    <row r="909" s="18" customFormat="1" ht="12.6" customHeight="1" x14ac:dyDescent="0.2"/>
    <row r="910" s="18" customFormat="1" ht="12.6" customHeight="1" x14ac:dyDescent="0.2"/>
    <row r="911" s="18" customFormat="1" ht="12.6" customHeight="1" x14ac:dyDescent="0.2"/>
    <row r="912" s="18" customFormat="1" ht="12.6" customHeight="1" x14ac:dyDescent="0.2"/>
    <row r="913" s="18" customFormat="1" ht="12.6" customHeight="1" x14ac:dyDescent="0.2"/>
    <row r="914" s="18" customFormat="1" ht="12.6" customHeight="1" x14ac:dyDescent="0.2"/>
    <row r="915" s="18" customFormat="1" ht="12.6" customHeight="1" x14ac:dyDescent="0.2"/>
    <row r="916" s="18" customFormat="1" ht="12.2" customHeight="1" x14ac:dyDescent="0.2"/>
    <row r="917" s="18" customFormat="1" ht="12.2" customHeight="1" x14ac:dyDescent="0.2"/>
    <row r="918" s="18" customFormat="1" ht="12.2" customHeight="1" x14ac:dyDescent="0.2"/>
    <row r="919" s="18" customFormat="1" ht="12.95" customHeight="1" x14ac:dyDescent="0.2"/>
    <row r="920" s="18" customFormat="1" ht="12.95" customHeight="1" x14ac:dyDescent="0.2"/>
    <row r="921" s="18" customFormat="1" ht="12.95" customHeight="1" x14ac:dyDescent="0.2"/>
    <row r="922" s="18" customFormat="1" ht="12.95" customHeight="1" x14ac:dyDescent="0.2"/>
    <row r="923" s="18" customFormat="1" ht="12.95" customHeight="1" x14ac:dyDescent="0.2"/>
    <row r="924" s="18" customFormat="1" ht="12.95" customHeight="1" x14ac:dyDescent="0.2"/>
    <row r="925" s="18" customFormat="1" ht="12.95" customHeight="1" x14ac:dyDescent="0.2"/>
    <row r="926" s="18" customFormat="1" ht="12.95" customHeight="1" x14ac:dyDescent="0.2"/>
    <row r="927" s="18" customFormat="1" ht="12.95" customHeight="1" x14ac:dyDescent="0.2"/>
    <row r="928" s="18" customFormat="1" ht="12.95" customHeight="1" x14ac:dyDescent="0.2"/>
    <row r="929" s="18" customFormat="1" ht="12.95" customHeight="1" x14ac:dyDescent="0.2"/>
    <row r="930" s="18" customFormat="1" ht="12.95" customHeight="1" x14ac:dyDescent="0.2"/>
    <row r="931" s="18" customFormat="1" ht="12.95" customHeight="1" x14ac:dyDescent="0.2"/>
    <row r="932" s="18" customFormat="1" ht="12.95" customHeight="1" x14ac:dyDescent="0.2"/>
    <row r="933" s="18" customFormat="1" ht="12.95" customHeight="1" x14ac:dyDescent="0.2"/>
    <row r="934" s="18" customFormat="1" ht="12.95" customHeight="1" x14ac:dyDescent="0.2"/>
    <row r="935" s="18" customFormat="1" ht="12.95" customHeight="1" x14ac:dyDescent="0.2"/>
    <row r="936" s="18" customFormat="1" ht="12.95" customHeight="1" x14ac:dyDescent="0.2"/>
    <row r="937" s="18" customFormat="1" ht="12.95" customHeight="1" x14ac:dyDescent="0.2"/>
    <row r="938" s="18" customFormat="1" ht="12.95" customHeight="1" x14ac:dyDescent="0.2"/>
    <row r="939" s="18" customFormat="1" ht="12.95" customHeight="1" x14ac:dyDescent="0.2"/>
    <row r="940" s="18" customFormat="1" ht="12.95" customHeight="1" x14ac:dyDescent="0.2"/>
    <row r="941" s="18" customFormat="1" ht="12.95" customHeight="1" x14ac:dyDescent="0.2"/>
    <row r="942" s="18" customFormat="1" ht="12.95" customHeight="1" x14ac:dyDescent="0.2"/>
    <row r="943" s="18" customFormat="1" ht="12.95" customHeight="1" x14ac:dyDescent="0.2"/>
    <row r="944" s="18" customFormat="1" ht="12.95" customHeight="1" x14ac:dyDescent="0.2"/>
    <row r="945" s="18" customFormat="1" ht="12.95" customHeight="1" x14ac:dyDescent="0.2"/>
    <row r="946" s="18" customFormat="1" ht="12.95" customHeight="1" x14ac:dyDescent="0.2"/>
    <row r="947" s="18" customFormat="1" ht="12.95" customHeight="1" x14ac:dyDescent="0.2"/>
    <row r="948" s="18" customFormat="1" ht="12.95" customHeight="1" x14ac:dyDescent="0.2"/>
    <row r="949" s="18" customFormat="1" ht="12.95" customHeight="1" x14ac:dyDescent="0.2"/>
    <row r="950" s="18" customFormat="1" ht="12.95" customHeight="1" x14ac:dyDescent="0.2"/>
    <row r="951" s="18" customFormat="1" ht="12.95" customHeight="1" x14ac:dyDescent="0.2"/>
    <row r="952" s="18" customFormat="1" ht="12.95" customHeight="1" x14ac:dyDescent="0.2"/>
    <row r="953" s="18" customFormat="1" ht="12.95" customHeight="1" x14ac:dyDescent="0.2"/>
    <row r="954" s="18" customFormat="1" ht="12.95" customHeight="1" x14ac:dyDescent="0.2"/>
    <row r="955" s="18" customFormat="1" ht="12.95" customHeight="1" x14ac:dyDescent="0.2"/>
    <row r="956" s="18" customFormat="1" ht="12.95" customHeight="1" x14ac:dyDescent="0.2"/>
    <row r="957" s="18" customFormat="1" ht="12.95" customHeight="1" x14ac:dyDescent="0.2"/>
    <row r="958" s="18" customFormat="1" ht="12.95" customHeight="1" x14ac:dyDescent="0.2"/>
    <row r="959" s="18" customFormat="1" ht="12.95" customHeight="1" x14ac:dyDescent="0.2"/>
    <row r="960" s="18" customFormat="1" ht="12.95" customHeight="1" x14ac:dyDescent="0.2"/>
    <row r="961" s="18" customFormat="1" ht="12.95" customHeight="1" x14ac:dyDescent="0.2"/>
    <row r="962" s="18" customFormat="1" ht="12.95" customHeight="1" x14ac:dyDescent="0.2"/>
    <row r="963" s="18" customFormat="1" ht="12.95" customHeight="1" x14ac:dyDescent="0.2"/>
    <row r="964" s="18" customFormat="1" ht="12.95" customHeight="1" x14ac:dyDescent="0.2"/>
    <row r="965" s="18" customFormat="1" ht="12.95" customHeight="1" x14ac:dyDescent="0.2"/>
    <row r="966" s="18" customFormat="1" ht="12.95" customHeight="1" x14ac:dyDescent="0.2"/>
    <row r="967" s="18" customFormat="1" ht="12.95" customHeight="1" x14ac:dyDescent="0.2"/>
    <row r="968" s="18" customFormat="1" ht="12.95" customHeight="1" x14ac:dyDescent="0.2"/>
    <row r="969" s="18" customFormat="1" ht="12.95" customHeight="1" x14ac:dyDescent="0.2"/>
    <row r="970" s="18" customFormat="1" ht="12.95" customHeight="1" x14ac:dyDescent="0.2"/>
    <row r="971" s="18" customFormat="1" ht="12.95" customHeight="1" x14ac:dyDescent="0.2"/>
    <row r="972" s="18" customFormat="1" ht="12.95" customHeight="1" x14ac:dyDescent="0.2"/>
    <row r="973" s="18" customFormat="1" ht="12.95" customHeight="1" x14ac:dyDescent="0.2"/>
    <row r="974" s="18" customFormat="1" ht="12.95" customHeight="1" x14ac:dyDescent="0.2"/>
    <row r="975" s="18" customFormat="1" ht="12.95" customHeight="1" x14ac:dyDescent="0.2"/>
    <row r="976" s="18" customFormat="1" ht="12.95" customHeight="1" x14ac:dyDescent="0.2"/>
    <row r="977" s="18" customFormat="1" ht="12.95" customHeight="1" x14ac:dyDescent="0.2"/>
    <row r="978" s="18" customFormat="1" ht="12.95" customHeight="1" x14ac:dyDescent="0.2"/>
    <row r="979" s="18" customFormat="1" ht="12.95" customHeight="1" x14ac:dyDescent="0.2"/>
    <row r="980" s="18" customFormat="1" ht="12.95" customHeight="1" x14ac:dyDescent="0.2"/>
    <row r="981" s="18" customFormat="1" ht="12.95" customHeight="1" x14ac:dyDescent="0.2"/>
    <row r="982" s="18" customFormat="1" ht="12.95" customHeight="1" x14ac:dyDescent="0.2"/>
    <row r="983" s="18" customFormat="1" ht="12.95" customHeight="1" x14ac:dyDescent="0.2"/>
    <row r="984" s="18" customFormat="1" ht="12.95" customHeight="1" x14ac:dyDescent="0.2"/>
    <row r="985" s="18" customFormat="1" ht="12.95" customHeight="1" x14ac:dyDescent="0.2"/>
    <row r="986" ht="12.95" customHeight="1" x14ac:dyDescent="0.25"/>
    <row r="987" ht="12.95" customHeight="1" x14ac:dyDescent="0.25"/>
    <row r="988" ht="12.95" customHeight="1" x14ac:dyDescent="0.25"/>
    <row r="989" ht="12.95" customHeight="1" x14ac:dyDescent="0.25"/>
    <row r="990" ht="12.95" customHeight="1" x14ac:dyDescent="0.25"/>
    <row r="991" ht="12.95" customHeight="1" x14ac:dyDescent="0.25"/>
    <row r="992" ht="12.95" customHeight="1" x14ac:dyDescent="0.25"/>
    <row r="993" ht="12.95" customHeight="1" x14ac:dyDescent="0.25"/>
    <row r="994" ht="12.95" customHeight="1" x14ac:dyDescent="0.25"/>
    <row r="995" ht="12.95" customHeight="1" x14ac:dyDescent="0.25"/>
    <row r="996" ht="12.95" customHeight="1" x14ac:dyDescent="0.25"/>
    <row r="997" ht="12.9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7" manualBreakCount="7">
    <brk id="72" max="7" man="1"/>
    <brk id="104" max="7" man="1"/>
    <brk id="139" max="7" man="1"/>
    <brk id="238" max="7" man="1"/>
    <brk id="423" max="7" man="1"/>
    <brk id="470" max="7" man="1"/>
    <brk id="58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569B-EDD7-4AEF-B871-D9433188C30E}">
  <dimension ref="A1:AMJ30"/>
  <sheetViews>
    <sheetView zoomScaleNormal="100" workbookViewId="0">
      <pane ySplit="19" topLeftCell="A20" activePane="bottomLeft" state="frozen"/>
      <selection pane="bottomLeft"/>
    </sheetView>
  </sheetViews>
  <sheetFormatPr defaultColWidth="9.140625" defaultRowHeight="15" x14ac:dyDescent="0.25"/>
  <cols>
    <col min="1" max="1" width="5.7109375" style="152" customWidth="1"/>
    <col min="2" max="2" width="6.7109375" style="152" customWidth="1"/>
    <col min="3" max="3" width="4.42578125" style="152" hidden="1" customWidth="1"/>
    <col min="4" max="4" width="64.28515625" style="153" customWidth="1"/>
    <col min="5" max="7" width="15.5703125" style="153" customWidth="1"/>
    <col min="8" max="8" width="14.42578125" style="153" customWidth="1"/>
    <col min="9" max="9" width="14" style="153" customWidth="1"/>
    <col min="10" max="11" width="12.85546875" style="153" customWidth="1"/>
    <col min="12" max="12" width="11.5703125" style="153" customWidth="1"/>
    <col min="13" max="13" width="13.7109375" style="154" customWidth="1"/>
    <col min="14" max="14" width="13" style="153" customWidth="1"/>
    <col min="15" max="15" width="9.140625" style="153"/>
    <col min="16" max="16" width="9.7109375" style="153" customWidth="1"/>
    <col min="17" max="258" width="9.140625" style="153"/>
    <col min="259" max="259" width="4.140625" style="153" customWidth="1"/>
    <col min="260" max="260" width="5.5703125" style="153" customWidth="1"/>
    <col min="261" max="261" width="59.5703125" style="153" customWidth="1"/>
    <col min="262" max="263" width="11.28515625" style="153" customWidth="1"/>
    <col min="264" max="264" width="10.5703125" style="153" customWidth="1"/>
    <col min="265" max="265" width="10.42578125" style="153" customWidth="1"/>
    <col min="266" max="266" width="10.7109375" style="153" customWidth="1"/>
    <col min="267" max="267" width="9" style="153" customWidth="1"/>
    <col min="268" max="268" width="11.5703125" style="153" customWidth="1"/>
    <col min="269" max="269" width="9.140625" style="153"/>
    <col min="270" max="270" width="13" style="153" customWidth="1"/>
    <col min="271" max="514" width="9.140625" style="153"/>
    <col min="515" max="515" width="4.140625" style="153" customWidth="1"/>
    <col min="516" max="516" width="5.5703125" style="153" customWidth="1"/>
    <col min="517" max="517" width="59.5703125" style="153" customWidth="1"/>
    <col min="518" max="519" width="11.28515625" style="153" customWidth="1"/>
    <col min="520" max="520" width="10.5703125" style="153" customWidth="1"/>
    <col min="521" max="521" width="10.42578125" style="153" customWidth="1"/>
    <col min="522" max="522" width="10.7109375" style="153" customWidth="1"/>
    <col min="523" max="523" width="9" style="153" customWidth="1"/>
    <col min="524" max="524" width="11.5703125" style="153" customWidth="1"/>
    <col min="525" max="525" width="9.140625" style="153"/>
    <col min="526" max="526" width="13" style="153" customWidth="1"/>
    <col min="527" max="770" width="9.140625" style="153"/>
    <col min="771" max="771" width="4.140625" style="153" customWidth="1"/>
    <col min="772" max="772" width="5.5703125" style="153" customWidth="1"/>
    <col min="773" max="773" width="59.5703125" style="153" customWidth="1"/>
    <col min="774" max="775" width="11.28515625" style="153" customWidth="1"/>
    <col min="776" max="776" width="10.5703125" style="153" customWidth="1"/>
    <col min="777" max="777" width="10.42578125" style="153" customWidth="1"/>
    <col min="778" max="778" width="10.7109375" style="153" customWidth="1"/>
    <col min="779" max="779" width="9" style="153" customWidth="1"/>
    <col min="780" max="780" width="11.5703125" style="153" customWidth="1"/>
    <col min="781" max="781" width="9.140625" style="153"/>
    <col min="782" max="782" width="13" style="153" customWidth="1"/>
    <col min="783" max="1024" width="9.140625" style="153"/>
    <col min="1025" max="16384" width="9.140625" style="540"/>
  </cols>
  <sheetData>
    <row r="1" spans="1:16" x14ac:dyDescent="0.25">
      <c r="G1" s="152"/>
      <c r="H1" s="152"/>
      <c r="I1" s="152"/>
      <c r="J1" s="152"/>
      <c r="K1" s="152"/>
      <c r="L1" s="152"/>
    </row>
    <row r="2" spans="1:16" x14ac:dyDescent="0.25">
      <c r="G2" s="152"/>
      <c r="H2" s="152"/>
      <c r="I2" s="152"/>
      <c r="J2" s="152"/>
      <c r="K2" s="152"/>
      <c r="L2" s="155" t="s">
        <v>15</v>
      </c>
    </row>
    <row r="3" spans="1:16" x14ac:dyDescent="0.25">
      <c r="G3" s="152"/>
      <c r="H3" s="152"/>
      <c r="I3" s="152"/>
      <c r="J3" s="152"/>
      <c r="K3" s="152"/>
      <c r="L3" s="236" t="s">
        <v>336</v>
      </c>
    </row>
    <row r="4" spans="1:16" x14ac:dyDescent="0.25">
      <c r="G4" s="152"/>
      <c r="H4" s="152"/>
      <c r="I4" s="152"/>
      <c r="J4" s="152"/>
      <c r="K4" s="152"/>
      <c r="L4" s="236" t="s">
        <v>16</v>
      </c>
      <c r="P4" s="156"/>
    </row>
    <row r="5" spans="1:16" x14ac:dyDescent="0.25">
      <c r="G5" s="152"/>
      <c r="H5" s="152"/>
      <c r="I5" s="152"/>
      <c r="J5" s="152"/>
      <c r="K5" s="152"/>
      <c r="L5" s="236" t="s">
        <v>337</v>
      </c>
      <c r="P5" s="156"/>
    </row>
    <row r="6" spans="1:16" x14ac:dyDescent="0.25">
      <c r="G6" s="152"/>
      <c r="H6" s="152"/>
      <c r="I6" s="152"/>
      <c r="J6" s="152"/>
      <c r="K6" s="152"/>
      <c r="L6" s="157"/>
      <c r="P6" s="156"/>
    </row>
    <row r="7" spans="1:16" x14ac:dyDescent="0.25">
      <c r="G7" s="152"/>
      <c r="H7" s="152"/>
      <c r="I7" s="152"/>
      <c r="J7" s="152"/>
      <c r="K7" s="152"/>
      <c r="L7" s="152"/>
      <c r="P7" s="156"/>
    </row>
    <row r="8" spans="1:16" x14ac:dyDescent="0.25">
      <c r="G8" s="152"/>
      <c r="H8" s="152"/>
      <c r="I8" s="152"/>
      <c r="J8" s="152"/>
      <c r="K8" s="152"/>
      <c r="L8" s="152"/>
      <c r="P8" s="156"/>
    </row>
    <row r="9" spans="1:16" x14ac:dyDescent="0.25">
      <c r="A9" s="158" t="s">
        <v>338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  <c r="O9" s="160"/>
      <c r="P9" s="156"/>
    </row>
    <row r="10" spans="1:16" s="152" customFormat="1" ht="11.25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57"/>
      <c r="L10" s="157"/>
      <c r="M10" s="161"/>
    </row>
    <row r="11" spans="1:16" s="167" customFormat="1" ht="11.25" x14ac:dyDescent="0.2">
      <c r="A11" s="162"/>
      <c r="B11" s="162"/>
      <c r="C11" s="163"/>
      <c r="D11" s="163"/>
      <c r="E11" s="163"/>
      <c r="F11" s="163"/>
      <c r="G11" s="164"/>
      <c r="H11" s="600" t="s">
        <v>339</v>
      </c>
      <c r="I11" s="600"/>
      <c r="J11" s="600"/>
      <c r="K11" s="600"/>
      <c r="L11" s="165" t="s">
        <v>340</v>
      </c>
      <c r="M11" s="166"/>
    </row>
    <row r="12" spans="1:16" s="167" customFormat="1" ht="12.75" customHeight="1" x14ac:dyDescent="0.2">
      <c r="A12" s="168"/>
      <c r="B12" s="168"/>
      <c r="C12" s="169"/>
      <c r="D12" s="169"/>
      <c r="E12" s="169"/>
      <c r="F12" s="169"/>
      <c r="G12" s="170" t="s">
        <v>341</v>
      </c>
      <c r="H12" s="171"/>
      <c r="I12" s="600" t="s">
        <v>342</v>
      </c>
      <c r="J12" s="600"/>
      <c r="K12" s="600"/>
      <c r="L12" s="172" t="s">
        <v>343</v>
      </c>
      <c r="M12" s="173" t="s">
        <v>344</v>
      </c>
    </row>
    <row r="13" spans="1:16" s="167" customFormat="1" ht="11.25" x14ac:dyDescent="0.2">
      <c r="A13" s="168"/>
      <c r="B13" s="168"/>
      <c r="C13" s="174"/>
      <c r="D13" s="174" t="s">
        <v>345</v>
      </c>
      <c r="E13" s="174" t="s">
        <v>7</v>
      </c>
      <c r="F13" s="174" t="s">
        <v>8</v>
      </c>
      <c r="G13" s="174" t="s">
        <v>346</v>
      </c>
      <c r="H13" s="173" t="s">
        <v>347</v>
      </c>
      <c r="I13" s="173"/>
      <c r="J13" s="174" t="s">
        <v>343</v>
      </c>
      <c r="K13" s="174" t="s">
        <v>343</v>
      </c>
      <c r="L13" s="175" t="s">
        <v>348</v>
      </c>
      <c r="M13" s="173" t="s">
        <v>349</v>
      </c>
    </row>
    <row r="14" spans="1:16" s="167" customFormat="1" ht="11.25" x14ac:dyDescent="0.2">
      <c r="A14" s="168" t="s">
        <v>350</v>
      </c>
      <c r="B14" s="168" t="s">
        <v>351</v>
      </c>
      <c r="C14" s="174" t="s">
        <v>5</v>
      </c>
      <c r="D14" s="174"/>
      <c r="E14" s="174"/>
      <c r="F14" s="174"/>
      <c r="G14" s="174" t="s">
        <v>352</v>
      </c>
      <c r="H14" s="173" t="s">
        <v>353</v>
      </c>
      <c r="I14" s="173" t="s">
        <v>343</v>
      </c>
      <c r="J14" s="174" t="s">
        <v>354</v>
      </c>
      <c r="K14" s="174" t="s">
        <v>355</v>
      </c>
      <c r="L14" s="175" t="s">
        <v>356</v>
      </c>
      <c r="M14" s="173" t="s">
        <v>357</v>
      </c>
    </row>
    <row r="15" spans="1:16" s="167" customFormat="1" ht="11.25" x14ac:dyDescent="0.2">
      <c r="A15" s="168"/>
      <c r="B15" s="168"/>
      <c r="C15" s="174"/>
      <c r="D15" s="174"/>
      <c r="E15" s="174"/>
      <c r="F15" s="174"/>
      <c r="G15" s="174"/>
      <c r="H15" s="173">
        <v>2022</v>
      </c>
      <c r="I15" s="173" t="s">
        <v>358</v>
      </c>
      <c r="J15" s="174" t="s">
        <v>359</v>
      </c>
      <c r="K15" s="174" t="s">
        <v>360</v>
      </c>
      <c r="L15" s="175" t="s">
        <v>361</v>
      </c>
      <c r="M15" s="173"/>
    </row>
    <row r="16" spans="1:16" s="167" customFormat="1" ht="11.25" x14ac:dyDescent="0.2">
      <c r="A16" s="168"/>
      <c r="B16" s="168"/>
      <c r="C16" s="174"/>
      <c r="D16" s="174"/>
      <c r="E16" s="174"/>
      <c r="F16" s="174"/>
      <c r="G16" s="174"/>
      <c r="H16" s="173" t="s">
        <v>362</v>
      </c>
      <c r="I16" s="173"/>
      <c r="J16" s="174" t="s">
        <v>363</v>
      </c>
      <c r="K16" s="173" t="s">
        <v>364</v>
      </c>
      <c r="L16" s="176" t="s">
        <v>365</v>
      </c>
      <c r="M16" s="173"/>
    </row>
    <row r="17" spans="1:14" s="167" customFormat="1" ht="11.25" x14ac:dyDescent="0.2">
      <c r="A17" s="177"/>
      <c r="B17" s="177"/>
      <c r="C17" s="178"/>
      <c r="D17" s="179"/>
      <c r="E17" s="179"/>
      <c r="F17" s="179"/>
      <c r="G17" s="179"/>
      <c r="H17" s="180"/>
      <c r="I17" s="180"/>
      <c r="J17" s="179"/>
      <c r="K17" s="179"/>
      <c r="L17" s="174"/>
      <c r="M17" s="181"/>
    </row>
    <row r="18" spans="1:14" s="152" customFormat="1" ht="11.25" x14ac:dyDescent="0.2">
      <c r="A18" s="182">
        <v>1</v>
      </c>
      <c r="B18" s="182">
        <v>2</v>
      </c>
      <c r="C18" s="182"/>
      <c r="D18" s="182">
        <v>3</v>
      </c>
      <c r="E18" s="182">
        <v>4</v>
      </c>
      <c r="F18" s="182">
        <v>5</v>
      </c>
      <c r="G18" s="182">
        <v>6</v>
      </c>
      <c r="H18" s="183">
        <v>7</v>
      </c>
      <c r="I18" s="182">
        <v>8</v>
      </c>
      <c r="J18" s="184">
        <v>9</v>
      </c>
      <c r="K18" s="185">
        <v>10</v>
      </c>
      <c r="L18" s="185">
        <v>11</v>
      </c>
      <c r="M18" s="182">
        <v>12</v>
      </c>
    </row>
    <row r="19" spans="1:14" s="544" customFormat="1" ht="22.9" customHeight="1" x14ac:dyDescent="0.2">
      <c r="A19" s="541"/>
      <c r="B19" s="541"/>
      <c r="C19" s="186"/>
      <c r="D19" s="541" t="s">
        <v>366</v>
      </c>
      <c r="E19" s="542">
        <v>92000</v>
      </c>
      <c r="F19" s="542">
        <v>50000</v>
      </c>
      <c r="G19" s="542">
        <v>442586992.38000005</v>
      </c>
      <c r="H19" s="542">
        <v>182309332.67999995</v>
      </c>
      <c r="I19" s="542">
        <v>118270160.03</v>
      </c>
      <c r="J19" s="542">
        <v>27490333.299999997</v>
      </c>
      <c r="K19" s="542">
        <v>36548839.350000001</v>
      </c>
      <c r="L19" s="542">
        <v>0</v>
      </c>
      <c r="M19" s="542"/>
      <c r="N19" s="543"/>
    </row>
    <row r="20" spans="1:14" s="192" customFormat="1" ht="21" customHeight="1" x14ac:dyDescent="0.2">
      <c r="A20" s="187">
        <v>700</v>
      </c>
      <c r="B20" s="187"/>
      <c r="C20" s="188"/>
      <c r="D20" s="189" t="s">
        <v>367</v>
      </c>
      <c r="E20" s="190">
        <v>50000</v>
      </c>
      <c r="F20" s="190">
        <v>0</v>
      </c>
      <c r="G20" s="190">
        <v>63629774.230000004</v>
      </c>
      <c r="H20" s="190">
        <v>29882800</v>
      </c>
      <c r="I20" s="190">
        <v>12434358.390000001</v>
      </c>
      <c r="J20" s="190">
        <v>17322266.239999998</v>
      </c>
      <c r="K20" s="190">
        <v>126175.37</v>
      </c>
      <c r="L20" s="190">
        <v>0</v>
      </c>
      <c r="M20" s="191"/>
    </row>
    <row r="21" spans="1:14" s="192" customFormat="1" ht="20.45" customHeight="1" x14ac:dyDescent="0.2">
      <c r="A21" s="187"/>
      <c r="B21" s="193">
        <v>70007</v>
      </c>
      <c r="C21" s="194"/>
      <c r="D21" s="195" t="s">
        <v>368</v>
      </c>
      <c r="E21" s="196">
        <v>50000</v>
      </c>
      <c r="F21" s="196">
        <v>0</v>
      </c>
      <c r="G21" s="196">
        <v>2900000</v>
      </c>
      <c r="H21" s="196">
        <v>2900000</v>
      </c>
      <c r="I21" s="196">
        <v>2900000</v>
      </c>
      <c r="J21" s="196">
        <v>0</v>
      </c>
      <c r="K21" s="196">
        <v>0</v>
      </c>
      <c r="L21" s="196">
        <v>0</v>
      </c>
      <c r="M21" s="545"/>
    </row>
    <row r="22" spans="1:14" s="192" customFormat="1" ht="26.25" customHeight="1" x14ac:dyDescent="0.2">
      <c r="A22" s="197"/>
      <c r="B22" s="198"/>
      <c r="C22" s="199"/>
      <c r="D22" s="200" t="s">
        <v>369</v>
      </c>
      <c r="E22" s="201">
        <v>50000</v>
      </c>
      <c r="F22" s="200"/>
      <c r="G22" s="201">
        <v>1000000</v>
      </c>
      <c r="H22" s="202">
        <v>1000000</v>
      </c>
      <c r="I22" s="201">
        <v>1000000</v>
      </c>
      <c r="J22" s="203"/>
      <c r="K22" s="203"/>
      <c r="L22" s="203"/>
      <c r="M22" s="546" t="s">
        <v>180</v>
      </c>
    </row>
    <row r="23" spans="1:14" s="192" customFormat="1" ht="19.899999999999999" customHeight="1" x14ac:dyDescent="0.2">
      <c r="A23" s="187">
        <v>750</v>
      </c>
      <c r="B23" s="187"/>
      <c r="C23" s="188"/>
      <c r="D23" s="189" t="s">
        <v>370</v>
      </c>
      <c r="E23" s="204">
        <v>42000</v>
      </c>
      <c r="F23" s="204">
        <v>0</v>
      </c>
      <c r="G23" s="204">
        <v>75951844.569999993</v>
      </c>
      <c r="H23" s="204">
        <v>34337698.399999999</v>
      </c>
      <c r="I23" s="204">
        <v>12573531.129999999</v>
      </c>
      <c r="J23" s="204">
        <v>1061518.54</v>
      </c>
      <c r="K23" s="204">
        <v>20702648.73</v>
      </c>
      <c r="L23" s="204">
        <v>0</v>
      </c>
      <c r="M23" s="191"/>
    </row>
    <row r="24" spans="1:14" s="152" customFormat="1" ht="22.5" customHeight="1" x14ac:dyDescent="0.2">
      <c r="A24" s="205"/>
      <c r="B24" s="193">
        <v>75079</v>
      </c>
      <c r="C24" s="206"/>
      <c r="D24" s="195" t="s">
        <v>75</v>
      </c>
      <c r="E24" s="207">
        <v>42000</v>
      </c>
      <c r="F24" s="207"/>
      <c r="G24" s="207">
        <v>42000</v>
      </c>
      <c r="H24" s="207">
        <v>42000</v>
      </c>
      <c r="I24" s="208">
        <v>0</v>
      </c>
      <c r="J24" s="207">
        <v>42000</v>
      </c>
      <c r="K24" s="208">
        <v>0</v>
      </c>
      <c r="L24" s="208">
        <v>0</v>
      </c>
      <c r="M24" s="545"/>
    </row>
    <row r="25" spans="1:14" s="152" customFormat="1" ht="9.75" customHeight="1" x14ac:dyDescent="0.2">
      <c r="A25" s="209"/>
      <c r="B25" s="210"/>
      <c r="C25" s="211"/>
      <c r="D25" s="547" t="s">
        <v>371</v>
      </c>
      <c r="E25" s="212"/>
      <c r="F25" s="213"/>
      <c r="G25" s="213"/>
      <c r="H25" s="214"/>
      <c r="I25" s="213"/>
      <c r="J25" s="215"/>
      <c r="K25" s="215"/>
      <c r="L25" s="215"/>
      <c r="M25" s="545"/>
    </row>
    <row r="26" spans="1:14" s="152" customFormat="1" ht="28.5" customHeight="1" thickBot="1" x14ac:dyDescent="0.25">
      <c r="A26" s="205"/>
      <c r="B26" s="198" t="s">
        <v>372</v>
      </c>
      <c r="C26" s="216"/>
      <c r="D26" s="200" t="s">
        <v>373</v>
      </c>
      <c r="E26" s="217">
        <v>42000</v>
      </c>
      <c r="F26" s="201"/>
      <c r="G26" s="201">
        <v>42000</v>
      </c>
      <c r="H26" s="202">
        <v>42000</v>
      </c>
      <c r="I26" s="203" t="s">
        <v>374</v>
      </c>
      <c r="J26" s="201">
        <v>42000</v>
      </c>
      <c r="K26" s="218" t="s">
        <v>374</v>
      </c>
      <c r="L26" s="218" t="s">
        <v>374</v>
      </c>
      <c r="M26" s="546" t="s">
        <v>375</v>
      </c>
    </row>
    <row r="27" spans="1:14" s="152" customFormat="1" ht="21" customHeight="1" thickTop="1" thickBot="1" x14ac:dyDescent="0.25">
      <c r="A27" s="219"/>
      <c r="B27" s="220">
        <v>75818</v>
      </c>
      <c r="C27" s="221"/>
      <c r="D27" s="222" t="s">
        <v>376</v>
      </c>
      <c r="E27" s="223">
        <v>0</v>
      </c>
      <c r="F27" s="223">
        <v>50000</v>
      </c>
      <c r="G27" s="224" t="s">
        <v>377</v>
      </c>
      <c r="H27" s="223">
        <v>2191816.3099999996</v>
      </c>
      <c r="I27" s="223">
        <v>2191816.3099999996</v>
      </c>
      <c r="J27" s="225" t="s">
        <v>378</v>
      </c>
      <c r="K27" s="226" t="s">
        <v>378</v>
      </c>
      <c r="L27" s="226" t="s">
        <v>378</v>
      </c>
      <c r="M27" s="548" t="s">
        <v>379</v>
      </c>
    </row>
    <row r="28" spans="1:14" s="152" customFormat="1" ht="21" customHeight="1" x14ac:dyDescent="0.2">
      <c r="A28" s="227"/>
      <c r="B28" s="228"/>
      <c r="C28" s="229"/>
      <c r="D28" s="230" t="s">
        <v>380</v>
      </c>
      <c r="E28" s="230"/>
      <c r="F28" s="231">
        <v>50000</v>
      </c>
      <c r="G28" s="232" t="s">
        <v>377</v>
      </c>
      <c r="H28" s="233">
        <v>0</v>
      </c>
      <c r="I28" s="233">
        <v>0</v>
      </c>
      <c r="J28" s="234" t="s">
        <v>374</v>
      </c>
      <c r="K28" s="235" t="s">
        <v>374</v>
      </c>
      <c r="L28" s="235" t="s">
        <v>374</v>
      </c>
      <c r="M28" s="549" t="s">
        <v>379</v>
      </c>
    </row>
    <row r="30" spans="1:14" s="153" customFormat="1" ht="14.25" x14ac:dyDescent="0.2">
      <c r="A30" s="152"/>
      <c r="B30" s="152" t="s">
        <v>381</v>
      </c>
      <c r="C30" s="152"/>
      <c r="M30" s="154"/>
    </row>
  </sheetData>
  <autoFilter ref="M1:M30" xr:uid="{2751B8D0-CB78-4124-9FCC-66E96B3C9CE0}"/>
  <mergeCells count="2">
    <mergeCell ref="H11:K11"/>
    <mergeCell ref="I12:K12"/>
  </mergeCells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88B-C5A9-4490-9CE7-68511787C5E3}">
  <dimension ref="A1:L55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237" customWidth="1"/>
    <col min="2" max="2" width="58.28515625" style="237" customWidth="1"/>
    <col min="3" max="3" width="10.28515625" style="237"/>
    <col min="4" max="4" width="11.42578125" style="237" customWidth="1"/>
    <col min="5" max="7" width="10.7109375" style="237" customWidth="1"/>
    <col min="8" max="9" width="11.28515625" style="237" customWidth="1"/>
    <col min="10" max="10" width="17" style="237" customWidth="1"/>
    <col min="11" max="11" width="16.28515625" style="237" customWidth="1"/>
    <col min="12" max="256" width="10.28515625" style="237"/>
    <col min="257" max="257" width="6.42578125" style="237" customWidth="1"/>
    <col min="258" max="258" width="58.28515625" style="237" customWidth="1"/>
    <col min="259" max="259" width="10.28515625" style="237"/>
    <col min="260" max="260" width="11" style="237" customWidth="1"/>
    <col min="261" max="262" width="9.7109375" style="237" customWidth="1"/>
    <col min="263" max="263" width="10.7109375" style="237" customWidth="1"/>
    <col min="264" max="265" width="11.28515625" style="237" customWidth="1"/>
    <col min="266" max="266" width="17" style="237" customWidth="1"/>
    <col min="267" max="267" width="16.28515625" style="237" customWidth="1"/>
    <col min="268" max="512" width="10.28515625" style="237"/>
    <col min="513" max="513" width="6.42578125" style="237" customWidth="1"/>
    <col min="514" max="514" width="58.28515625" style="237" customWidth="1"/>
    <col min="515" max="515" width="10.28515625" style="237"/>
    <col min="516" max="516" width="11" style="237" customWidth="1"/>
    <col min="517" max="518" width="9.7109375" style="237" customWidth="1"/>
    <col min="519" max="519" width="10.7109375" style="237" customWidth="1"/>
    <col min="520" max="521" width="11.28515625" style="237" customWidth="1"/>
    <col min="522" max="522" width="17" style="237" customWidth="1"/>
    <col min="523" max="523" width="16.28515625" style="237" customWidth="1"/>
    <col min="524" max="768" width="10.28515625" style="237"/>
    <col min="769" max="769" width="6.42578125" style="237" customWidth="1"/>
    <col min="770" max="770" width="58.28515625" style="237" customWidth="1"/>
    <col min="771" max="771" width="10.28515625" style="237"/>
    <col min="772" max="772" width="11" style="237" customWidth="1"/>
    <col min="773" max="774" width="9.7109375" style="237" customWidth="1"/>
    <col min="775" max="775" width="10.7109375" style="237" customWidth="1"/>
    <col min="776" max="777" width="11.28515625" style="237" customWidth="1"/>
    <col min="778" max="778" width="17" style="237" customWidth="1"/>
    <col min="779" max="779" width="16.28515625" style="237" customWidth="1"/>
    <col min="780" max="1024" width="10.28515625" style="237"/>
    <col min="1025" max="1025" width="6.42578125" style="237" customWidth="1"/>
    <col min="1026" max="1026" width="58.28515625" style="237" customWidth="1"/>
    <col min="1027" max="1027" width="10.28515625" style="237"/>
    <col min="1028" max="1028" width="11" style="237" customWidth="1"/>
    <col min="1029" max="1030" width="9.7109375" style="237" customWidth="1"/>
    <col min="1031" max="1031" width="10.7109375" style="237" customWidth="1"/>
    <col min="1032" max="1033" width="11.28515625" style="237" customWidth="1"/>
    <col min="1034" max="1034" width="17" style="237" customWidth="1"/>
    <col min="1035" max="1035" width="16.28515625" style="237" customWidth="1"/>
    <col min="1036" max="1280" width="10.28515625" style="237"/>
    <col min="1281" max="1281" width="6.42578125" style="237" customWidth="1"/>
    <col min="1282" max="1282" width="58.28515625" style="237" customWidth="1"/>
    <col min="1283" max="1283" width="10.28515625" style="237"/>
    <col min="1284" max="1284" width="11" style="237" customWidth="1"/>
    <col min="1285" max="1286" width="9.7109375" style="237" customWidth="1"/>
    <col min="1287" max="1287" width="10.7109375" style="237" customWidth="1"/>
    <col min="1288" max="1289" width="11.28515625" style="237" customWidth="1"/>
    <col min="1290" max="1290" width="17" style="237" customWidth="1"/>
    <col min="1291" max="1291" width="16.28515625" style="237" customWidth="1"/>
    <col min="1292" max="1536" width="10.28515625" style="237"/>
    <col min="1537" max="1537" width="6.42578125" style="237" customWidth="1"/>
    <col min="1538" max="1538" width="58.28515625" style="237" customWidth="1"/>
    <col min="1539" max="1539" width="10.28515625" style="237"/>
    <col min="1540" max="1540" width="11" style="237" customWidth="1"/>
    <col min="1541" max="1542" width="9.7109375" style="237" customWidth="1"/>
    <col min="1543" max="1543" width="10.7109375" style="237" customWidth="1"/>
    <col min="1544" max="1545" width="11.28515625" style="237" customWidth="1"/>
    <col min="1546" max="1546" width="17" style="237" customWidth="1"/>
    <col min="1547" max="1547" width="16.28515625" style="237" customWidth="1"/>
    <col min="1548" max="1792" width="10.28515625" style="237"/>
    <col min="1793" max="1793" width="6.42578125" style="237" customWidth="1"/>
    <col min="1794" max="1794" width="58.28515625" style="237" customWidth="1"/>
    <col min="1795" max="1795" width="10.28515625" style="237"/>
    <col min="1796" max="1796" width="11" style="237" customWidth="1"/>
    <col min="1797" max="1798" width="9.7109375" style="237" customWidth="1"/>
    <col min="1799" max="1799" width="10.7109375" style="237" customWidth="1"/>
    <col min="1800" max="1801" width="11.28515625" style="237" customWidth="1"/>
    <col min="1802" max="1802" width="17" style="237" customWidth="1"/>
    <col min="1803" max="1803" width="16.28515625" style="237" customWidth="1"/>
    <col min="1804" max="2048" width="10.28515625" style="237"/>
    <col min="2049" max="2049" width="6.42578125" style="237" customWidth="1"/>
    <col min="2050" max="2050" width="58.28515625" style="237" customWidth="1"/>
    <col min="2051" max="2051" width="10.28515625" style="237"/>
    <col min="2052" max="2052" width="11" style="237" customWidth="1"/>
    <col min="2053" max="2054" width="9.7109375" style="237" customWidth="1"/>
    <col min="2055" max="2055" width="10.7109375" style="237" customWidth="1"/>
    <col min="2056" max="2057" width="11.28515625" style="237" customWidth="1"/>
    <col min="2058" max="2058" width="17" style="237" customWidth="1"/>
    <col min="2059" max="2059" width="16.28515625" style="237" customWidth="1"/>
    <col min="2060" max="2304" width="10.28515625" style="237"/>
    <col min="2305" max="2305" width="6.42578125" style="237" customWidth="1"/>
    <col min="2306" max="2306" width="58.28515625" style="237" customWidth="1"/>
    <col min="2307" max="2307" width="10.28515625" style="237"/>
    <col min="2308" max="2308" width="11" style="237" customWidth="1"/>
    <col min="2309" max="2310" width="9.7109375" style="237" customWidth="1"/>
    <col min="2311" max="2311" width="10.7109375" style="237" customWidth="1"/>
    <col min="2312" max="2313" width="11.28515625" style="237" customWidth="1"/>
    <col min="2314" max="2314" width="17" style="237" customWidth="1"/>
    <col min="2315" max="2315" width="16.28515625" style="237" customWidth="1"/>
    <col min="2316" max="2560" width="10.28515625" style="237"/>
    <col min="2561" max="2561" width="6.42578125" style="237" customWidth="1"/>
    <col min="2562" max="2562" width="58.28515625" style="237" customWidth="1"/>
    <col min="2563" max="2563" width="10.28515625" style="237"/>
    <col min="2564" max="2564" width="11" style="237" customWidth="1"/>
    <col min="2565" max="2566" width="9.7109375" style="237" customWidth="1"/>
    <col min="2567" max="2567" width="10.7109375" style="237" customWidth="1"/>
    <col min="2568" max="2569" width="11.28515625" style="237" customWidth="1"/>
    <col min="2570" max="2570" width="17" style="237" customWidth="1"/>
    <col min="2571" max="2571" width="16.28515625" style="237" customWidth="1"/>
    <col min="2572" max="2816" width="10.28515625" style="237"/>
    <col min="2817" max="2817" width="6.42578125" style="237" customWidth="1"/>
    <col min="2818" max="2818" width="58.28515625" style="237" customWidth="1"/>
    <col min="2819" max="2819" width="10.28515625" style="237"/>
    <col min="2820" max="2820" width="11" style="237" customWidth="1"/>
    <col min="2821" max="2822" width="9.7109375" style="237" customWidth="1"/>
    <col min="2823" max="2823" width="10.7109375" style="237" customWidth="1"/>
    <col min="2824" max="2825" width="11.28515625" style="237" customWidth="1"/>
    <col min="2826" max="2826" width="17" style="237" customWidth="1"/>
    <col min="2827" max="2827" width="16.28515625" style="237" customWidth="1"/>
    <col min="2828" max="3072" width="10.28515625" style="237"/>
    <col min="3073" max="3073" width="6.42578125" style="237" customWidth="1"/>
    <col min="3074" max="3074" width="58.28515625" style="237" customWidth="1"/>
    <col min="3075" max="3075" width="10.28515625" style="237"/>
    <col min="3076" max="3076" width="11" style="237" customWidth="1"/>
    <col min="3077" max="3078" width="9.7109375" style="237" customWidth="1"/>
    <col min="3079" max="3079" width="10.7109375" style="237" customWidth="1"/>
    <col min="3080" max="3081" width="11.28515625" style="237" customWidth="1"/>
    <col min="3082" max="3082" width="17" style="237" customWidth="1"/>
    <col min="3083" max="3083" width="16.28515625" style="237" customWidth="1"/>
    <col min="3084" max="3328" width="10.28515625" style="237"/>
    <col min="3329" max="3329" width="6.42578125" style="237" customWidth="1"/>
    <col min="3330" max="3330" width="58.28515625" style="237" customWidth="1"/>
    <col min="3331" max="3331" width="10.28515625" style="237"/>
    <col min="3332" max="3332" width="11" style="237" customWidth="1"/>
    <col min="3333" max="3334" width="9.7109375" style="237" customWidth="1"/>
    <col min="3335" max="3335" width="10.7109375" style="237" customWidth="1"/>
    <col min="3336" max="3337" width="11.28515625" style="237" customWidth="1"/>
    <col min="3338" max="3338" width="17" style="237" customWidth="1"/>
    <col min="3339" max="3339" width="16.28515625" style="237" customWidth="1"/>
    <col min="3340" max="3584" width="10.28515625" style="237"/>
    <col min="3585" max="3585" width="6.42578125" style="237" customWidth="1"/>
    <col min="3586" max="3586" width="58.28515625" style="237" customWidth="1"/>
    <col min="3587" max="3587" width="10.28515625" style="237"/>
    <col min="3588" max="3588" width="11" style="237" customWidth="1"/>
    <col min="3589" max="3590" width="9.7109375" style="237" customWidth="1"/>
    <col min="3591" max="3591" width="10.7109375" style="237" customWidth="1"/>
    <col min="3592" max="3593" width="11.28515625" style="237" customWidth="1"/>
    <col min="3594" max="3594" width="17" style="237" customWidth="1"/>
    <col min="3595" max="3595" width="16.28515625" style="237" customWidth="1"/>
    <col min="3596" max="3840" width="10.28515625" style="237"/>
    <col min="3841" max="3841" width="6.42578125" style="237" customWidth="1"/>
    <col min="3842" max="3842" width="58.28515625" style="237" customWidth="1"/>
    <col min="3843" max="3843" width="10.28515625" style="237"/>
    <col min="3844" max="3844" width="11" style="237" customWidth="1"/>
    <col min="3845" max="3846" width="9.7109375" style="237" customWidth="1"/>
    <col min="3847" max="3847" width="10.7109375" style="237" customWidth="1"/>
    <col min="3848" max="3849" width="11.28515625" style="237" customWidth="1"/>
    <col min="3850" max="3850" width="17" style="237" customWidth="1"/>
    <col min="3851" max="3851" width="16.28515625" style="237" customWidth="1"/>
    <col min="3852" max="4096" width="10.28515625" style="237"/>
    <col min="4097" max="4097" width="6.42578125" style="237" customWidth="1"/>
    <col min="4098" max="4098" width="58.28515625" style="237" customWidth="1"/>
    <col min="4099" max="4099" width="10.28515625" style="237"/>
    <col min="4100" max="4100" width="11" style="237" customWidth="1"/>
    <col min="4101" max="4102" width="9.7109375" style="237" customWidth="1"/>
    <col min="4103" max="4103" width="10.7109375" style="237" customWidth="1"/>
    <col min="4104" max="4105" width="11.28515625" style="237" customWidth="1"/>
    <col min="4106" max="4106" width="17" style="237" customWidth="1"/>
    <col min="4107" max="4107" width="16.28515625" style="237" customWidth="1"/>
    <col min="4108" max="4352" width="10.28515625" style="237"/>
    <col min="4353" max="4353" width="6.42578125" style="237" customWidth="1"/>
    <col min="4354" max="4354" width="58.28515625" style="237" customWidth="1"/>
    <col min="4355" max="4355" width="10.28515625" style="237"/>
    <col min="4356" max="4356" width="11" style="237" customWidth="1"/>
    <col min="4357" max="4358" width="9.7109375" style="237" customWidth="1"/>
    <col min="4359" max="4359" width="10.7109375" style="237" customWidth="1"/>
    <col min="4360" max="4361" width="11.28515625" style="237" customWidth="1"/>
    <col min="4362" max="4362" width="17" style="237" customWidth="1"/>
    <col min="4363" max="4363" width="16.28515625" style="237" customWidth="1"/>
    <col min="4364" max="4608" width="10.28515625" style="237"/>
    <col min="4609" max="4609" width="6.42578125" style="237" customWidth="1"/>
    <col min="4610" max="4610" width="58.28515625" style="237" customWidth="1"/>
    <col min="4611" max="4611" width="10.28515625" style="237"/>
    <col min="4612" max="4612" width="11" style="237" customWidth="1"/>
    <col min="4613" max="4614" width="9.7109375" style="237" customWidth="1"/>
    <col min="4615" max="4615" width="10.7109375" style="237" customWidth="1"/>
    <col min="4616" max="4617" width="11.28515625" style="237" customWidth="1"/>
    <col min="4618" max="4618" width="17" style="237" customWidth="1"/>
    <col min="4619" max="4619" width="16.28515625" style="237" customWidth="1"/>
    <col min="4620" max="4864" width="10.28515625" style="237"/>
    <col min="4865" max="4865" width="6.42578125" style="237" customWidth="1"/>
    <col min="4866" max="4866" width="58.28515625" style="237" customWidth="1"/>
    <col min="4867" max="4867" width="10.28515625" style="237"/>
    <col min="4868" max="4868" width="11" style="237" customWidth="1"/>
    <col min="4869" max="4870" width="9.7109375" style="237" customWidth="1"/>
    <col min="4871" max="4871" width="10.7109375" style="237" customWidth="1"/>
    <col min="4872" max="4873" width="11.28515625" style="237" customWidth="1"/>
    <col min="4874" max="4874" width="17" style="237" customWidth="1"/>
    <col min="4875" max="4875" width="16.28515625" style="237" customWidth="1"/>
    <col min="4876" max="5120" width="10.28515625" style="237"/>
    <col min="5121" max="5121" width="6.42578125" style="237" customWidth="1"/>
    <col min="5122" max="5122" width="58.28515625" style="237" customWidth="1"/>
    <col min="5123" max="5123" width="10.28515625" style="237"/>
    <col min="5124" max="5124" width="11" style="237" customWidth="1"/>
    <col min="5125" max="5126" width="9.7109375" style="237" customWidth="1"/>
    <col min="5127" max="5127" width="10.7109375" style="237" customWidth="1"/>
    <col min="5128" max="5129" width="11.28515625" style="237" customWidth="1"/>
    <col min="5130" max="5130" width="17" style="237" customWidth="1"/>
    <col min="5131" max="5131" width="16.28515625" style="237" customWidth="1"/>
    <col min="5132" max="5376" width="10.28515625" style="237"/>
    <col min="5377" max="5377" width="6.42578125" style="237" customWidth="1"/>
    <col min="5378" max="5378" width="58.28515625" style="237" customWidth="1"/>
    <col min="5379" max="5379" width="10.28515625" style="237"/>
    <col min="5380" max="5380" width="11" style="237" customWidth="1"/>
    <col min="5381" max="5382" width="9.7109375" style="237" customWidth="1"/>
    <col min="5383" max="5383" width="10.7109375" style="237" customWidth="1"/>
    <col min="5384" max="5385" width="11.28515625" style="237" customWidth="1"/>
    <col min="5386" max="5386" width="17" style="237" customWidth="1"/>
    <col min="5387" max="5387" width="16.28515625" style="237" customWidth="1"/>
    <col min="5388" max="5632" width="10.28515625" style="237"/>
    <col min="5633" max="5633" width="6.42578125" style="237" customWidth="1"/>
    <col min="5634" max="5634" width="58.28515625" style="237" customWidth="1"/>
    <col min="5635" max="5635" width="10.28515625" style="237"/>
    <col min="5636" max="5636" width="11" style="237" customWidth="1"/>
    <col min="5637" max="5638" width="9.7109375" style="237" customWidth="1"/>
    <col min="5639" max="5639" width="10.7109375" style="237" customWidth="1"/>
    <col min="5640" max="5641" width="11.28515625" style="237" customWidth="1"/>
    <col min="5642" max="5642" width="17" style="237" customWidth="1"/>
    <col min="5643" max="5643" width="16.28515625" style="237" customWidth="1"/>
    <col min="5644" max="5888" width="10.28515625" style="237"/>
    <col min="5889" max="5889" width="6.42578125" style="237" customWidth="1"/>
    <col min="5890" max="5890" width="58.28515625" style="237" customWidth="1"/>
    <col min="5891" max="5891" width="10.28515625" style="237"/>
    <col min="5892" max="5892" width="11" style="237" customWidth="1"/>
    <col min="5893" max="5894" width="9.7109375" style="237" customWidth="1"/>
    <col min="5895" max="5895" width="10.7109375" style="237" customWidth="1"/>
    <col min="5896" max="5897" width="11.28515625" style="237" customWidth="1"/>
    <col min="5898" max="5898" width="17" style="237" customWidth="1"/>
    <col min="5899" max="5899" width="16.28515625" style="237" customWidth="1"/>
    <col min="5900" max="6144" width="10.28515625" style="237"/>
    <col min="6145" max="6145" width="6.42578125" style="237" customWidth="1"/>
    <col min="6146" max="6146" width="58.28515625" style="237" customWidth="1"/>
    <col min="6147" max="6147" width="10.28515625" style="237"/>
    <col min="6148" max="6148" width="11" style="237" customWidth="1"/>
    <col min="6149" max="6150" width="9.7109375" style="237" customWidth="1"/>
    <col min="6151" max="6151" width="10.7109375" style="237" customWidth="1"/>
    <col min="6152" max="6153" width="11.28515625" style="237" customWidth="1"/>
    <col min="6154" max="6154" width="17" style="237" customWidth="1"/>
    <col min="6155" max="6155" width="16.28515625" style="237" customWidth="1"/>
    <col min="6156" max="6400" width="10.28515625" style="237"/>
    <col min="6401" max="6401" width="6.42578125" style="237" customWidth="1"/>
    <col min="6402" max="6402" width="58.28515625" style="237" customWidth="1"/>
    <col min="6403" max="6403" width="10.28515625" style="237"/>
    <col min="6404" max="6404" width="11" style="237" customWidth="1"/>
    <col min="6405" max="6406" width="9.7109375" style="237" customWidth="1"/>
    <col min="6407" max="6407" width="10.7109375" style="237" customWidth="1"/>
    <col min="6408" max="6409" width="11.28515625" style="237" customWidth="1"/>
    <col min="6410" max="6410" width="17" style="237" customWidth="1"/>
    <col min="6411" max="6411" width="16.28515625" style="237" customWidth="1"/>
    <col min="6412" max="6656" width="10.28515625" style="237"/>
    <col min="6657" max="6657" width="6.42578125" style="237" customWidth="1"/>
    <col min="6658" max="6658" width="58.28515625" style="237" customWidth="1"/>
    <col min="6659" max="6659" width="10.28515625" style="237"/>
    <col min="6660" max="6660" width="11" style="237" customWidth="1"/>
    <col min="6661" max="6662" width="9.7109375" style="237" customWidth="1"/>
    <col min="6663" max="6663" width="10.7109375" style="237" customWidth="1"/>
    <col min="6664" max="6665" width="11.28515625" style="237" customWidth="1"/>
    <col min="6666" max="6666" width="17" style="237" customWidth="1"/>
    <col min="6667" max="6667" width="16.28515625" style="237" customWidth="1"/>
    <col min="6668" max="6912" width="10.28515625" style="237"/>
    <col min="6913" max="6913" width="6.42578125" style="237" customWidth="1"/>
    <col min="6914" max="6914" width="58.28515625" style="237" customWidth="1"/>
    <col min="6915" max="6915" width="10.28515625" style="237"/>
    <col min="6916" max="6916" width="11" style="237" customWidth="1"/>
    <col min="6917" max="6918" width="9.7109375" style="237" customWidth="1"/>
    <col min="6919" max="6919" width="10.7109375" style="237" customWidth="1"/>
    <col min="6920" max="6921" width="11.28515625" style="237" customWidth="1"/>
    <col min="6922" max="6922" width="17" style="237" customWidth="1"/>
    <col min="6923" max="6923" width="16.28515625" style="237" customWidth="1"/>
    <col min="6924" max="7168" width="10.28515625" style="237"/>
    <col min="7169" max="7169" width="6.42578125" style="237" customWidth="1"/>
    <col min="7170" max="7170" width="58.28515625" style="237" customWidth="1"/>
    <col min="7171" max="7171" width="10.28515625" style="237"/>
    <col min="7172" max="7172" width="11" style="237" customWidth="1"/>
    <col min="7173" max="7174" width="9.7109375" style="237" customWidth="1"/>
    <col min="7175" max="7175" width="10.7109375" style="237" customWidth="1"/>
    <col min="7176" max="7177" width="11.28515625" style="237" customWidth="1"/>
    <col min="7178" max="7178" width="17" style="237" customWidth="1"/>
    <col min="7179" max="7179" width="16.28515625" style="237" customWidth="1"/>
    <col min="7180" max="7424" width="10.28515625" style="237"/>
    <col min="7425" max="7425" width="6.42578125" style="237" customWidth="1"/>
    <col min="7426" max="7426" width="58.28515625" style="237" customWidth="1"/>
    <col min="7427" max="7427" width="10.28515625" style="237"/>
    <col min="7428" max="7428" width="11" style="237" customWidth="1"/>
    <col min="7429" max="7430" width="9.7109375" style="237" customWidth="1"/>
    <col min="7431" max="7431" width="10.7109375" style="237" customWidth="1"/>
    <col min="7432" max="7433" width="11.28515625" style="237" customWidth="1"/>
    <col min="7434" max="7434" width="17" style="237" customWidth="1"/>
    <col min="7435" max="7435" width="16.28515625" style="237" customWidth="1"/>
    <col min="7436" max="7680" width="10.28515625" style="237"/>
    <col min="7681" max="7681" width="6.42578125" style="237" customWidth="1"/>
    <col min="7682" max="7682" width="58.28515625" style="237" customWidth="1"/>
    <col min="7683" max="7683" width="10.28515625" style="237"/>
    <col min="7684" max="7684" width="11" style="237" customWidth="1"/>
    <col min="7685" max="7686" width="9.7109375" style="237" customWidth="1"/>
    <col min="7687" max="7687" width="10.7109375" style="237" customWidth="1"/>
    <col min="7688" max="7689" width="11.28515625" style="237" customWidth="1"/>
    <col min="7690" max="7690" width="17" style="237" customWidth="1"/>
    <col min="7691" max="7691" width="16.28515625" style="237" customWidth="1"/>
    <col min="7692" max="7936" width="10.28515625" style="237"/>
    <col min="7937" max="7937" width="6.42578125" style="237" customWidth="1"/>
    <col min="7938" max="7938" width="58.28515625" style="237" customWidth="1"/>
    <col min="7939" max="7939" width="10.28515625" style="237"/>
    <col min="7940" max="7940" width="11" style="237" customWidth="1"/>
    <col min="7941" max="7942" width="9.7109375" style="237" customWidth="1"/>
    <col min="7943" max="7943" width="10.7109375" style="237" customWidth="1"/>
    <col min="7944" max="7945" width="11.28515625" style="237" customWidth="1"/>
    <col min="7946" max="7946" width="17" style="237" customWidth="1"/>
    <col min="7947" max="7947" width="16.28515625" style="237" customWidth="1"/>
    <col min="7948" max="8192" width="10.28515625" style="237"/>
    <col min="8193" max="8193" width="6.42578125" style="237" customWidth="1"/>
    <col min="8194" max="8194" width="58.28515625" style="237" customWidth="1"/>
    <col min="8195" max="8195" width="10.28515625" style="237"/>
    <col min="8196" max="8196" width="11" style="237" customWidth="1"/>
    <col min="8197" max="8198" width="9.7109375" style="237" customWidth="1"/>
    <col min="8199" max="8199" width="10.7109375" style="237" customWidth="1"/>
    <col min="8200" max="8201" width="11.28515625" style="237" customWidth="1"/>
    <col min="8202" max="8202" width="17" style="237" customWidth="1"/>
    <col min="8203" max="8203" width="16.28515625" style="237" customWidth="1"/>
    <col min="8204" max="8448" width="10.28515625" style="237"/>
    <col min="8449" max="8449" width="6.42578125" style="237" customWidth="1"/>
    <col min="8450" max="8450" width="58.28515625" style="237" customWidth="1"/>
    <col min="8451" max="8451" width="10.28515625" style="237"/>
    <col min="8452" max="8452" width="11" style="237" customWidth="1"/>
    <col min="8453" max="8454" width="9.7109375" style="237" customWidth="1"/>
    <col min="8455" max="8455" width="10.7109375" style="237" customWidth="1"/>
    <col min="8456" max="8457" width="11.28515625" style="237" customWidth="1"/>
    <col min="8458" max="8458" width="17" style="237" customWidth="1"/>
    <col min="8459" max="8459" width="16.28515625" style="237" customWidth="1"/>
    <col min="8460" max="8704" width="10.28515625" style="237"/>
    <col min="8705" max="8705" width="6.42578125" style="237" customWidth="1"/>
    <col min="8706" max="8706" width="58.28515625" style="237" customWidth="1"/>
    <col min="8707" max="8707" width="10.28515625" style="237"/>
    <col min="8708" max="8708" width="11" style="237" customWidth="1"/>
    <col min="8709" max="8710" width="9.7109375" style="237" customWidth="1"/>
    <col min="8711" max="8711" width="10.7109375" style="237" customWidth="1"/>
    <col min="8712" max="8713" width="11.28515625" style="237" customWidth="1"/>
    <col min="8714" max="8714" width="17" style="237" customWidth="1"/>
    <col min="8715" max="8715" width="16.28515625" style="237" customWidth="1"/>
    <col min="8716" max="8960" width="10.28515625" style="237"/>
    <col min="8961" max="8961" width="6.42578125" style="237" customWidth="1"/>
    <col min="8962" max="8962" width="58.28515625" style="237" customWidth="1"/>
    <col min="8963" max="8963" width="10.28515625" style="237"/>
    <col min="8964" max="8964" width="11" style="237" customWidth="1"/>
    <col min="8965" max="8966" width="9.7109375" style="237" customWidth="1"/>
    <col min="8967" max="8967" width="10.7109375" style="237" customWidth="1"/>
    <col min="8968" max="8969" width="11.28515625" style="237" customWidth="1"/>
    <col min="8970" max="8970" width="17" style="237" customWidth="1"/>
    <col min="8971" max="8971" width="16.28515625" style="237" customWidth="1"/>
    <col min="8972" max="9216" width="10.28515625" style="237"/>
    <col min="9217" max="9217" width="6.42578125" style="237" customWidth="1"/>
    <col min="9218" max="9218" width="58.28515625" style="237" customWidth="1"/>
    <col min="9219" max="9219" width="10.28515625" style="237"/>
    <col min="9220" max="9220" width="11" style="237" customWidth="1"/>
    <col min="9221" max="9222" width="9.7109375" style="237" customWidth="1"/>
    <col min="9223" max="9223" width="10.7109375" style="237" customWidth="1"/>
    <col min="9224" max="9225" width="11.28515625" style="237" customWidth="1"/>
    <col min="9226" max="9226" width="17" style="237" customWidth="1"/>
    <col min="9227" max="9227" width="16.28515625" style="237" customWidth="1"/>
    <col min="9228" max="9472" width="10.28515625" style="237"/>
    <col min="9473" max="9473" width="6.42578125" style="237" customWidth="1"/>
    <col min="9474" max="9474" width="58.28515625" style="237" customWidth="1"/>
    <col min="9475" max="9475" width="10.28515625" style="237"/>
    <col min="9476" max="9476" width="11" style="237" customWidth="1"/>
    <col min="9477" max="9478" width="9.7109375" style="237" customWidth="1"/>
    <col min="9479" max="9479" width="10.7109375" style="237" customWidth="1"/>
    <col min="9480" max="9481" width="11.28515625" style="237" customWidth="1"/>
    <col min="9482" max="9482" width="17" style="237" customWidth="1"/>
    <col min="9483" max="9483" width="16.28515625" style="237" customWidth="1"/>
    <col min="9484" max="9728" width="10.28515625" style="237"/>
    <col min="9729" max="9729" width="6.42578125" style="237" customWidth="1"/>
    <col min="9730" max="9730" width="58.28515625" style="237" customWidth="1"/>
    <col min="9731" max="9731" width="10.28515625" style="237"/>
    <col min="9732" max="9732" width="11" style="237" customWidth="1"/>
    <col min="9733" max="9734" width="9.7109375" style="237" customWidth="1"/>
    <col min="9735" max="9735" width="10.7109375" style="237" customWidth="1"/>
    <col min="9736" max="9737" width="11.28515625" style="237" customWidth="1"/>
    <col min="9738" max="9738" width="17" style="237" customWidth="1"/>
    <col min="9739" max="9739" width="16.28515625" style="237" customWidth="1"/>
    <col min="9740" max="9984" width="10.28515625" style="237"/>
    <col min="9985" max="9985" width="6.42578125" style="237" customWidth="1"/>
    <col min="9986" max="9986" width="58.28515625" style="237" customWidth="1"/>
    <col min="9987" max="9987" width="10.28515625" style="237"/>
    <col min="9988" max="9988" width="11" style="237" customWidth="1"/>
    <col min="9989" max="9990" width="9.7109375" style="237" customWidth="1"/>
    <col min="9991" max="9991" width="10.7109375" style="237" customWidth="1"/>
    <col min="9992" max="9993" width="11.28515625" style="237" customWidth="1"/>
    <col min="9994" max="9994" width="17" style="237" customWidth="1"/>
    <col min="9995" max="9995" width="16.28515625" style="237" customWidth="1"/>
    <col min="9996" max="10240" width="10.28515625" style="237"/>
    <col min="10241" max="10241" width="6.42578125" style="237" customWidth="1"/>
    <col min="10242" max="10242" width="58.28515625" style="237" customWidth="1"/>
    <col min="10243" max="10243" width="10.28515625" style="237"/>
    <col min="10244" max="10244" width="11" style="237" customWidth="1"/>
    <col min="10245" max="10246" width="9.7109375" style="237" customWidth="1"/>
    <col min="10247" max="10247" width="10.7109375" style="237" customWidth="1"/>
    <col min="10248" max="10249" width="11.28515625" style="237" customWidth="1"/>
    <col min="10250" max="10250" width="17" style="237" customWidth="1"/>
    <col min="10251" max="10251" width="16.28515625" style="237" customWidth="1"/>
    <col min="10252" max="10496" width="10.28515625" style="237"/>
    <col min="10497" max="10497" width="6.42578125" style="237" customWidth="1"/>
    <col min="10498" max="10498" width="58.28515625" style="237" customWidth="1"/>
    <col min="10499" max="10499" width="10.28515625" style="237"/>
    <col min="10500" max="10500" width="11" style="237" customWidth="1"/>
    <col min="10501" max="10502" width="9.7109375" style="237" customWidth="1"/>
    <col min="10503" max="10503" width="10.7109375" style="237" customWidth="1"/>
    <col min="10504" max="10505" width="11.28515625" style="237" customWidth="1"/>
    <col min="10506" max="10506" width="17" style="237" customWidth="1"/>
    <col min="10507" max="10507" width="16.28515625" style="237" customWidth="1"/>
    <col min="10508" max="10752" width="10.28515625" style="237"/>
    <col min="10753" max="10753" width="6.42578125" style="237" customWidth="1"/>
    <col min="10754" max="10754" width="58.28515625" style="237" customWidth="1"/>
    <col min="10755" max="10755" width="10.28515625" style="237"/>
    <col min="10756" max="10756" width="11" style="237" customWidth="1"/>
    <col min="10757" max="10758" width="9.7109375" style="237" customWidth="1"/>
    <col min="10759" max="10759" width="10.7109375" style="237" customWidth="1"/>
    <col min="10760" max="10761" width="11.28515625" style="237" customWidth="1"/>
    <col min="10762" max="10762" width="17" style="237" customWidth="1"/>
    <col min="10763" max="10763" width="16.28515625" style="237" customWidth="1"/>
    <col min="10764" max="11008" width="10.28515625" style="237"/>
    <col min="11009" max="11009" width="6.42578125" style="237" customWidth="1"/>
    <col min="11010" max="11010" width="58.28515625" style="237" customWidth="1"/>
    <col min="11011" max="11011" width="10.28515625" style="237"/>
    <col min="11012" max="11012" width="11" style="237" customWidth="1"/>
    <col min="11013" max="11014" width="9.7109375" style="237" customWidth="1"/>
    <col min="11015" max="11015" width="10.7109375" style="237" customWidth="1"/>
    <col min="11016" max="11017" width="11.28515625" style="237" customWidth="1"/>
    <col min="11018" max="11018" width="17" style="237" customWidth="1"/>
    <col min="11019" max="11019" width="16.28515625" style="237" customWidth="1"/>
    <col min="11020" max="11264" width="10.28515625" style="237"/>
    <col min="11265" max="11265" width="6.42578125" style="237" customWidth="1"/>
    <col min="11266" max="11266" width="58.28515625" style="237" customWidth="1"/>
    <col min="11267" max="11267" width="10.28515625" style="237"/>
    <col min="11268" max="11268" width="11" style="237" customWidth="1"/>
    <col min="11269" max="11270" width="9.7109375" style="237" customWidth="1"/>
    <col min="11271" max="11271" width="10.7109375" style="237" customWidth="1"/>
    <col min="11272" max="11273" width="11.28515625" style="237" customWidth="1"/>
    <col min="11274" max="11274" width="17" style="237" customWidth="1"/>
    <col min="11275" max="11275" width="16.28515625" style="237" customWidth="1"/>
    <col min="11276" max="11520" width="10.28515625" style="237"/>
    <col min="11521" max="11521" width="6.42578125" style="237" customWidth="1"/>
    <col min="11522" max="11522" width="58.28515625" style="237" customWidth="1"/>
    <col min="11523" max="11523" width="10.28515625" style="237"/>
    <col min="11524" max="11524" width="11" style="237" customWidth="1"/>
    <col min="11525" max="11526" width="9.7109375" style="237" customWidth="1"/>
    <col min="11527" max="11527" width="10.7109375" style="237" customWidth="1"/>
    <col min="11528" max="11529" width="11.28515625" style="237" customWidth="1"/>
    <col min="11530" max="11530" width="17" style="237" customWidth="1"/>
    <col min="11531" max="11531" width="16.28515625" style="237" customWidth="1"/>
    <col min="11532" max="11776" width="10.28515625" style="237"/>
    <col min="11777" max="11777" width="6.42578125" style="237" customWidth="1"/>
    <col min="11778" max="11778" width="58.28515625" style="237" customWidth="1"/>
    <col min="11779" max="11779" width="10.28515625" style="237"/>
    <col min="11780" max="11780" width="11" style="237" customWidth="1"/>
    <col min="11781" max="11782" width="9.7109375" style="237" customWidth="1"/>
    <col min="11783" max="11783" width="10.7109375" style="237" customWidth="1"/>
    <col min="11784" max="11785" width="11.28515625" style="237" customWidth="1"/>
    <col min="11786" max="11786" width="17" style="237" customWidth="1"/>
    <col min="11787" max="11787" width="16.28515625" style="237" customWidth="1"/>
    <col min="11788" max="12032" width="10.28515625" style="237"/>
    <col min="12033" max="12033" width="6.42578125" style="237" customWidth="1"/>
    <col min="12034" max="12034" width="58.28515625" style="237" customWidth="1"/>
    <col min="12035" max="12035" width="10.28515625" style="237"/>
    <col min="12036" max="12036" width="11" style="237" customWidth="1"/>
    <col min="12037" max="12038" width="9.7109375" style="237" customWidth="1"/>
    <col min="12039" max="12039" width="10.7109375" style="237" customWidth="1"/>
    <col min="12040" max="12041" width="11.28515625" style="237" customWidth="1"/>
    <col min="12042" max="12042" width="17" style="237" customWidth="1"/>
    <col min="12043" max="12043" width="16.28515625" style="237" customWidth="1"/>
    <col min="12044" max="12288" width="10.28515625" style="237"/>
    <col min="12289" max="12289" width="6.42578125" style="237" customWidth="1"/>
    <col min="12290" max="12290" width="58.28515625" style="237" customWidth="1"/>
    <col min="12291" max="12291" width="10.28515625" style="237"/>
    <col min="12292" max="12292" width="11" style="237" customWidth="1"/>
    <col min="12293" max="12294" width="9.7109375" style="237" customWidth="1"/>
    <col min="12295" max="12295" width="10.7109375" style="237" customWidth="1"/>
    <col min="12296" max="12297" width="11.28515625" style="237" customWidth="1"/>
    <col min="12298" max="12298" width="17" style="237" customWidth="1"/>
    <col min="12299" max="12299" width="16.28515625" style="237" customWidth="1"/>
    <col min="12300" max="12544" width="10.28515625" style="237"/>
    <col min="12545" max="12545" width="6.42578125" style="237" customWidth="1"/>
    <col min="12546" max="12546" width="58.28515625" style="237" customWidth="1"/>
    <col min="12547" max="12547" width="10.28515625" style="237"/>
    <col min="12548" max="12548" width="11" style="237" customWidth="1"/>
    <col min="12549" max="12550" width="9.7109375" style="237" customWidth="1"/>
    <col min="12551" max="12551" width="10.7109375" style="237" customWidth="1"/>
    <col min="12552" max="12553" width="11.28515625" style="237" customWidth="1"/>
    <col min="12554" max="12554" width="17" style="237" customWidth="1"/>
    <col min="12555" max="12555" width="16.28515625" style="237" customWidth="1"/>
    <col min="12556" max="12800" width="10.28515625" style="237"/>
    <col min="12801" max="12801" width="6.42578125" style="237" customWidth="1"/>
    <col min="12802" max="12802" width="58.28515625" style="237" customWidth="1"/>
    <col min="12803" max="12803" width="10.28515625" style="237"/>
    <col min="12804" max="12804" width="11" style="237" customWidth="1"/>
    <col min="12805" max="12806" width="9.7109375" style="237" customWidth="1"/>
    <col min="12807" max="12807" width="10.7109375" style="237" customWidth="1"/>
    <col min="12808" max="12809" width="11.28515625" style="237" customWidth="1"/>
    <col min="12810" max="12810" width="17" style="237" customWidth="1"/>
    <col min="12811" max="12811" width="16.28515625" style="237" customWidth="1"/>
    <col min="12812" max="13056" width="10.28515625" style="237"/>
    <col min="13057" max="13057" width="6.42578125" style="237" customWidth="1"/>
    <col min="13058" max="13058" width="58.28515625" style="237" customWidth="1"/>
    <col min="13059" max="13059" width="10.28515625" style="237"/>
    <col min="13060" max="13060" width="11" style="237" customWidth="1"/>
    <col min="13061" max="13062" width="9.7109375" style="237" customWidth="1"/>
    <col min="13063" max="13063" width="10.7109375" style="237" customWidth="1"/>
    <col min="13064" max="13065" width="11.28515625" style="237" customWidth="1"/>
    <col min="13066" max="13066" width="17" style="237" customWidth="1"/>
    <col min="13067" max="13067" width="16.28515625" style="237" customWidth="1"/>
    <col min="13068" max="13312" width="10.28515625" style="237"/>
    <col min="13313" max="13313" width="6.42578125" style="237" customWidth="1"/>
    <col min="13314" max="13314" width="58.28515625" style="237" customWidth="1"/>
    <col min="13315" max="13315" width="10.28515625" style="237"/>
    <col min="13316" max="13316" width="11" style="237" customWidth="1"/>
    <col min="13317" max="13318" width="9.7109375" style="237" customWidth="1"/>
    <col min="13319" max="13319" width="10.7109375" style="237" customWidth="1"/>
    <col min="13320" max="13321" width="11.28515625" style="237" customWidth="1"/>
    <col min="13322" max="13322" width="17" style="237" customWidth="1"/>
    <col min="13323" max="13323" width="16.28515625" style="237" customWidth="1"/>
    <col min="13324" max="13568" width="10.28515625" style="237"/>
    <col min="13569" max="13569" width="6.42578125" style="237" customWidth="1"/>
    <col min="13570" max="13570" width="58.28515625" style="237" customWidth="1"/>
    <col min="13571" max="13571" width="10.28515625" style="237"/>
    <col min="13572" max="13572" width="11" style="237" customWidth="1"/>
    <col min="13573" max="13574" width="9.7109375" style="237" customWidth="1"/>
    <col min="13575" max="13575" width="10.7109375" style="237" customWidth="1"/>
    <col min="13576" max="13577" width="11.28515625" style="237" customWidth="1"/>
    <col min="13578" max="13578" width="17" style="237" customWidth="1"/>
    <col min="13579" max="13579" width="16.28515625" style="237" customWidth="1"/>
    <col min="13580" max="13824" width="10.28515625" style="237"/>
    <col min="13825" max="13825" width="6.42578125" style="237" customWidth="1"/>
    <col min="13826" max="13826" width="58.28515625" style="237" customWidth="1"/>
    <col min="13827" max="13827" width="10.28515625" style="237"/>
    <col min="13828" max="13828" width="11" style="237" customWidth="1"/>
    <col min="13829" max="13830" width="9.7109375" style="237" customWidth="1"/>
    <col min="13831" max="13831" width="10.7109375" style="237" customWidth="1"/>
    <col min="13832" max="13833" width="11.28515625" style="237" customWidth="1"/>
    <col min="13834" max="13834" width="17" style="237" customWidth="1"/>
    <col min="13835" max="13835" width="16.28515625" style="237" customWidth="1"/>
    <col min="13836" max="14080" width="10.28515625" style="237"/>
    <col min="14081" max="14081" width="6.42578125" style="237" customWidth="1"/>
    <col min="14082" max="14082" width="58.28515625" style="237" customWidth="1"/>
    <col min="14083" max="14083" width="10.28515625" style="237"/>
    <col min="14084" max="14084" width="11" style="237" customWidth="1"/>
    <col min="14085" max="14086" width="9.7109375" style="237" customWidth="1"/>
    <col min="14087" max="14087" width="10.7109375" style="237" customWidth="1"/>
    <col min="14088" max="14089" width="11.28515625" style="237" customWidth="1"/>
    <col min="14090" max="14090" width="17" style="237" customWidth="1"/>
    <col min="14091" max="14091" width="16.28515625" style="237" customWidth="1"/>
    <col min="14092" max="14336" width="10.28515625" style="237"/>
    <col min="14337" max="14337" width="6.42578125" style="237" customWidth="1"/>
    <col min="14338" max="14338" width="58.28515625" style="237" customWidth="1"/>
    <col min="14339" max="14339" width="10.28515625" style="237"/>
    <col min="14340" max="14340" width="11" style="237" customWidth="1"/>
    <col min="14341" max="14342" width="9.7109375" style="237" customWidth="1"/>
    <col min="14343" max="14343" width="10.7109375" style="237" customWidth="1"/>
    <col min="14344" max="14345" width="11.28515625" style="237" customWidth="1"/>
    <col min="14346" max="14346" width="17" style="237" customWidth="1"/>
    <col min="14347" max="14347" width="16.28515625" style="237" customWidth="1"/>
    <col min="14348" max="14592" width="10.28515625" style="237"/>
    <col min="14593" max="14593" width="6.42578125" style="237" customWidth="1"/>
    <col min="14594" max="14594" width="58.28515625" style="237" customWidth="1"/>
    <col min="14595" max="14595" width="10.28515625" style="237"/>
    <col min="14596" max="14596" width="11" style="237" customWidth="1"/>
    <col min="14597" max="14598" width="9.7109375" style="237" customWidth="1"/>
    <col min="14599" max="14599" width="10.7109375" style="237" customWidth="1"/>
    <col min="14600" max="14601" width="11.28515625" style="237" customWidth="1"/>
    <col min="14602" max="14602" width="17" style="237" customWidth="1"/>
    <col min="14603" max="14603" width="16.28515625" style="237" customWidth="1"/>
    <col min="14604" max="14848" width="10.28515625" style="237"/>
    <col min="14849" max="14849" width="6.42578125" style="237" customWidth="1"/>
    <col min="14850" max="14850" width="58.28515625" style="237" customWidth="1"/>
    <col min="14851" max="14851" width="10.28515625" style="237"/>
    <col min="14852" max="14852" width="11" style="237" customWidth="1"/>
    <col min="14853" max="14854" width="9.7109375" style="237" customWidth="1"/>
    <col min="14855" max="14855" width="10.7109375" style="237" customWidth="1"/>
    <col min="14856" max="14857" width="11.28515625" style="237" customWidth="1"/>
    <col min="14858" max="14858" width="17" style="237" customWidth="1"/>
    <col min="14859" max="14859" width="16.28515625" style="237" customWidth="1"/>
    <col min="14860" max="15104" width="10.28515625" style="237"/>
    <col min="15105" max="15105" width="6.42578125" style="237" customWidth="1"/>
    <col min="15106" max="15106" width="58.28515625" style="237" customWidth="1"/>
    <col min="15107" max="15107" width="10.28515625" style="237"/>
    <col min="15108" max="15108" width="11" style="237" customWidth="1"/>
    <col min="15109" max="15110" width="9.7109375" style="237" customWidth="1"/>
    <col min="15111" max="15111" width="10.7109375" style="237" customWidth="1"/>
    <col min="15112" max="15113" width="11.28515625" style="237" customWidth="1"/>
    <col min="15114" max="15114" width="17" style="237" customWidth="1"/>
    <col min="15115" max="15115" width="16.28515625" style="237" customWidth="1"/>
    <col min="15116" max="15360" width="10.28515625" style="237"/>
    <col min="15361" max="15361" width="6.42578125" style="237" customWidth="1"/>
    <col min="15362" max="15362" width="58.28515625" style="237" customWidth="1"/>
    <col min="15363" max="15363" width="10.28515625" style="237"/>
    <col min="15364" max="15364" width="11" style="237" customWidth="1"/>
    <col min="15365" max="15366" width="9.7109375" style="237" customWidth="1"/>
    <col min="15367" max="15367" width="10.7109375" style="237" customWidth="1"/>
    <col min="15368" max="15369" width="11.28515625" style="237" customWidth="1"/>
    <col min="15370" max="15370" width="17" style="237" customWidth="1"/>
    <col min="15371" max="15371" width="16.28515625" style="237" customWidth="1"/>
    <col min="15372" max="15616" width="10.28515625" style="237"/>
    <col min="15617" max="15617" width="6.42578125" style="237" customWidth="1"/>
    <col min="15618" max="15618" width="58.28515625" style="237" customWidth="1"/>
    <col min="15619" max="15619" width="10.28515625" style="237"/>
    <col min="15620" max="15620" width="11" style="237" customWidth="1"/>
    <col min="15621" max="15622" width="9.7109375" style="237" customWidth="1"/>
    <col min="15623" max="15623" width="10.7109375" style="237" customWidth="1"/>
    <col min="15624" max="15625" width="11.28515625" style="237" customWidth="1"/>
    <col min="15626" max="15626" width="17" style="237" customWidth="1"/>
    <col min="15627" max="15627" width="16.28515625" style="237" customWidth="1"/>
    <col min="15628" max="15872" width="10.28515625" style="237"/>
    <col min="15873" max="15873" width="6.42578125" style="237" customWidth="1"/>
    <col min="15874" max="15874" width="58.28515625" style="237" customWidth="1"/>
    <col min="15875" max="15875" width="10.28515625" style="237"/>
    <col min="15876" max="15876" width="11" style="237" customWidth="1"/>
    <col min="15877" max="15878" width="9.7109375" style="237" customWidth="1"/>
    <col min="15879" max="15879" width="10.7109375" style="237" customWidth="1"/>
    <col min="15880" max="15881" width="11.28515625" style="237" customWidth="1"/>
    <col min="15882" max="15882" width="17" style="237" customWidth="1"/>
    <col min="15883" max="15883" width="16.28515625" style="237" customWidth="1"/>
    <col min="15884" max="16128" width="10.28515625" style="237"/>
    <col min="16129" max="16129" width="6.42578125" style="237" customWidth="1"/>
    <col min="16130" max="16130" width="58.28515625" style="237" customWidth="1"/>
    <col min="16131" max="16131" width="10.28515625" style="237"/>
    <col min="16132" max="16132" width="11" style="237" customWidth="1"/>
    <col min="16133" max="16134" width="9.7109375" style="237" customWidth="1"/>
    <col min="16135" max="16135" width="10.7109375" style="237" customWidth="1"/>
    <col min="16136" max="16137" width="11.28515625" style="237" customWidth="1"/>
    <col min="16138" max="16138" width="17" style="237" customWidth="1"/>
    <col min="16139" max="16139" width="16.28515625" style="237" customWidth="1"/>
    <col min="16140" max="16384" width="10.28515625" style="237"/>
  </cols>
  <sheetData>
    <row r="1" spans="1:12" ht="12" customHeight="1" x14ac:dyDescent="0.2">
      <c r="A1" s="550"/>
      <c r="C1" s="238"/>
      <c r="D1" s="238"/>
      <c r="E1" s="238"/>
      <c r="F1" s="238"/>
      <c r="H1" s="238" t="s">
        <v>382</v>
      </c>
    </row>
    <row r="2" spans="1:12" ht="12" customHeight="1" x14ac:dyDescent="0.2">
      <c r="C2" s="238"/>
      <c r="D2" s="238"/>
      <c r="E2" s="238"/>
      <c r="F2" s="238"/>
      <c r="H2" s="3" t="s">
        <v>336</v>
      </c>
    </row>
    <row r="3" spans="1:12" ht="12" customHeight="1" x14ac:dyDescent="0.2">
      <c r="C3" s="238"/>
      <c r="D3" s="238"/>
      <c r="E3" s="238"/>
      <c r="F3" s="238"/>
      <c r="H3" s="3" t="s">
        <v>16</v>
      </c>
    </row>
    <row r="4" spans="1:12" ht="12" customHeight="1" x14ac:dyDescent="0.2">
      <c r="B4" s="238"/>
      <c r="C4" s="239"/>
      <c r="D4" s="238"/>
      <c r="E4" s="239"/>
      <c r="F4" s="238"/>
      <c r="H4" s="3" t="s">
        <v>337</v>
      </c>
    </row>
    <row r="5" spans="1:12" ht="12" customHeight="1" x14ac:dyDescent="0.2">
      <c r="B5" s="238"/>
      <c r="C5" s="239"/>
      <c r="D5" s="238"/>
      <c r="E5" s="239"/>
      <c r="F5" s="238"/>
      <c r="G5" s="238"/>
      <c r="H5" s="238"/>
    </row>
    <row r="6" spans="1:12" ht="12.75" customHeight="1" x14ac:dyDescent="0.2">
      <c r="A6" s="240" t="s">
        <v>383</v>
      </c>
      <c r="B6" s="240"/>
      <c r="C6" s="240"/>
      <c r="D6" s="240"/>
      <c r="E6" s="240"/>
      <c r="F6" s="240"/>
      <c r="G6" s="240"/>
      <c r="H6" s="240"/>
      <c r="I6" s="240"/>
    </row>
    <row r="7" spans="1:12" ht="11.25" customHeight="1" x14ac:dyDescent="0.2">
      <c r="I7" s="237" t="s">
        <v>1</v>
      </c>
    </row>
    <row r="8" spans="1:12" ht="11.25" customHeight="1" x14ac:dyDescent="0.2">
      <c r="A8" s="241"/>
      <c r="B8" s="241"/>
      <c r="C8" s="242" t="s">
        <v>384</v>
      </c>
      <c r="D8" s="243" t="s">
        <v>385</v>
      </c>
      <c r="E8" s="244" t="s">
        <v>386</v>
      </c>
      <c r="F8" s="245"/>
      <c r="G8" s="244" t="s">
        <v>339</v>
      </c>
      <c r="H8" s="246"/>
      <c r="I8" s="245"/>
    </row>
    <row r="9" spans="1:12" ht="11.25" customHeight="1" x14ac:dyDescent="0.2">
      <c r="A9" s="247"/>
      <c r="B9" s="247"/>
      <c r="C9" s="248"/>
      <c r="D9" s="249" t="s">
        <v>387</v>
      </c>
      <c r="E9" s="242"/>
      <c r="F9" s="242"/>
      <c r="G9" s="244" t="s">
        <v>388</v>
      </c>
      <c r="H9" s="246"/>
      <c r="I9" s="245"/>
    </row>
    <row r="10" spans="1:12" ht="11.25" customHeight="1" x14ac:dyDescent="0.2">
      <c r="A10" s="247"/>
      <c r="B10" s="247"/>
      <c r="C10" s="248" t="s">
        <v>389</v>
      </c>
      <c r="D10" s="249" t="s">
        <v>390</v>
      </c>
      <c r="E10" s="248"/>
      <c r="F10" s="248"/>
      <c r="G10" s="242"/>
      <c r="H10" s="242"/>
      <c r="I10" s="242"/>
    </row>
    <row r="11" spans="1:12" ht="14.25" customHeight="1" x14ac:dyDescent="0.2">
      <c r="A11" s="247" t="s">
        <v>40</v>
      </c>
      <c r="B11" s="247" t="s">
        <v>391</v>
      </c>
      <c r="C11" s="248" t="s">
        <v>392</v>
      </c>
      <c r="D11" s="249" t="s">
        <v>393</v>
      </c>
      <c r="E11" s="248"/>
      <c r="F11" s="248"/>
      <c r="G11" s="248"/>
      <c r="H11" s="248"/>
      <c r="I11" s="248"/>
    </row>
    <row r="12" spans="1:12" ht="32.25" customHeight="1" x14ac:dyDescent="0.2">
      <c r="A12" s="247"/>
      <c r="B12" s="247"/>
      <c r="C12" s="248" t="s">
        <v>394</v>
      </c>
      <c r="D12" s="249" t="s">
        <v>395</v>
      </c>
      <c r="E12" s="248" t="s">
        <v>396</v>
      </c>
      <c r="F12" s="248" t="s">
        <v>397</v>
      </c>
      <c r="G12" s="248" t="s">
        <v>398</v>
      </c>
      <c r="H12" s="248" t="s">
        <v>399</v>
      </c>
      <c r="I12" s="248" t="s">
        <v>397</v>
      </c>
    </row>
    <row r="13" spans="1:12" ht="18.75" customHeight="1" x14ac:dyDescent="0.2">
      <c r="A13" s="250"/>
      <c r="B13" s="250"/>
      <c r="D13" s="251" t="s">
        <v>400</v>
      </c>
      <c r="E13" s="252"/>
      <c r="F13" s="252"/>
      <c r="G13" s="252"/>
      <c r="H13" s="252"/>
      <c r="I13" s="252"/>
    </row>
    <row r="14" spans="1:12" ht="11.25" customHeight="1" x14ac:dyDescent="0.2">
      <c r="A14" s="253">
        <v>1</v>
      </c>
      <c r="B14" s="253">
        <v>2</v>
      </c>
      <c r="C14" s="253">
        <v>3</v>
      </c>
      <c r="D14" s="253">
        <v>4</v>
      </c>
      <c r="E14" s="253">
        <v>5</v>
      </c>
      <c r="F14" s="253">
        <v>6</v>
      </c>
      <c r="G14" s="254">
        <v>7</v>
      </c>
      <c r="H14" s="253">
        <v>8</v>
      </c>
      <c r="I14" s="253">
        <v>9</v>
      </c>
    </row>
    <row r="15" spans="1:12" s="261" customFormat="1" ht="21.75" customHeight="1" x14ac:dyDescent="0.2">
      <c r="A15" s="255"/>
      <c r="B15" s="256" t="s">
        <v>401</v>
      </c>
      <c r="C15" s="257"/>
      <c r="D15" s="258">
        <v>146137209.92999998</v>
      </c>
      <c r="E15" s="258">
        <v>50763468.290000007</v>
      </c>
      <c r="F15" s="258">
        <v>95373741.639999986</v>
      </c>
      <c r="G15" s="259">
        <v>68016136.950000003</v>
      </c>
      <c r="H15" s="258">
        <v>16659950.910000002</v>
      </c>
      <c r="I15" s="258">
        <v>51356186.040000007</v>
      </c>
      <c r="J15" s="260"/>
      <c r="K15" s="260"/>
    </row>
    <row r="16" spans="1:12" s="261" customFormat="1" ht="12" customHeight="1" x14ac:dyDescent="0.2">
      <c r="A16" s="262"/>
      <c r="B16" s="551" t="s">
        <v>402</v>
      </c>
      <c r="C16" s="552"/>
      <c r="D16" s="553">
        <v>27157991.889999993</v>
      </c>
      <c r="E16" s="553">
        <v>3317014.9000000004</v>
      </c>
      <c r="F16" s="553">
        <v>23840976.989999995</v>
      </c>
      <c r="G16" s="553">
        <v>16226734.830000002</v>
      </c>
      <c r="H16" s="553">
        <v>1419388.14</v>
      </c>
      <c r="I16" s="553">
        <v>14807346.690000001</v>
      </c>
      <c r="J16" s="260"/>
      <c r="K16" s="263"/>
      <c r="L16" s="263"/>
    </row>
    <row r="17" spans="1:11" s="261" customFormat="1" ht="12" customHeight="1" x14ac:dyDescent="0.2">
      <c r="A17" s="262"/>
      <c r="B17" s="554" t="s">
        <v>403</v>
      </c>
      <c r="C17" s="555"/>
      <c r="D17" s="556">
        <v>118979218.03999999</v>
      </c>
      <c r="E17" s="556">
        <v>47446453.390000008</v>
      </c>
      <c r="F17" s="556">
        <v>71532764.649999991</v>
      </c>
      <c r="G17" s="556">
        <v>51789402.119999997</v>
      </c>
      <c r="H17" s="556">
        <v>15240562.770000001</v>
      </c>
      <c r="I17" s="556">
        <v>36548839.350000009</v>
      </c>
      <c r="J17" s="260"/>
      <c r="K17" s="263"/>
    </row>
    <row r="18" spans="1:11" s="261" customFormat="1" ht="21.75" customHeight="1" thickBot="1" x14ac:dyDescent="0.25">
      <c r="A18" s="264" t="s">
        <v>404</v>
      </c>
      <c r="B18" s="265" t="s">
        <v>405</v>
      </c>
      <c r="C18" s="557"/>
      <c r="D18" s="266">
        <v>124481919.55000001</v>
      </c>
      <c r="E18" s="266">
        <v>46694757.170000002</v>
      </c>
      <c r="F18" s="266">
        <v>77787162.379999995</v>
      </c>
      <c r="G18" s="266">
        <v>56720104.349999994</v>
      </c>
      <c r="H18" s="266">
        <v>14359986.540000001</v>
      </c>
      <c r="I18" s="267">
        <v>42360117.809999995</v>
      </c>
      <c r="J18" s="260"/>
      <c r="K18" s="263"/>
    </row>
    <row r="19" spans="1:11" s="261" customFormat="1" ht="12" customHeight="1" x14ac:dyDescent="0.2">
      <c r="A19" s="268" t="s">
        <v>406</v>
      </c>
      <c r="B19" s="269" t="s">
        <v>407</v>
      </c>
      <c r="C19" s="270"/>
      <c r="D19" s="271"/>
      <c r="E19" s="271"/>
      <c r="F19" s="272"/>
      <c r="G19" s="271"/>
      <c r="H19" s="271"/>
      <c r="I19" s="272"/>
      <c r="J19" s="260"/>
      <c r="K19" s="263"/>
    </row>
    <row r="20" spans="1:11" s="261" customFormat="1" ht="12" customHeight="1" x14ac:dyDescent="0.2">
      <c r="A20" s="273"/>
      <c r="B20" s="274" t="s">
        <v>408</v>
      </c>
      <c r="C20" s="275"/>
      <c r="D20" s="276"/>
      <c r="E20" s="276"/>
      <c r="F20" s="277"/>
      <c r="G20" s="276"/>
      <c r="H20" s="276"/>
      <c r="I20" s="277"/>
      <c r="J20" s="260"/>
      <c r="K20" s="263"/>
    </row>
    <row r="21" spans="1:11" s="261" customFormat="1" ht="12" customHeight="1" x14ac:dyDescent="0.2">
      <c r="A21" s="268"/>
      <c r="B21" s="558" t="s">
        <v>403</v>
      </c>
      <c r="C21" s="278" t="s">
        <v>409</v>
      </c>
      <c r="D21" s="279"/>
      <c r="E21" s="279"/>
      <c r="F21" s="279"/>
      <c r="G21" s="279"/>
      <c r="H21" s="279"/>
      <c r="I21" s="279"/>
      <c r="J21" s="260"/>
      <c r="K21" s="263"/>
    </row>
    <row r="22" spans="1:11" s="261" customFormat="1" ht="12" customHeight="1" x14ac:dyDescent="0.2">
      <c r="A22" s="280"/>
      <c r="B22" s="559" t="s">
        <v>402</v>
      </c>
      <c r="C22" s="281" t="s">
        <v>410</v>
      </c>
      <c r="D22" s="282">
        <f>SUM(E22:F22)</f>
        <v>50000</v>
      </c>
      <c r="E22" s="282"/>
      <c r="F22" s="282">
        <v>50000</v>
      </c>
      <c r="G22" s="283">
        <f>SUM(H22:I22)</f>
        <v>50000</v>
      </c>
      <c r="H22" s="282"/>
      <c r="I22" s="282">
        <v>50000</v>
      </c>
      <c r="J22" s="260"/>
      <c r="K22" s="263"/>
    </row>
    <row r="23" spans="1:11" s="261" customFormat="1" ht="12" customHeight="1" x14ac:dyDescent="0.2">
      <c r="A23" s="284" t="s">
        <v>411</v>
      </c>
      <c r="B23" s="285" t="s">
        <v>412</v>
      </c>
      <c r="C23" s="286"/>
      <c r="D23" s="287"/>
      <c r="E23" s="287"/>
      <c r="F23" s="288"/>
      <c r="G23" s="287"/>
      <c r="H23" s="287"/>
      <c r="I23" s="288"/>
      <c r="J23" s="260"/>
      <c r="K23" s="263"/>
    </row>
    <row r="24" spans="1:11" s="261" customFormat="1" ht="12" customHeight="1" x14ac:dyDescent="0.2">
      <c r="A24" s="273"/>
      <c r="B24" s="274" t="s">
        <v>408</v>
      </c>
      <c r="C24" s="275"/>
      <c r="D24" s="276"/>
      <c r="E24" s="276"/>
      <c r="F24" s="277"/>
      <c r="G24" s="276"/>
      <c r="H24" s="276"/>
      <c r="I24" s="277"/>
      <c r="J24" s="260"/>
      <c r="K24" s="263"/>
    </row>
    <row r="25" spans="1:11" s="261" customFormat="1" ht="12" customHeight="1" x14ac:dyDescent="0.2">
      <c r="A25" s="273"/>
      <c r="B25" s="558" t="s">
        <v>403</v>
      </c>
      <c r="C25" s="278" t="s">
        <v>409</v>
      </c>
      <c r="D25" s="279"/>
      <c r="E25" s="279"/>
      <c r="F25" s="279"/>
      <c r="G25" s="279"/>
      <c r="H25" s="279"/>
      <c r="I25" s="279"/>
      <c r="J25" s="260"/>
      <c r="K25" s="263"/>
    </row>
    <row r="26" spans="1:11" s="261" customFormat="1" ht="12" customHeight="1" x14ac:dyDescent="0.2">
      <c r="A26" s="289"/>
      <c r="B26" s="559" t="s">
        <v>402</v>
      </c>
      <c r="C26" s="281" t="s">
        <v>410</v>
      </c>
      <c r="D26" s="282">
        <f>SUM(E26:F26)</f>
        <v>50000</v>
      </c>
      <c r="E26" s="282"/>
      <c r="F26" s="282">
        <v>50000</v>
      </c>
      <c r="G26" s="283">
        <f>SUM(H26:I26)</f>
        <v>50000</v>
      </c>
      <c r="H26" s="282"/>
      <c r="I26" s="282">
        <v>50000</v>
      </c>
      <c r="J26" s="260"/>
      <c r="K26" s="263"/>
    </row>
    <row r="27" spans="1:11" ht="21.75" customHeight="1" thickBot="1" x14ac:dyDescent="0.25">
      <c r="A27" s="290" t="s">
        <v>413</v>
      </c>
      <c r="B27" s="291" t="s">
        <v>414</v>
      </c>
      <c r="C27" s="292"/>
      <c r="D27" s="293">
        <v>2514746.67</v>
      </c>
      <c r="E27" s="293">
        <v>369099.14</v>
      </c>
      <c r="F27" s="293">
        <v>2145647.5299999998</v>
      </c>
      <c r="G27" s="293">
        <v>1079504.73</v>
      </c>
      <c r="H27" s="293">
        <v>162506.08000000002</v>
      </c>
      <c r="I27" s="294">
        <v>916998.65</v>
      </c>
    </row>
    <row r="28" spans="1:11" ht="21" customHeight="1" x14ac:dyDescent="0.2">
      <c r="A28" s="289" t="s">
        <v>415</v>
      </c>
      <c r="B28" s="295" t="s">
        <v>416</v>
      </c>
      <c r="C28" s="296"/>
      <c r="D28" s="297"/>
      <c r="E28" s="298"/>
      <c r="F28" s="299"/>
      <c r="G28" s="298"/>
      <c r="H28" s="298"/>
      <c r="I28" s="300"/>
    </row>
    <row r="29" spans="1:11" ht="10.5" customHeight="1" x14ac:dyDescent="0.2">
      <c r="A29" s="301"/>
      <c r="B29" s="302" t="s">
        <v>417</v>
      </c>
      <c r="C29" s="303"/>
      <c r="D29" s="276"/>
      <c r="E29" s="304"/>
      <c r="F29" s="277"/>
      <c r="G29" s="304"/>
      <c r="H29" s="304"/>
      <c r="I29" s="305"/>
    </row>
    <row r="30" spans="1:11" ht="11.1" customHeight="1" x14ac:dyDescent="0.2">
      <c r="A30" s="301"/>
      <c r="B30" s="302" t="s">
        <v>403</v>
      </c>
      <c r="C30" s="306" t="s">
        <v>418</v>
      </c>
      <c r="D30" s="279"/>
      <c r="E30" s="307"/>
      <c r="F30" s="279"/>
      <c r="G30" s="307"/>
      <c r="H30" s="307"/>
      <c r="I30" s="307"/>
    </row>
    <row r="31" spans="1:11" ht="11.1" customHeight="1" x14ac:dyDescent="0.2">
      <c r="A31" s="308"/>
      <c r="B31" s="559" t="s">
        <v>402</v>
      </c>
      <c r="C31" s="309" t="s">
        <v>419</v>
      </c>
      <c r="D31" s="310">
        <v>84031</v>
      </c>
      <c r="E31" s="310">
        <v>4796.9399999999996</v>
      </c>
      <c r="F31" s="310">
        <v>79234.06</v>
      </c>
      <c r="G31" s="311">
        <v>75627.900000000009</v>
      </c>
      <c r="H31" s="311">
        <v>4796.9399999999996</v>
      </c>
      <c r="I31" s="311">
        <v>70830.960000000006</v>
      </c>
    </row>
    <row r="32" spans="1:11" ht="22.5" customHeight="1" x14ac:dyDescent="0.2">
      <c r="A32" s="289" t="s">
        <v>420</v>
      </c>
      <c r="B32" s="312" t="s">
        <v>421</v>
      </c>
      <c r="C32" s="296"/>
      <c r="D32" s="297"/>
      <c r="E32" s="297"/>
      <c r="F32" s="299"/>
      <c r="G32" s="298"/>
      <c r="H32" s="298"/>
      <c r="I32" s="300"/>
    </row>
    <row r="33" spans="1:9" ht="11.1" customHeight="1" x14ac:dyDescent="0.2">
      <c r="A33" s="301"/>
      <c r="B33" s="313" t="s">
        <v>422</v>
      </c>
      <c r="C33" s="303"/>
      <c r="D33" s="276"/>
      <c r="E33" s="276"/>
      <c r="F33" s="277"/>
      <c r="G33" s="304"/>
      <c r="H33" s="304"/>
      <c r="I33" s="305"/>
    </row>
    <row r="34" spans="1:9" ht="11.1" customHeight="1" x14ac:dyDescent="0.2">
      <c r="A34" s="301"/>
      <c r="B34" s="302" t="s">
        <v>403</v>
      </c>
      <c r="C34" s="303" t="s">
        <v>423</v>
      </c>
      <c r="D34" s="279">
        <v>30000</v>
      </c>
      <c r="E34" s="279">
        <v>4716</v>
      </c>
      <c r="F34" s="277">
        <v>25284</v>
      </c>
      <c r="G34" s="304">
        <v>30000</v>
      </c>
      <c r="H34" s="307">
        <v>4716</v>
      </c>
      <c r="I34" s="305">
        <v>25284</v>
      </c>
    </row>
    <row r="35" spans="1:9" ht="11.1" customHeight="1" x14ac:dyDescent="0.2">
      <c r="A35" s="308"/>
      <c r="B35" s="559" t="s">
        <v>402</v>
      </c>
      <c r="C35" s="314" t="s">
        <v>424</v>
      </c>
      <c r="D35" s="310">
        <v>2222825.67</v>
      </c>
      <c r="E35" s="310">
        <v>349428.2</v>
      </c>
      <c r="F35" s="315">
        <v>1873397.47</v>
      </c>
      <c r="G35" s="316">
        <v>972874.77</v>
      </c>
      <c r="H35" s="311">
        <v>152935.92000000001</v>
      </c>
      <c r="I35" s="317">
        <v>819938.85</v>
      </c>
    </row>
    <row r="36" spans="1:9" ht="11.1" customHeight="1" x14ac:dyDescent="0.2">
      <c r="A36" s="318"/>
      <c r="C36" s="319"/>
      <c r="D36" s="297"/>
      <c r="E36" s="297"/>
      <c r="F36" s="297"/>
      <c r="G36" s="297"/>
      <c r="H36" s="297"/>
      <c r="I36" s="320"/>
    </row>
    <row r="37" spans="1:9" ht="11.1" customHeight="1" x14ac:dyDescent="0.2">
      <c r="A37" s="318"/>
      <c r="C37" s="321"/>
      <c r="D37" s="322"/>
      <c r="E37" s="322"/>
      <c r="F37" s="322"/>
      <c r="G37" s="322"/>
      <c r="H37" s="322"/>
      <c r="I37" s="323"/>
    </row>
    <row r="38" spans="1:9" ht="15.75" customHeight="1" x14ac:dyDescent="0.2">
      <c r="A38" s="237" t="s">
        <v>425</v>
      </c>
      <c r="D38" s="322"/>
      <c r="E38" s="322"/>
      <c r="F38" s="322"/>
      <c r="G38" s="322"/>
      <c r="H38" s="322"/>
      <c r="I38" s="322"/>
    </row>
    <row r="39" spans="1:9" ht="11.1" customHeight="1" x14ac:dyDescent="0.2">
      <c r="A39" s="318"/>
      <c r="D39" s="322"/>
      <c r="E39" s="322"/>
      <c r="F39" s="322"/>
      <c r="G39" s="322"/>
      <c r="H39" s="322"/>
      <c r="I39" s="322"/>
    </row>
    <row r="40" spans="1:9" ht="11.1" customHeight="1" x14ac:dyDescent="0.2">
      <c r="A40" s="318"/>
      <c r="D40" s="322"/>
      <c r="E40" s="322"/>
      <c r="F40" s="322"/>
      <c r="G40" s="322"/>
      <c r="H40" s="322"/>
      <c r="I40" s="322"/>
    </row>
    <row r="41" spans="1:9" ht="11.1" customHeight="1" x14ac:dyDescent="0.2">
      <c r="A41" s="318"/>
      <c r="D41" s="322"/>
      <c r="E41" s="322"/>
      <c r="F41" s="322"/>
      <c r="G41" s="322"/>
      <c r="H41" s="322"/>
      <c r="I41" s="322"/>
    </row>
    <row r="42" spans="1:9" ht="11.1" customHeight="1" x14ac:dyDescent="0.2">
      <c r="A42" s="318"/>
      <c r="D42" s="322"/>
      <c r="E42" s="322"/>
      <c r="F42" s="322"/>
      <c r="G42" s="322"/>
      <c r="H42" s="322"/>
      <c r="I42" s="322"/>
    </row>
    <row r="43" spans="1:9" ht="11.1" customHeight="1" x14ac:dyDescent="0.2">
      <c r="A43" s="318"/>
      <c r="D43" s="322"/>
      <c r="E43" s="322"/>
      <c r="F43" s="322"/>
      <c r="G43" s="322"/>
      <c r="H43" s="322"/>
      <c r="I43" s="322"/>
    </row>
    <row r="44" spans="1:9" ht="11.1" customHeight="1" x14ac:dyDescent="0.2">
      <c r="A44" s="318"/>
      <c r="D44" s="322"/>
      <c r="E44" s="322"/>
      <c r="F44" s="322"/>
      <c r="G44" s="322"/>
      <c r="H44" s="322"/>
      <c r="I44" s="322"/>
    </row>
    <row r="45" spans="1:9" ht="11.1" customHeight="1" x14ac:dyDescent="0.2">
      <c r="A45" s="318"/>
      <c r="D45" s="322"/>
      <c r="E45" s="322"/>
      <c r="F45" s="322"/>
      <c r="G45" s="322"/>
      <c r="H45" s="322"/>
      <c r="I45" s="322"/>
    </row>
    <row r="46" spans="1:9" ht="11.1" customHeight="1" x14ac:dyDescent="0.2">
      <c r="A46" s="318"/>
      <c r="D46" s="322"/>
      <c r="E46" s="322"/>
      <c r="F46" s="322"/>
      <c r="G46" s="322"/>
      <c r="H46" s="322"/>
      <c r="I46" s="322"/>
    </row>
    <row r="47" spans="1:9" ht="11.1" customHeight="1" x14ac:dyDescent="0.2">
      <c r="A47" s="318"/>
      <c r="D47" s="322"/>
      <c r="E47" s="322"/>
      <c r="F47" s="322"/>
      <c r="G47" s="322"/>
      <c r="H47" s="322"/>
      <c r="I47" s="322"/>
    </row>
    <row r="48" spans="1:9" ht="11.1" customHeight="1" x14ac:dyDescent="0.2">
      <c r="A48" s="318"/>
      <c r="D48" s="322"/>
      <c r="E48" s="322"/>
      <c r="F48" s="322"/>
      <c r="G48" s="322"/>
      <c r="H48" s="322"/>
      <c r="I48" s="322"/>
    </row>
    <row r="49" spans="1:9" ht="11.1" customHeight="1" x14ac:dyDescent="0.2">
      <c r="A49" s="318"/>
      <c r="D49" s="322"/>
      <c r="E49" s="322"/>
      <c r="F49" s="322"/>
      <c r="G49" s="322"/>
      <c r="H49" s="322"/>
      <c r="I49" s="322"/>
    </row>
    <row r="50" spans="1:9" ht="11.1" customHeight="1" x14ac:dyDescent="0.2">
      <c r="A50" s="318"/>
      <c r="D50" s="322"/>
      <c r="E50" s="322"/>
      <c r="F50" s="322"/>
      <c r="G50" s="322"/>
      <c r="H50" s="322"/>
      <c r="I50" s="322"/>
    </row>
    <row r="51" spans="1:9" ht="11.1" customHeight="1" x14ac:dyDescent="0.2">
      <c r="A51" s="318"/>
      <c r="D51" s="322"/>
      <c r="E51" s="322"/>
      <c r="F51" s="322"/>
      <c r="G51" s="322"/>
      <c r="H51" s="322"/>
      <c r="I51" s="322"/>
    </row>
    <row r="52" spans="1:9" ht="11.1" customHeight="1" x14ac:dyDescent="0.2">
      <c r="A52" s="318"/>
      <c r="D52" s="322"/>
      <c r="E52" s="322"/>
      <c r="F52" s="322"/>
      <c r="G52" s="322"/>
      <c r="H52" s="322"/>
      <c r="I52" s="322"/>
    </row>
    <row r="53" spans="1:9" ht="11.1" customHeight="1" x14ac:dyDescent="0.2">
      <c r="A53" s="318"/>
      <c r="D53" s="322"/>
      <c r="E53" s="322"/>
      <c r="F53" s="322"/>
      <c r="G53" s="322"/>
      <c r="H53" s="322"/>
      <c r="I53" s="322"/>
    </row>
    <row r="54" spans="1:9" ht="12.75" customHeight="1" x14ac:dyDescent="0.2">
      <c r="D54" s="297"/>
      <c r="E54" s="297"/>
      <c r="F54" s="297"/>
      <c r="G54" s="297"/>
      <c r="H54" s="297"/>
      <c r="I54" s="297"/>
    </row>
    <row r="55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74BB-2754-4326-AC66-50AF1471AF9B}">
  <dimension ref="A1:G174"/>
  <sheetViews>
    <sheetView zoomScale="140" zoomScaleNormal="140" workbookViewId="0"/>
  </sheetViews>
  <sheetFormatPr defaultColWidth="4" defaultRowHeight="12.75" x14ac:dyDescent="0.2"/>
  <cols>
    <col min="1" max="1" width="4" style="560"/>
    <col min="2" max="2" width="5.7109375" style="560" customWidth="1"/>
    <col min="3" max="3" width="8.42578125" style="560" customWidth="1"/>
    <col min="4" max="4" width="49.140625" style="560" customWidth="1"/>
    <col min="5" max="5" width="21.42578125" style="560" customWidth="1"/>
    <col min="6" max="6" width="9.140625" style="327" customWidth="1"/>
    <col min="7" max="7" width="12.28515625" style="328" customWidth="1"/>
    <col min="8" max="255" width="9.140625" style="560" customWidth="1"/>
    <col min="256" max="257" width="4" style="560"/>
    <col min="258" max="258" width="5.7109375" style="560" customWidth="1"/>
    <col min="259" max="259" width="8.42578125" style="560" customWidth="1"/>
    <col min="260" max="260" width="49.140625" style="560" customWidth="1"/>
    <col min="261" max="261" width="21.42578125" style="560" customWidth="1"/>
    <col min="262" max="262" width="9.140625" style="560" customWidth="1"/>
    <col min="263" max="263" width="12.28515625" style="560" customWidth="1"/>
    <col min="264" max="511" width="9.140625" style="560" customWidth="1"/>
    <col min="512" max="513" width="4" style="560"/>
    <col min="514" max="514" width="5.7109375" style="560" customWidth="1"/>
    <col min="515" max="515" width="8.42578125" style="560" customWidth="1"/>
    <col min="516" max="516" width="49.140625" style="560" customWidth="1"/>
    <col min="517" max="517" width="21.42578125" style="560" customWidth="1"/>
    <col min="518" max="518" width="9.140625" style="560" customWidth="1"/>
    <col min="519" max="519" width="12.28515625" style="560" customWidth="1"/>
    <col min="520" max="767" width="9.140625" style="560" customWidth="1"/>
    <col min="768" max="769" width="4" style="560"/>
    <col min="770" max="770" width="5.7109375" style="560" customWidth="1"/>
    <col min="771" max="771" width="8.42578125" style="560" customWidth="1"/>
    <col min="772" max="772" width="49.140625" style="560" customWidth="1"/>
    <col min="773" max="773" width="21.42578125" style="560" customWidth="1"/>
    <col min="774" max="774" width="9.140625" style="560" customWidth="1"/>
    <col min="775" max="775" width="12.28515625" style="560" customWidth="1"/>
    <col min="776" max="1023" width="9.140625" style="560" customWidth="1"/>
    <col min="1024" max="1025" width="4" style="560"/>
    <col min="1026" max="1026" width="5.7109375" style="560" customWidth="1"/>
    <col min="1027" max="1027" width="8.42578125" style="560" customWidth="1"/>
    <col min="1028" max="1028" width="49.140625" style="560" customWidth="1"/>
    <col min="1029" max="1029" width="21.42578125" style="560" customWidth="1"/>
    <col min="1030" max="1030" width="9.140625" style="560" customWidth="1"/>
    <col min="1031" max="1031" width="12.28515625" style="560" customWidth="1"/>
    <col min="1032" max="1279" width="9.140625" style="560" customWidth="1"/>
    <col min="1280" max="1281" width="4" style="560"/>
    <col min="1282" max="1282" width="5.7109375" style="560" customWidth="1"/>
    <col min="1283" max="1283" width="8.42578125" style="560" customWidth="1"/>
    <col min="1284" max="1284" width="49.140625" style="560" customWidth="1"/>
    <col min="1285" max="1285" width="21.42578125" style="560" customWidth="1"/>
    <col min="1286" max="1286" width="9.140625" style="560" customWidth="1"/>
    <col min="1287" max="1287" width="12.28515625" style="560" customWidth="1"/>
    <col min="1288" max="1535" width="9.140625" style="560" customWidth="1"/>
    <col min="1536" max="1537" width="4" style="560"/>
    <col min="1538" max="1538" width="5.7109375" style="560" customWidth="1"/>
    <col min="1539" max="1539" width="8.42578125" style="560" customWidth="1"/>
    <col min="1540" max="1540" width="49.140625" style="560" customWidth="1"/>
    <col min="1541" max="1541" width="21.42578125" style="560" customWidth="1"/>
    <col min="1542" max="1542" width="9.140625" style="560" customWidth="1"/>
    <col min="1543" max="1543" width="12.28515625" style="560" customWidth="1"/>
    <col min="1544" max="1791" width="9.140625" style="560" customWidth="1"/>
    <col min="1792" max="1793" width="4" style="560"/>
    <col min="1794" max="1794" width="5.7109375" style="560" customWidth="1"/>
    <col min="1795" max="1795" width="8.42578125" style="560" customWidth="1"/>
    <col min="1796" max="1796" width="49.140625" style="560" customWidth="1"/>
    <col min="1797" max="1797" width="21.42578125" style="560" customWidth="1"/>
    <col min="1798" max="1798" width="9.140625" style="560" customWidth="1"/>
    <col min="1799" max="1799" width="12.28515625" style="560" customWidth="1"/>
    <col min="1800" max="2047" width="9.140625" style="560" customWidth="1"/>
    <col min="2048" max="2049" width="4" style="560"/>
    <col min="2050" max="2050" width="5.7109375" style="560" customWidth="1"/>
    <col min="2051" max="2051" width="8.42578125" style="560" customWidth="1"/>
    <col min="2052" max="2052" width="49.140625" style="560" customWidth="1"/>
    <col min="2053" max="2053" width="21.42578125" style="560" customWidth="1"/>
    <col min="2054" max="2054" width="9.140625" style="560" customWidth="1"/>
    <col min="2055" max="2055" width="12.28515625" style="560" customWidth="1"/>
    <col min="2056" max="2303" width="9.140625" style="560" customWidth="1"/>
    <col min="2304" max="2305" width="4" style="560"/>
    <col min="2306" max="2306" width="5.7109375" style="560" customWidth="1"/>
    <col min="2307" max="2307" width="8.42578125" style="560" customWidth="1"/>
    <col min="2308" max="2308" width="49.140625" style="560" customWidth="1"/>
    <col min="2309" max="2309" width="21.42578125" style="560" customWidth="1"/>
    <col min="2310" max="2310" width="9.140625" style="560" customWidth="1"/>
    <col min="2311" max="2311" width="12.28515625" style="560" customWidth="1"/>
    <col min="2312" max="2559" width="9.140625" style="560" customWidth="1"/>
    <col min="2560" max="2561" width="4" style="560"/>
    <col min="2562" max="2562" width="5.7109375" style="560" customWidth="1"/>
    <col min="2563" max="2563" width="8.42578125" style="560" customWidth="1"/>
    <col min="2564" max="2564" width="49.140625" style="560" customWidth="1"/>
    <col min="2565" max="2565" width="21.42578125" style="560" customWidth="1"/>
    <col min="2566" max="2566" width="9.140625" style="560" customWidth="1"/>
    <col min="2567" max="2567" width="12.28515625" style="560" customWidth="1"/>
    <col min="2568" max="2815" width="9.140625" style="560" customWidth="1"/>
    <col min="2816" max="2817" width="4" style="560"/>
    <col min="2818" max="2818" width="5.7109375" style="560" customWidth="1"/>
    <col min="2819" max="2819" width="8.42578125" style="560" customWidth="1"/>
    <col min="2820" max="2820" width="49.140625" style="560" customWidth="1"/>
    <col min="2821" max="2821" width="21.42578125" style="560" customWidth="1"/>
    <col min="2822" max="2822" width="9.140625" style="560" customWidth="1"/>
    <col min="2823" max="2823" width="12.28515625" style="560" customWidth="1"/>
    <col min="2824" max="3071" width="9.140625" style="560" customWidth="1"/>
    <col min="3072" max="3073" width="4" style="560"/>
    <col min="3074" max="3074" width="5.7109375" style="560" customWidth="1"/>
    <col min="3075" max="3075" width="8.42578125" style="560" customWidth="1"/>
    <col min="3076" max="3076" width="49.140625" style="560" customWidth="1"/>
    <col min="3077" max="3077" width="21.42578125" style="560" customWidth="1"/>
    <col min="3078" max="3078" width="9.140625" style="560" customWidth="1"/>
    <col min="3079" max="3079" width="12.28515625" style="560" customWidth="1"/>
    <col min="3080" max="3327" width="9.140625" style="560" customWidth="1"/>
    <col min="3328" max="3329" width="4" style="560"/>
    <col min="3330" max="3330" width="5.7109375" style="560" customWidth="1"/>
    <col min="3331" max="3331" width="8.42578125" style="560" customWidth="1"/>
    <col min="3332" max="3332" width="49.140625" style="560" customWidth="1"/>
    <col min="3333" max="3333" width="21.42578125" style="560" customWidth="1"/>
    <col min="3334" max="3334" width="9.140625" style="560" customWidth="1"/>
    <col min="3335" max="3335" width="12.28515625" style="560" customWidth="1"/>
    <col min="3336" max="3583" width="9.140625" style="560" customWidth="1"/>
    <col min="3584" max="3585" width="4" style="560"/>
    <col min="3586" max="3586" width="5.7109375" style="560" customWidth="1"/>
    <col min="3587" max="3587" width="8.42578125" style="560" customWidth="1"/>
    <col min="3588" max="3588" width="49.140625" style="560" customWidth="1"/>
    <col min="3589" max="3589" width="21.42578125" style="560" customWidth="1"/>
    <col min="3590" max="3590" width="9.140625" style="560" customWidth="1"/>
    <col min="3591" max="3591" width="12.28515625" style="560" customWidth="1"/>
    <col min="3592" max="3839" width="9.140625" style="560" customWidth="1"/>
    <col min="3840" max="3841" width="4" style="560"/>
    <col min="3842" max="3842" width="5.7109375" style="560" customWidth="1"/>
    <col min="3843" max="3843" width="8.42578125" style="560" customWidth="1"/>
    <col min="3844" max="3844" width="49.140625" style="560" customWidth="1"/>
    <col min="3845" max="3845" width="21.42578125" style="560" customWidth="1"/>
    <col min="3846" max="3846" width="9.140625" style="560" customWidth="1"/>
    <col min="3847" max="3847" width="12.28515625" style="560" customWidth="1"/>
    <col min="3848" max="4095" width="9.140625" style="560" customWidth="1"/>
    <col min="4096" max="4097" width="4" style="560"/>
    <col min="4098" max="4098" width="5.7109375" style="560" customWidth="1"/>
    <col min="4099" max="4099" width="8.42578125" style="560" customWidth="1"/>
    <col min="4100" max="4100" width="49.140625" style="560" customWidth="1"/>
    <col min="4101" max="4101" width="21.42578125" style="560" customWidth="1"/>
    <col min="4102" max="4102" width="9.140625" style="560" customWidth="1"/>
    <col min="4103" max="4103" width="12.28515625" style="560" customWidth="1"/>
    <col min="4104" max="4351" width="9.140625" style="560" customWidth="1"/>
    <col min="4352" max="4353" width="4" style="560"/>
    <col min="4354" max="4354" width="5.7109375" style="560" customWidth="1"/>
    <col min="4355" max="4355" width="8.42578125" style="560" customWidth="1"/>
    <col min="4356" max="4356" width="49.140625" style="560" customWidth="1"/>
    <col min="4357" max="4357" width="21.42578125" style="560" customWidth="1"/>
    <col min="4358" max="4358" width="9.140625" style="560" customWidth="1"/>
    <col min="4359" max="4359" width="12.28515625" style="560" customWidth="1"/>
    <col min="4360" max="4607" width="9.140625" style="560" customWidth="1"/>
    <col min="4608" max="4609" width="4" style="560"/>
    <col min="4610" max="4610" width="5.7109375" style="560" customWidth="1"/>
    <col min="4611" max="4611" width="8.42578125" style="560" customWidth="1"/>
    <col min="4612" max="4612" width="49.140625" style="560" customWidth="1"/>
    <col min="4613" max="4613" width="21.42578125" style="560" customWidth="1"/>
    <col min="4614" max="4614" width="9.140625" style="560" customWidth="1"/>
    <col min="4615" max="4615" width="12.28515625" style="560" customWidth="1"/>
    <col min="4616" max="4863" width="9.140625" style="560" customWidth="1"/>
    <col min="4864" max="4865" width="4" style="560"/>
    <col min="4866" max="4866" width="5.7109375" style="560" customWidth="1"/>
    <col min="4867" max="4867" width="8.42578125" style="560" customWidth="1"/>
    <col min="4868" max="4868" width="49.140625" style="560" customWidth="1"/>
    <col min="4869" max="4869" width="21.42578125" style="560" customWidth="1"/>
    <col min="4870" max="4870" width="9.140625" style="560" customWidth="1"/>
    <col min="4871" max="4871" width="12.28515625" style="560" customWidth="1"/>
    <col min="4872" max="5119" width="9.140625" style="560" customWidth="1"/>
    <col min="5120" max="5121" width="4" style="560"/>
    <col min="5122" max="5122" width="5.7109375" style="560" customWidth="1"/>
    <col min="5123" max="5123" width="8.42578125" style="560" customWidth="1"/>
    <col min="5124" max="5124" width="49.140625" style="560" customWidth="1"/>
    <col min="5125" max="5125" width="21.42578125" style="560" customWidth="1"/>
    <col min="5126" max="5126" width="9.140625" style="560" customWidth="1"/>
    <col min="5127" max="5127" width="12.28515625" style="560" customWidth="1"/>
    <col min="5128" max="5375" width="9.140625" style="560" customWidth="1"/>
    <col min="5376" max="5377" width="4" style="560"/>
    <col min="5378" max="5378" width="5.7109375" style="560" customWidth="1"/>
    <col min="5379" max="5379" width="8.42578125" style="560" customWidth="1"/>
    <col min="5380" max="5380" width="49.140625" style="560" customWidth="1"/>
    <col min="5381" max="5381" width="21.42578125" style="560" customWidth="1"/>
    <col min="5382" max="5382" width="9.140625" style="560" customWidth="1"/>
    <col min="5383" max="5383" width="12.28515625" style="560" customWidth="1"/>
    <col min="5384" max="5631" width="9.140625" style="560" customWidth="1"/>
    <col min="5632" max="5633" width="4" style="560"/>
    <col min="5634" max="5634" width="5.7109375" style="560" customWidth="1"/>
    <col min="5635" max="5635" width="8.42578125" style="560" customWidth="1"/>
    <col min="5636" max="5636" width="49.140625" style="560" customWidth="1"/>
    <col min="5637" max="5637" width="21.42578125" style="560" customWidth="1"/>
    <col min="5638" max="5638" width="9.140625" style="560" customWidth="1"/>
    <col min="5639" max="5639" width="12.28515625" style="560" customWidth="1"/>
    <col min="5640" max="5887" width="9.140625" style="560" customWidth="1"/>
    <col min="5888" max="5889" width="4" style="560"/>
    <col min="5890" max="5890" width="5.7109375" style="560" customWidth="1"/>
    <col min="5891" max="5891" width="8.42578125" style="560" customWidth="1"/>
    <col min="5892" max="5892" width="49.140625" style="560" customWidth="1"/>
    <col min="5893" max="5893" width="21.42578125" style="560" customWidth="1"/>
    <col min="5894" max="5894" width="9.140625" style="560" customWidth="1"/>
    <col min="5895" max="5895" width="12.28515625" style="560" customWidth="1"/>
    <col min="5896" max="6143" width="9.140625" style="560" customWidth="1"/>
    <col min="6144" max="6145" width="4" style="560"/>
    <col min="6146" max="6146" width="5.7109375" style="560" customWidth="1"/>
    <col min="6147" max="6147" width="8.42578125" style="560" customWidth="1"/>
    <col min="6148" max="6148" width="49.140625" style="560" customWidth="1"/>
    <col min="6149" max="6149" width="21.42578125" style="560" customWidth="1"/>
    <col min="6150" max="6150" width="9.140625" style="560" customWidth="1"/>
    <col min="6151" max="6151" width="12.28515625" style="560" customWidth="1"/>
    <col min="6152" max="6399" width="9.140625" style="560" customWidth="1"/>
    <col min="6400" max="6401" width="4" style="560"/>
    <col min="6402" max="6402" width="5.7109375" style="560" customWidth="1"/>
    <col min="6403" max="6403" width="8.42578125" style="560" customWidth="1"/>
    <col min="6404" max="6404" width="49.140625" style="560" customWidth="1"/>
    <col min="6405" max="6405" width="21.42578125" style="560" customWidth="1"/>
    <col min="6406" max="6406" width="9.140625" style="560" customWidth="1"/>
    <col min="6407" max="6407" width="12.28515625" style="560" customWidth="1"/>
    <col min="6408" max="6655" width="9.140625" style="560" customWidth="1"/>
    <col min="6656" max="6657" width="4" style="560"/>
    <col min="6658" max="6658" width="5.7109375" style="560" customWidth="1"/>
    <col min="6659" max="6659" width="8.42578125" style="560" customWidth="1"/>
    <col min="6660" max="6660" width="49.140625" style="560" customWidth="1"/>
    <col min="6661" max="6661" width="21.42578125" style="560" customWidth="1"/>
    <col min="6662" max="6662" width="9.140625" style="560" customWidth="1"/>
    <col min="6663" max="6663" width="12.28515625" style="560" customWidth="1"/>
    <col min="6664" max="6911" width="9.140625" style="560" customWidth="1"/>
    <col min="6912" max="6913" width="4" style="560"/>
    <col min="6914" max="6914" width="5.7109375" style="560" customWidth="1"/>
    <col min="6915" max="6915" width="8.42578125" style="560" customWidth="1"/>
    <col min="6916" max="6916" width="49.140625" style="560" customWidth="1"/>
    <col min="6917" max="6917" width="21.42578125" style="560" customWidth="1"/>
    <col min="6918" max="6918" width="9.140625" style="560" customWidth="1"/>
    <col min="6919" max="6919" width="12.28515625" style="560" customWidth="1"/>
    <col min="6920" max="7167" width="9.140625" style="560" customWidth="1"/>
    <col min="7168" max="7169" width="4" style="560"/>
    <col min="7170" max="7170" width="5.7109375" style="560" customWidth="1"/>
    <col min="7171" max="7171" width="8.42578125" style="560" customWidth="1"/>
    <col min="7172" max="7172" width="49.140625" style="560" customWidth="1"/>
    <col min="7173" max="7173" width="21.42578125" style="560" customWidth="1"/>
    <col min="7174" max="7174" width="9.140625" style="560" customWidth="1"/>
    <col min="7175" max="7175" width="12.28515625" style="560" customWidth="1"/>
    <col min="7176" max="7423" width="9.140625" style="560" customWidth="1"/>
    <col min="7424" max="7425" width="4" style="560"/>
    <col min="7426" max="7426" width="5.7109375" style="560" customWidth="1"/>
    <col min="7427" max="7427" width="8.42578125" style="560" customWidth="1"/>
    <col min="7428" max="7428" width="49.140625" style="560" customWidth="1"/>
    <col min="7429" max="7429" width="21.42578125" style="560" customWidth="1"/>
    <col min="7430" max="7430" width="9.140625" style="560" customWidth="1"/>
    <col min="7431" max="7431" width="12.28515625" style="560" customWidth="1"/>
    <col min="7432" max="7679" width="9.140625" style="560" customWidth="1"/>
    <col min="7680" max="7681" width="4" style="560"/>
    <col min="7682" max="7682" width="5.7109375" style="560" customWidth="1"/>
    <col min="7683" max="7683" width="8.42578125" style="560" customWidth="1"/>
    <col min="7684" max="7684" width="49.140625" style="560" customWidth="1"/>
    <col min="7685" max="7685" width="21.42578125" style="560" customWidth="1"/>
    <col min="7686" max="7686" width="9.140625" style="560" customWidth="1"/>
    <col min="7687" max="7687" width="12.28515625" style="560" customWidth="1"/>
    <col min="7688" max="7935" width="9.140625" style="560" customWidth="1"/>
    <col min="7936" max="7937" width="4" style="560"/>
    <col min="7938" max="7938" width="5.7109375" style="560" customWidth="1"/>
    <col min="7939" max="7939" width="8.42578125" style="560" customWidth="1"/>
    <col min="7940" max="7940" width="49.140625" style="560" customWidth="1"/>
    <col min="7941" max="7941" width="21.42578125" style="560" customWidth="1"/>
    <col min="7942" max="7942" width="9.140625" style="560" customWidth="1"/>
    <col min="7943" max="7943" width="12.28515625" style="560" customWidth="1"/>
    <col min="7944" max="8191" width="9.140625" style="560" customWidth="1"/>
    <col min="8192" max="8193" width="4" style="560"/>
    <col min="8194" max="8194" width="5.7109375" style="560" customWidth="1"/>
    <col min="8195" max="8195" width="8.42578125" style="560" customWidth="1"/>
    <col min="8196" max="8196" width="49.140625" style="560" customWidth="1"/>
    <col min="8197" max="8197" width="21.42578125" style="560" customWidth="1"/>
    <col min="8198" max="8198" width="9.140625" style="560" customWidth="1"/>
    <col min="8199" max="8199" width="12.28515625" style="560" customWidth="1"/>
    <col min="8200" max="8447" width="9.140625" style="560" customWidth="1"/>
    <col min="8448" max="8449" width="4" style="560"/>
    <col min="8450" max="8450" width="5.7109375" style="560" customWidth="1"/>
    <col min="8451" max="8451" width="8.42578125" style="560" customWidth="1"/>
    <col min="8452" max="8452" width="49.140625" style="560" customWidth="1"/>
    <col min="8453" max="8453" width="21.42578125" style="560" customWidth="1"/>
    <col min="8454" max="8454" width="9.140625" style="560" customWidth="1"/>
    <col min="8455" max="8455" width="12.28515625" style="560" customWidth="1"/>
    <col min="8456" max="8703" width="9.140625" style="560" customWidth="1"/>
    <col min="8704" max="8705" width="4" style="560"/>
    <col min="8706" max="8706" width="5.7109375" style="560" customWidth="1"/>
    <col min="8707" max="8707" width="8.42578125" style="560" customWidth="1"/>
    <col min="8708" max="8708" width="49.140625" style="560" customWidth="1"/>
    <col min="8709" max="8709" width="21.42578125" style="560" customWidth="1"/>
    <col min="8710" max="8710" width="9.140625" style="560" customWidth="1"/>
    <col min="8711" max="8711" width="12.28515625" style="560" customWidth="1"/>
    <col min="8712" max="8959" width="9.140625" style="560" customWidth="1"/>
    <col min="8960" max="8961" width="4" style="560"/>
    <col min="8962" max="8962" width="5.7109375" style="560" customWidth="1"/>
    <col min="8963" max="8963" width="8.42578125" style="560" customWidth="1"/>
    <col min="8964" max="8964" width="49.140625" style="560" customWidth="1"/>
    <col min="8965" max="8965" width="21.42578125" style="560" customWidth="1"/>
    <col min="8966" max="8966" width="9.140625" style="560" customWidth="1"/>
    <col min="8967" max="8967" width="12.28515625" style="560" customWidth="1"/>
    <col min="8968" max="9215" width="9.140625" style="560" customWidth="1"/>
    <col min="9216" max="9217" width="4" style="560"/>
    <col min="9218" max="9218" width="5.7109375" style="560" customWidth="1"/>
    <col min="9219" max="9219" width="8.42578125" style="560" customWidth="1"/>
    <col min="9220" max="9220" width="49.140625" style="560" customWidth="1"/>
    <col min="9221" max="9221" width="21.42578125" style="560" customWidth="1"/>
    <col min="9222" max="9222" width="9.140625" style="560" customWidth="1"/>
    <col min="9223" max="9223" width="12.28515625" style="560" customWidth="1"/>
    <col min="9224" max="9471" width="9.140625" style="560" customWidth="1"/>
    <col min="9472" max="9473" width="4" style="560"/>
    <col min="9474" max="9474" width="5.7109375" style="560" customWidth="1"/>
    <col min="9475" max="9475" width="8.42578125" style="560" customWidth="1"/>
    <col min="9476" max="9476" width="49.140625" style="560" customWidth="1"/>
    <col min="9477" max="9477" width="21.42578125" style="560" customWidth="1"/>
    <col min="9478" max="9478" width="9.140625" style="560" customWidth="1"/>
    <col min="9479" max="9479" width="12.28515625" style="560" customWidth="1"/>
    <col min="9480" max="9727" width="9.140625" style="560" customWidth="1"/>
    <col min="9728" max="9729" width="4" style="560"/>
    <col min="9730" max="9730" width="5.7109375" style="560" customWidth="1"/>
    <col min="9731" max="9731" width="8.42578125" style="560" customWidth="1"/>
    <col min="9732" max="9732" width="49.140625" style="560" customWidth="1"/>
    <col min="9733" max="9733" width="21.42578125" style="560" customWidth="1"/>
    <col min="9734" max="9734" width="9.140625" style="560" customWidth="1"/>
    <col min="9735" max="9735" width="12.28515625" style="560" customWidth="1"/>
    <col min="9736" max="9983" width="9.140625" style="560" customWidth="1"/>
    <col min="9984" max="9985" width="4" style="560"/>
    <col min="9986" max="9986" width="5.7109375" style="560" customWidth="1"/>
    <col min="9987" max="9987" width="8.42578125" style="560" customWidth="1"/>
    <col min="9988" max="9988" width="49.140625" style="560" customWidth="1"/>
    <col min="9989" max="9989" width="21.42578125" style="560" customWidth="1"/>
    <col min="9990" max="9990" width="9.140625" style="560" customWidth="1"/>
    <col min="9991" max="9991" width="12.28515625" style="560" customWidth="1"/>
    <col min="9992" max="10239" width="9.140625" style="560" customWidth="1"/>
    <col min="10240" max="10241" width="4" style="560"/>
    <col min="10242" max="10242" width="5.7109375" style="560" customWidth="1"/>
    <col min="10243" max="10243" width="8.42578125" style="560" customWidth="1"/>
    <col min="10244" max="10244" width="49.140625" style="560" customWidth="1"/>
    <col min="10245" max="10245" width="21.42578125" style="560" customWidth="1"/>
    <col min="10246" max="10246" width="9.140625" style="560" customWidth="1"/>
    <col min="10247" max="10247" width="12.28515625" style="560" customWidth="1"/>
    <col min="10248" max="10495" width="9.140625" style="560" customWidth="1"/>
    <col min="10496" max="10497" width="4" style="560"/>
    <col min="10498" max="10498" width="5.7109375" style="560" customWidth="1"/>
    <col min="10499" max="10499" width="8.42578125" style="560" customWidth="1"/>
    <col min="10500" max="10500" width="49.140625" style="560" customWidth="1"/>
    <col min="10501" max="10501" width="21.42578125" style="560" customWidth="1"/>
    <col min="10502" max="10502" width="9.140625" style="560" customWidth="1"/>
    <col min="10503" max="10503" width="12.28515625" style="560" customWidth="1"/>
    <col min="10504" max="10751" width="9.140625" style="560" customWidth="1"/>
    <col min="10752" max="10753" width="4" style="560"/>
    <col min="10754" max="10754" width="5.7109375" style="560" customWidth="1"/>
    <col min="10755" max="10755" width="8.42578125" style="560" customWidth="1"/>
    <col min="10756" max="10756" width="49.140625" style="560" customWidth="1"/>
    <col min="10757" max="10757" width="21.42578125" style="560" customWidth="1"/>
    <col min="10758" max="10758" width="9.140625" style="560" customWidth="1"/>
    <col min="10759" max="10759" width="12.28515625" style="560" customWidth="1"/>
    <col min="10760" max="11007" width="9.140625" style="560" customWidth="1"/>
    <col min="11008" max="11009" width="4" style="560"/>
    <col min="11010" max="11010" width="5.7109375" style="560" customWidth="1"/>
    <col min="11011" max="11011" width="8.42578125" style="560" customWidth="1"/>
    <col min="11012" max="11012" width="49.140625" style="560" customWidth="1"/>
    <col min="11013" max="11013" width="21.42578125" style="560" customWidth="1"/>
    <col min="11014" max="11014" width="9.140625" style="560" customWidth="1"/>
    <col min="11015" max="11015" width="12.28515625" style="560" customWidth="1"/>
    <col min="11016" max="11263" width="9.140625" style="560" customWidth="1"/>
    <col min="11264" max="11265" width="4" style="560"/>
    <col min="11266" max="11266" width="5.7109375" style="560" customWidth="1"/>
    <col min="11267" max="11267" width="8.42578125" style="560" customWidth="1"/>
    <col min="11268" max="11268" width="49.140625" style="560" customWidth="1"/>
    <col min="11269" max="11269" width="21.42578125" style="560" customWidth="1"/>
    <col min="11270" max="11270" width="9.140625" style="560" customWidth="1"/>
    <col min="11271" max="11271" width="12.28515625" style="560" customWidth="1"/>
    <col min="11272" max="11519" width="9.140625" style="560" customWidth="1"/>
    <col min="11520" max="11521" width="4" style="560"/>
    <col min="11522" max="11522" width="5.7109375" style="560" customWidth="1"/>
    <col min="11523" max="11523" width="8.42578125" style="560" customWidth="1"/>
    <col min="11524" max="11524" width="49.140625" style="560" customWidth="1"/>
    <col min="11525" max="11525" width="21.42578125" style="560" customWidth="1"/>
    <col min="11526" max="11526" width="9.140625" style="560" customWidth="1"/>
    <col min="11527" max="11527" width="12.28515625" style="560" customWidth="1"/>
    <col min="11528" max="11775" width="9.140625" style="560" customWidth="1"/>
    <col min="11776" max="11777" width="4" style="560"/>
    <col min="11778" max="11778" width="5.7109375" style="560" customWidth="1"/>
    <col min="11779" max="11779" width="8.42578125" style="560" customWidth="1"/>
    <col min="11780" max="11780" width="49.140625" style="560" customWidth="1"/>
    <col min="11781" max="11781" width="21.42578125" style="560" customWidth="1"/>
    <col min="11782" max="11782" width="9.140625" style="560" customWidth="1"/>
    <col min="11783" max="11783" width="12.28515625" style="560" customWidth="1"/>
    <col min="11784" max="12031" width="9.140625" style="560" customWidth="1"/>
    <col min="12032" max="12033" width="4" style="560"/>
    <col min="12034" max="12034" width="5.7109375" style="560" customWidth="1"/>
    <col min="12035" max="12035" width="8.42578125" style="560" customWidth="1"/>
    <col min="12036" max="12036" width="49.140625" style="560" customWidth="1"/>
    <col min="12037" max="12037" width="21.42578125" style="560" customWidth="1"/>
    <col min="12038" max="12038" width="9.140625" style="560" customWidth="1"/>
    <col min="12039" max="12039" width="12.28515625" style="560" customWidth="1"/>
    <col min="12040" max="12287" width="9.140625" style="560" customWidth="1"/>
    <col min="12288" max="12289" width="4" style="560"/>
    <col min="12290" max="12290" width="5.7109375" style="560" customWidth="1"/>
    <col min="12291" max="12291" width="8.42578125" style="560" customWidth="1"/>
    <col min="12292" max="12292" width="49.140625" style="560" customWidth="1"/>
    <col min="12293" max="12293" width="21.42578125" style="560" customWidth="1"/>
    <col min="12294" max="12294" width="9.140625" style="560" customWidth="1"/>
    <col min="12295" max="12295" width="12.28515625" style="560" customWidth="1"/>
    <col min="12296" max="12543" width="9.140625" style="560" customWidth="1"/>
    <col min="12544" max="12545" width="4" style="560"/>
    <col min="12546" max="12546" width="5.7109375" style="560" customWidth="1"/>
    <col min="12547" max="12547" width="8.42578125" style="560" customWidth="1"/>
    <col min="12548" max="12548" width="49.140625" style="560" customWidth="1"/>
    <col min="12549" max="12549" width="21.42578125" style="560" customWidth="1"/>
    <col min="12550" max="12550" width="9.140625" style="560" customWidth="1"/>
    <col min="12551" max="12551" width="12.28515625" style="560" customWidth="1"/>
    <col min="12552" max="12799" width="9.140625" style="560" customWidth="1"/>
    <col min="12800" max="12801" width="4" style="560"/>
    <col min="12802" max="12802" width="5.7109375" style="560" customWidth="1"/>
    <col min="12803" max="12803" width="8.42578125" style="560" customWidth="1"/>
    <col min="12804" max="12804" width="49.140625" style="560" customWidth="1"/>
    <col min="12805" max="12805" width="21.42578125" style="560" customWidth="1"/>
    <col min="12806" max="12806" width="9.140625" style="560" customWidth="1"/>
    <col min="12807" max="12807" width="12.28515625" style="560" customWidth="1"/>
    <col min="12808" max="13055" width="9.140625" style="560" customWidth="1"/>
    <col min="13056" max="13057" width="4" style="560"/>
    <col min="13058" max="13058" width="5.7109375" style="560" customWidth="1"/>
    <col min="13059" max="13059" width="8.42578125" style="560" customWidth="1"/>
    <col min="13060" max="13060" width="49.140625" style="560" customWidth="1"/>
    <col min="13061" max="13061" width="21.42578125" style="560" customWidth="1"/>
    <col min="13062" max="13062" width="9.140625" style="560" customWidth="1"/>
    <col min="13063" max="13063" width="12.28515625" style="560" customWidth="1"/>
    <col min="13064" max="13311" width="9.140625" style="560" customWidth="1"/>
    <col min="13312" max="13313" width="4" style="560"/>
    <col min="13314" max="13314" width="5.7109375" style="560" customWidth="1"/>
    <col min="13315" max="13315" width="8.42578125" style="560" customWidth="1"/>
    <col min="13316" max="13316" width="49.140625" style="560" customWidth="1"/>
    <col min="13317" max="13317" width="21.42578125" style="560" customWidth="1"/>
    <col min="13318" max="13318" width="9.140625" style="560" customWidth="1"/>
    <col min="13319" max="13319" width="12.28515625" style="560" customWidth="1"/>
    <col min="13320" max="13567" width="9.140625" style="560" customWidth="1"/>
    <col min="13568" max="13569" width="4" style="560"/>
    <col min="13570" max="13570" width="5.7109375" style="560" customWidth="1"/>
    <col min="13571" max="13571" width="8.42578125" style="560" customWidth="1"/>
    <col min="13572" max="13572" width="49.140625" style="560" customWidth="1"/>
    <col min="13573" max="13573" width="21.42578125" style="560" customWidth="1"/>
    <col min="13574" max="13574" width="9.140625" style="560" customWidth="1"/>
    <col min="13575" max="13575" width="12.28515625" style="560" customWidth="1"/>
    <col min="13576" max="13823" width="9.140625" style="560" customWidth="1"/>
    <col min="13824" max="13825" width="4" style="560"/>
    <col min="13826" max="13826" width="5.7109375" style="560" customWidth="1"/>
    <col min="13827" max="13827" width="8.42578125" style="560" customWidth="1"/>
    <col min="13828" max="13828" width="49.140625" style="560" customWidth="1"/>
    <col min="13829" max="13829" width="21.42578125" style="560" customWidth="1"/>
    <col min="13830" max="13830" width="9.140625" style="560" customWidth="1"/>
    <col min="13831" max="13831" width="12.28515625" style="560" customWidth="1"/>
    <col min="13832" max="14079" width="9.140625" style="560" customWidth="1"/>
    <col min="14080" max="14081" width="4" style="560"/>
    <col min="14082" max="14082" width="5.7109375" style="560" customWidth="1"/>
    <col min="14083" max="14083" width="8.42578125" style="560" customWidth="1"/>
    <col min="14084" max="14084" width="49.140625" style="560" customWidth="1"/>
    <col min="14085" max="14085" width="21.42578125" style="560" customWidth="1"/>
    <col min="14086" max="14086" width="9.140625" style="560" customWidth="1"/>
    <col min="14087" max="14087" width="12.28515625" style="560" customWidth="1"/>
    <col min="14088" max="14335" width="9.140625" style="560" customWidth="1"/>
    <col min="14336" max="14337" width="4" style="560"/>
    <col min="14338" max="14338" width="5.7109375" style="560" customWidth="1"/>
    <col min="14339" max="14339" width="8.42578125" style="560" customWidth="1"/>
    <col min="14340" max="14340" width="49.140625" style="560" customWidth="1"/>
    <col min="14341" max="14341" width="21.42578125" style="560" customWidth="1"/>
    <col min="14342" max="14342" width="9.140625" style="560" customWidth="1"/>
    <col min="14343" max="14343" width="12.28515625" style="560" customWidth="1"/>
    <col min="14344" max="14591" width="9.140625" style="560" customWidth="1"/>
    <col min="14592" max="14593" width="4" style="560"/>
    <col min="14594" max="14594" width="5.7109375" style="560" customWidth="1"/>
    <col min="14595" max="14595" width="8.42578125" style="560" customWidth="1"/>
    <col min="14596" max="14596" width="49.140625" style="560" customWidth="1"/>
    <col min="14597" max="14597" width="21.42578125" style="560" customWidth="1"/>
    <col min="14598" max="14598" width="9.140625" style="560" customWidth="1"/>
    <col min="14599" max="14599" width="12.28515625" style="560" customWidth="1"/>
    <col min="14600" max="14847" width="9.140625" style="560" customWidth="1"/>
    <col min="14848" max="14849" width="4" style="560"/>
    <col min="14850" max="14850" width="5.7109375" style="560" customWidth="1"/>
    <col min="14851" max="14851" width="8.42578125" style="560" customWidth="1"/>
    <col min="14852" max="14852" width="49.140625" style="560" customWidth="1"/>
    <col min="14853" max="14853" width="21.42578125" style="560" customWidth="1"/>
    <col min="14854" max="14854" width="9.140625" style="560" customWidth="1"/>
    <col min="14855" max="14855" width="12.28515625" style="560" customWidth="1"/>
    <col min="14856" max="15103" width="9.140625" style="560" customWidth="1"/>
    <col min="15104" max="15105" width="4" style="560"/>
    <col min="15106" max="15106" width="5.7109375" style="560" customWidth="1"/>
    <col min="15107" max="15107" width="8.42578125" style="560" customWidth="1"/>
    <col min="15108" max="15108" width="49.140625" style="560" customWidth="1"/>
    <col min="15109" max="15109" width="21.42578125" style="560" customWidth="1"/>
    <col min="15110" max="15110" width="9.140625" style="560" customWidth="1"/>
    <col min="15111" max="15111" width="12.28515625" style="560" customWidth="1"/>
    <col min="15112" max="15359" width="9.140625" style="560" customWidth="1"/>
    <col min="15360" max="15361" width="4" style="560"/>
    <col min="15362" max="15362" width="5.7109375" style="560" customWidth="1"/>
    <col min="15363" max="15363" width="8.42578125" style="560" customWidth="1"/>
    <col min="15364" max="15364" width="49.140625" style="560" customWidth="1"/>
    <col min="15365" max="15365" width="21.42578125" style="560" customWidth="1"/>
    <col min="15366" max="15366" width="9.140625" style="560" customWidth="1"/>
    <col min="15367" max="15367" width="12.28515625" style="560" customWidth="1"/>
    <col min="15368" max="15615" width="9.140625" style="560" customWidth="1"/>
    <col min="15616" max="15617" width="4" style="560"/>
    <col min="15618" max="15618" width="5.7109375" style="560" customWidth="1"/>
    <col min="15619" max="15619" width="8.42578125" style="560" customWidth="1"/>
    <col min="15620" max="15620" width="49.140625" style="560" customWidth="1"/>
    <col min="15621" max="15621" width="21.42578125" style="560" customWidth="1"/>
    <col min="15622" max="15622" width="9.140625" style="560" customWidth="1"/>
    <col min="15623" max="15623" width="12.28515625" style="560" customWidth="1"/>
    <col min="15624" max="15871" width="9.140625" style="560" customWidth="1"/>
    <col min="15872" max="15873" width="4" style="560"/>
    <col min="15874" max="15874" width="5.7109375" style="560" customWidth="1"/>
    <col min="15875" max="15875" width="8.42578125" style="560" customWidth="1"/>
    <col min="15876" max="15876" width="49.140625" style="560" customWidth="1"/>
    <col min="15877" max="15877" width="21.42578125" style="560" customWidth="1"/>
    <col min="15878" max="15878" width="9.140625" style="560" customWidth="1"/>
    <col min="15879" max="15879" width="12.28515625" style="560" customWidth="1"/>
    <col min="15880" max="16127" width="9.140625" style="560" customWidth="1"/>
    <col min="16128" max="16129" width="4" style="560"/>
    <col min="16130" max="16130" width="5.7109375" style="560" customWidth="1"/>
    <col min="16131" max="16131" width="8.42578125" style="560" customWidth="1"/>
    <col min="16132" max="16132" width="49.140625" style="560" customWidth="1"/>
    <col min="16133" max="16133" width="21.42578125" style="560" customWidth="1"/>
    <col min="16134" max="16134" width="9.140625" style="560" customWidth="1"/>
    <col min="16135" max="16135" width="12.28515625" style="560" customWidth="1"/>
    <col min="16136" max="16383" width="9.140625" style="560" customWidth="1"/>
    <col min="16384" max="16384" width="4" style="560"/>
  </cols>
  <sheetData>
    <row r="1" spans="1:7" x14ac:dyDescent="0.2">
      <c r="A1" s="324"/>
      <c r="D1" s="325"/>
      <c r="E1" s="326" t="s">
        <v>426</v>
      </c>
    </row>
    <row r="2" spans="1:7" x14ac:dyDescent="0.2">
      <c r="D2" s="325"/>
      <c r="E2" s="329" t="s">
        <v>336</v>
      </c>
    </row>
    <row r="3" spans="1:7" x14ac:dyDescent="0.2">
      <c r="D3" s="325"/>
      <c r="E3" s="329" t="s">
        <v>16</v>
      </c>
    </row>
    <row r="4" spans="1:7" x14ac:dyDescent="0.2">
      <c r="D4" s="325"/>
      <c r="E4" s="329" t="s">
        <v>337</v>
      </c>
    </row>
    <row r="5" spans="1:7" ht="9.75" customHeight="1" x14ac:dyDescent="0.2">
      <c r="D5" s="326"/>
      <c r="E5" s="327"/>
    </row>
    <row r="6" spans="1:7" ht="15.75" customHeight="1" x14ac:dyDescent="0.2">
      <c r="A6" s="330" t="s">
        <v>427</v>
      </c>
      <c r="B6" s="330"/>
      <c r="C6" s="330"/>
      <c r="D6" s="330"/>
      <c r="E6" s="330"/>
    </row>
    <row r="7" spans="1:7" ht="15.75" customHeight="1" x14ac:dyDescent="0.2">
      <c r="A7" s="330" t="s">
        <v>428</v>
      </c>
      <c r="B7" s="330"/>
      <c r="C7" s="330"/>
      <c r="D7" s="330"/>
      <c r="E7" s="330"/>
    </row>
    <row r="8" spans="1:7" ht="9.75" customHeight="1" x14ac:dyDescent="0.2">
      <c r="E8" s="331"/>
    </row>
    <row r="9" spans="1:7" ht="10.5" customHeight="1" x14ac:dyDescent="0.2">
      <c r="E9" s="332" t="s">
        <v>1</v>
      </c>
    </row>
    <row r="10" spans="1:7" ht="20.25" customHeight="1" x14ac:dyDescent="0.2">
      <c r="A10" s="333" t="s">
        <v>40</v>
      </c>
      <c r="B10" s="334" t="s">
        <v>350</v>
      </c>
      <c r="C10" s="334" t="s">
        <v>351</v>
      </c>
      <c r="D10" s="335" t="s">
        <v>429</v>
      </c>
      <c r="E10" s="334" t="s">
        <v>430</v>
      </c>
    </row>
    <row r="11" spans="1:7" s="339" customFormat="1" ht="10.5" customHeight="1" x14ac:dyDescent="0.2">
      <c r="A11" s="336">
        <v>1</v>
      </c>
      <c r="B11" s="336">
        <v>2</v>
      </c>
      <c r="C11" s="336">
        <v>3</v>
      </c>
      <c r="D11" s="337">
        <v>4</v>
      </c>
      <c r="E11" s="336">
        <v>5</v>
      </c>
      <c r="F11" s="325"/>
      <c r="G11" s="338"/>
    </row>
    <row r="12" spans="1:7" ht="17.25" customHeight="1" x14ac:dyDescent="0.2">
      <c r="A12" s="561" t="s">
        <v>431</v>
      </c>
      <c r="B12" s="562"/>
      <c r="C12" s="562"/>
      <c r="D12" s="562"/>
      <c r="E12" s="563"/>
    </row>
    <row r="13" spans="1:7" ht="15.75" customHeight="1" x14ac:dyDescent="0.2">
      <c r="A13" s="340">
        <v>1</v>
      </c>
      <c r="B13" s="340">
        <v>700</v>
      </c>
      <c r="C13" s="340">
        <v>70095</v>
      </c>
      <c r="D13" s="341" t="s">
        <v>432</v>
      </c>
      <c r="E13" s="342">
        <f>1500000-320000</f>
        <v>1180000</v>
      </c>
      <c r="F13" s="343"/>
    </row>
    <row r="14" spans="1:7" ht="26.25" customHeight="1" x14ac:dyDescent="0.2">
      <c r="A14" s="344">
        <v>2</v>
      </c>
      <c r="B14" s="344">
        <v>750</v>
      </c>
      <c r="C14" s="344">
        <v>75095</v>
      </c>
      <c r="D14" s="345" t="s">
        <v>433</v>
      </c>
      <c r="E14" s="346">
        <v>85000</v>
      </c>
      <c r="G14" s="347"/>
    </row>
    <row r="15" spans="1:7" ht="15" customHeight="1" x14ac:dyDescent="0.2">
      <c r="A15" s="344">
        <v>3</v>
      </c>
      <c r="B15" s="344">
        <v>755</v>
      </c>
      <c r="C15" s="344">
        <v>75515</v>
      </c>
      <c r="D15" s="345" t="s">
        <v>434</v>
      </c>
      <c r="E15" s="342">
        <v>128040</v>
      </c>
      <c r="G15" s="347"/>
    </row>
    <row r="16" spans="1:7" ht="15.75" customHeight="1" x14ac:dyDescent="0.2">
      <c r="A16" s="348">
        <v>4</v>
      </c>
      <c r="B16" s="348">
        <v>801</v>
      </c>
      <c r="C16" s="348">
        <v>80101</v>
      </c>
      <c r="D16" s="349" t="s">
        <v>45</v>
      </c>
      <c r="E16" s="342">
        <f>24797.85</f>
        <v>24797.85</v>
      </c>
      <c r="G16" s="347"/>
    </row>
    <row r="17" spans="1:7" ht="15" customHeight="1" x14ac:dyDescent="0.2">
      <c r="A17" s="350"/>
      <c r="B17" s="351"/>
      <c r="C17" s="352"/>
      <c r="D17" s="353" t="s">
        <v>435</v>
      </c>
      <c r="E17" s="354"/>
      <c r="G17" s="347"/>
    </row>
    <row r="18" spans="1:7" ht="23.25" customHeight="1" x14ac:dyDescent="0.2">
      <c r="A18" s="355"/>
      <c r="B18" s="356"/>
      <c r="C18" s="357"/>
      <c r="D18" s="358" t="s">
        <v>436</v>
      </c>
      <c r="E18" s="359"/>
      <c r="G18" s="347"/>
    </row>
    <row r="19" spans="1:7" ht="15" customHeight="1" x14ac:dyDescent="0.2">
      <c r="A19" s="360"/>
      <c r="B19" s="361"/>
      <c r="C19" s="362"/>
      <c r="D19" s="363" t="s">
        <v>437</v>
      </c>
      <c r="E19" s="364"/>
      <c r="G19" s="347"/>
    </row>
    <row r="20" spans="1:7" ht="15.75" customHeight="1" x14ac:dyDescent="0.2">
      <c r="A20" s="348">
        <v>5</v>
      </c>
      <c r="B20" s="348">
        <v>801</v>
      </c>
      <c r="C20" s="348">
        <v>80104</v>
      </c>
      <c r="D20" s="349" t="s">
        <v>49</v>
      </c>
      <c r="E20" s="342">
        <f>2391.32+3201.31+3587.48</f>
        <v>9180.11</v>
      </c>
      <c r="G20" s="347"/>
    </row>
    <row r="21" spans="1:7" ht="15" customHeight="1" x14ac:dyDescent="0.2">
      <c r="A21" s="350"/>
      <c r="B21" s="351"/>
      <c r="C21" s="352"/>
      <c r="D21" s="365" t="s">
        <v>438</v>
      </c>
      <c r="E21" s="354"/>
      <c r="G21" s="347"/>
    </row>
    <row r="22" spans="1:7" ht="15" customHeight="1" x14ac:dyDescent="0.2">
      <c r="A22" s="355"/>
      <c r="B22" s="356"/>
      <c r="C22" s="357"/>
      <c r="D22" s="365" t="s">
        <v>439</v>
      </c>
      <c r="E22" s="366"/>
      <c r="G22" s="347"/>
    </row>
    <row r="23" spans="1:7" ht="15" customHeight="1" x14ac:dyDescent="0.2">
      <c r="A23" s="355"/>
      <c r="B23" s="356"/>
      <c r="C23" s="357"/>
      <c r="D23" s="367" t="s">
        <v>440</v>
      </c>
      <c r="E23" s="366"/>
      <c r="G23" s="347"/>
    </row>
    <row r="24" spans="1:7" ht="15" customHeight="1" x14ac:dyDescent="0.2">
      <c r="A24" s="355"/>
      <c r="B24" s="356"/>
      <c r="C24" s="357"/>
      <c r="D24" s="368" t="s">
        <v>441</v>
      </c>
      <c r="E24" s="366"/>
      <c r="G24" s="347"/>
    </row>
    <row r="25" spans="1:7" ht="15" customHeight="1" x14ac:dyDescent="0.2">
      <c r="A25" s="360"/>
      <c r="B25" s="361"/>
      <c r="C25" s="362"/>
      <c r="D25" s="369" t="s">
        <v>442</v>
      </c>
      <c r="E25" s="364"/>
      <c r="G25" s="347"/>
    </row>
    <row r="26" spans="1:7" ht="15" customHeight="1" x14ac:dyDescent="0.2">
      <c r="A26" s="348">
        <v>6</v>
      </c>
      <c r="B26" s="348">
        <v>801</v>
      </c>
      <c r="C26" s="348">
        <v>80117</v>
      </c>
      <c r="D26" s="349" t="s">
        <v>235</v>
      </c>
      <c r="E26" s="342">
        <f>709.34+740.59</f>
        <v>1449.93</v>
      </c>
      <c r="G26" s="347"/>
    </row>
    <row r="27" spans="1:7" ht="15" customHeight="1" x14ac:dyDescent="0.2">
      <c r="A27" s="349"/>
      <c r="B27" s="370"/>
      <c r="C27" s="371"/>
      <c r="D27" s="372" t="s">
        <v>443</v>
      </c>
      <c r="E27" s="342"/>
      <c r="G27" s="347"/>
    </row>
    <row r="28" spans="1:7" ht="15.75" customHeight="1" x14ac:dyDescent="0.2">
      <c r="A28" s="348">
        <v>7</v>
      </c>
      <c r="B28" s="348">
        <v>801</v>
      </c>
      <c r="C28" s="348">
        <v>80120</v>
      </c>
      <c r="D28" s="349" t="s">
        <v>53</v>
      </c>
      <c r="E28" s="342">
        <f>12774.65+4478.39+4665.89</f>
        <v>21918.93</v>
      </c>
      <c r="G28" s="347"/>
    </row>
    <row r="29" spans="1:7" ht="15" customHeight="1" x14ac:dyDescent="0.2">
      <c r="A29" s="350"/>
      <c r="B29" s="351"/>
      <c r="C29" s="352"/>
      <c r="D29" s="373" t="s">
        <v>444</v>
      </c>
      <c r="E29" s="354"/>
      <c r="G29" s="347"/>
    </row>
    <row r="30" spans="1:7" ht="22.5" customHeight="1" x14ac:dyDescent="0.2">
      <c r="A30" s="355"/>
      <c r="B30" s="356"/>
      <c r="C30" s="357"/>
      <c r="D30" s="374" t="s">
        <v>445</v>
      </c>
      <c r="E30" s="366"/>
      <c r="G30" s="347"/>
    </row>
    <row r="31" spans="1:7" ht="24.75" customHeight="1" x14ac:dyDescent="0.2">
      <c r="A31" s="360"/>
      <c r="B31" s="361"/>
      <c r="C31" s="362"/>
      <c r="D31" s="375" t="s">
        <v>446</v>
      </c>
      <c r="E31" s="364"/>
      <c r="G31" s="347"/>
    </row>
    <row r="32" spans="1:7" ht="51" customHeight="1" x14ac:dyDescent="0.2">
      <c r="A32" s="376">
        <v>8</v>
      </c>
      <c r="B32" s="376">
        <v>801</v>
      </c>
      <c r="C32" s="376">
        <v>80153</v>
      </c>
      <c r="D32" s="377" t="s">
        <v>447</v>
      </c>
      <c r="E32" s="378">
        <f>33841+15955+1732.31+3011.85-1579.12</f>
        <v>52961.039999999994</v>
      </c>
      <c r="G32" s="347"/>
    </row>
    <row r="33" spans="1:7" ht="15" customHeight="1" x14ac:dyDescent="0.2">
      <c r="A33" s="379"/>
      <c r="B33" s="379"/>
      <c r="C33" s="379"/>
      <c r="D33" s="380" t="s">
        <v>448</v>
      </c>
      <c r="E33" s="381"/>
      <c r="G33" s="347"/>
    </row>
    <row r="34" spans="1:7" ht="15" customHeight="1" x14ac:dyDescent="0.2">
      <c r="A34" s="382"/>
      <c r="B34" s="382"/>
      <c r="C34" s="382"/>
      <c r="D34" s="383" t="s">
        <v>437</v>
      </c>
      <c r="E34" s="384"/>
      <c r="G34" s="347"/>
    </row>
    <row r="35" spans="1:7" ht="15" customHeight="1" x14ac:dyDescent="0.2">
      <c r="A35" s="385"/>
      <c r="B35" s="385"/>
      <c r="C35" s="385"/>
      <c r="D35" s="386" t="s">
        <v>449</v>
      </c>
      <c r="E35" s="387"/>
      <c r="G35" s="347"/>
    </row>
    <row r="36" spans="1:7" ht="42" customHeight="1" x14ac:dyDescent="0.2">
      <c r="A36" s="388">
        <v>9</v>
      </c>
      <c r="B36" s="388">
        <v>801</v>
      </c>
      <c r="C36" s="388">
        <v>80195</v>
      </c>
      <c r="D36" s="389" t="s">
        <v>450</v>
      </c>
      <c r="E36" s="390">
        <f>533646-31962+295000</f>
        <v>796684</v>
      </c>
      <c r="G36" s="347"/>
    </row>
    <row r="37" spans="1:7" ht="15" customHeight="1" x14ac:dyDescent="0.2">
      <c r="A37" s="348">
        <v>10</v>
      </c>
      <c r="B37" s="348">
        <v>851</v>
      </c>
      <c r="C37" s="348">
        <v>85153</v>
      </c>
      <c r="D37" s="360" t="s">
        <v>451</v>
      </c>
      <c r="E37" s="364">
        <v>55000</v>
      </c>
      <c r="G37" s="347"/>
    </row>
    <row r="38" spans="1:7" s="328" customFormat="1" ht="39" customHeight="1" x14ac:dyDescent="0.2">
      <c r="A38" s="344">
        <v>11</v>
      </c>
      <c r="B38" s="344">
        <v>851</v>
      </c>
      <c r="C38" s="344">
        <v>85154</v>
      </c>
      <c r="D38" s="345" t="s">
        <v>452</v>
      </c>
      <c r="E38" s="346">
        <f>550000-21000</f>
        <v>529000</v>
      </c>
      <c r="F38" s="327"/>
    </row>
    <row r="39" spans="1:7" s="328" customFormat="1" ht="27" customHeight="1" x14ac:dyDescent="0.2">
      <c r="A39" s="391">
        <v>12</v>
      </c>
      <c r="B39" s="391">
        <v>851</v>
      </c>
      <c r="C39" s="392">
        <v>85195</v>
      </c>
      <c r="D39" s="345" t="s">
        <v>453</v>
      </c>
      <c r="E39" s="346">
        <v>67500</v>
      </c>
      <c r="F39" s="327"/>
    </row>
    <row r="40" spans="1:7" s="328" customFormat="1" ht="25.5" customHeight="1" x14ac:dyDescent="0.2">
      <c r="A40" s="393">
        <v>13</v>
      </c>
      <c r="B40" s="393">
        <v>852</v>
      </c>
      <c r="C40" s="394">
        <v>85228</v>
      </c>
      <c r="D40" s="395" t="s">
        <v>454</v>
      </c>
      <c r="E40" s="342">
        <f>7049731-244300-15000</f>
        <v>6790431</v>
      </c>
      <c r="F40" s="327"/>
    </row>
    <row r="41" spans="1:7" s="328" customFormat="1" ht="25.5" customHeight="1" x14ac:dyDescent="0.2">
      <c r="A41" s="388"/>
      <c r="B41" s="388"/>
      <c r="C41" s="396"/>
      <c r="D41" s="397" t="s">
        <v>455</v>
      </c>
      <c r="E41" s="364">
        <f>1327900+746426+746426+361440+189584</f>
        <v>3371776</v>
      </c>
      <c r="F41" s="327"/>
    </row>
    <row r="42" spans="1:7" s="328" customFormat="1" ht="25.5" customHeight="1" x14ac:dyDescent="0.2">
      <c r="A42" s="344">
        <v>14</v>
      </c>
      <c r="B42" s="344">
        <v>852</v>
      </c>
      <c r="C42" s="344">
        <v>85295</v>
      </c>
      <c r="D42" s="345" t="s">
        <v>456</v>
      </c>
      <c r="E42" s="342">
        <f>1230600+47700</f>
        <v>1278300</v>
      </c>
      <c r="F42" s="327"/>
    </row>
    <row r="43" spans="1:7" s="328" customFormat="1" ht="26.25" customHeight="1" x14ac:dyDescent="0.2">
      <c r="A43" s="344">
        <v>15</v>
      </c>
      <c r="B43" s="344">
        <v>852</v>
      </c>
      <c r="C43" s="344">
        <v>85295</v>
      </c>
      <c r="D43" s="345" t="s">
        <v>457</v>
      </c>
      <c r="E43" s="342">
        <v>413452.32</v>
      </c>
      <c r="F43" s="327"/>
    </row>
    <row r="44" spans="1:7" s="328" customFormat="1" ht="26.25" customHeight="1" x14ac:dyDescent="0.2">
      <c r="A44" s="344">
        <v>16</v>
      </c>
      <c r="B44" s="344">
        <v>853</v>
      </c>
      <c r="C44" s="344">
        <v>85395</v>
      </c>
      <c r="D44" s="345" t="s">
        <v>458</v>
      </c>
      <c r="E44" s="346">
        <f>40000-10005</f>
        <v>29995</v>
      </c>
      <c r="F44" s="327"/>
    </row>
    <row r="45" spans="1:7" s="328" customFormat="1" ht="41.45" customHeight="1" x14ac:dyDescent="0.2">
      <c r="A45" s="344">
        <v>17</v>
      </c>
      <c r="B45" s="344">
        <v>853</v>
      </c>
      <c r="C45" s="344">
        <v>85395</v>
      </c>
      <c r="D45" s="345" t="s">
        <v>459</v>
      </c>
      <c r="E45" s="346">
        <v>265510.90999999997</v>
      </c>
      <c r="F45" s="327"/>
    </row>
    <row r="46" spans="1:7" s="328" customFormat="1" ht="15.75" customHeight="1" x14ac:dyDescent="0.2">
      <c r="A46" s="348">
        <v>18</v>
      </c>
      <c r="B46" s="348">
        <v>855</v>
      </c>
      <c r="C46" s="348">
        <v>85510</v>
      </c>
      <c r="D46" s="395" t="s">
        <v>163</v>
      </c>
      <c r="E46" s="342">
        <f>1568400+312600</f>
        <v>1881000</v>
      </c>
      <c r="F46" s="327"/>
    </row>
    <row r="47" spans="1:7" s="328" customFormat="1" ht="26.25" customHeight="1" x14ac:dyDescent="0.2">
      <c r="A47" s="344">
        <v>19</v>
      </c>
      <c r="B47" s="344">
        <v>900</v>
      </c>
      <c r="C47" s="344">
        <v>90005</v>
      </c>
      <c r="D47" s="345" t="s">
        <v>460</v>
      </c>
      <c r="E47" s="346">
        <f>200000+100000-32000</f>
        <v>268000</v>
      </c>
      <c r="F47" s="343"/>
    </row>
    <row r="48" spans="1:7" s="328" customFormat="1" ht="26.25" customHeight="1" x14ac:dyDescent="0.2">
      <c r="A48" s="344">
        <v>20</v>
      </c>
      <c r="B48" s="344">
        <v>900</v>
      </c>
      <c r="C48" s="344">
        <v>90005</v>
      </c>
      <c r="D48" s="345" t="s">
        <v>461</v>
      </c>
      <c r="E48" s="346">
        <f>200000+100000+32000</f>
        <v>332000</v>
      </c>
      <c r="F48" s="343"/>
      <c r="G48" s="347"/>
    </row>
    <row r="49" spans="1:6" s="328" customFormat="1" ht="16.5" customHeight="1" x14ac:dyDescent="0.2">
      <c r="A49" s="348">
        <v>21</v>
      </c>
      <c r="B49" s="348">
        <v>921</v>
      </c>
      <c r="C49" s="348">
        <v>92120</v>
      </c>
      <c r="D49" s="349" t="s">
        <v>462</v>
      </c>
      <c r="E49" s="342">
        <v>500000</v>
      </c>
      <c r="F49" s="327"/>
    </row>
    <row r="50" spans="1:6" s="328" customFormat="1" ht="39.75" customHeight="1" x14ac:dyDescent="0.2">
      <c r="A50" s="344">
        <v>22</v>
      </c>
      <c r="B50" s="344">
        <v>921</v>
      </c>
      <c r="C50" s="344">
        <v>92195</v>
      </c>
      <c r="D50" s="345" t="s">
        <v>463</v>
      </c>
      <c r="E50" s="342">
        <f>239100+27900-27900-34000-2500</f>
        <v>202600</v>
      </c>
      <c r="F50" s="327"/>
    </row>
    <row r="51" spans="1:6" s="328" customFormat="1" ht="39.75" customHeight="1" x14ac:dyDescent="0.2">
      <c r="A51" s="344">
        <v>23</v>
      </c>
      <c r="B51" s="344">
        <v>921</v>
      </c>
      <c r="C51" s="344">
        <v>92195</v>
      </c>
      <c r="D51" s="345" t="s">
        <v>459</v>
      </c>
      <c r="E51" s="346">
        <v>320536.26</v>
      </c>
      <c r="F51" s="327"/>
    </row>
    <row r="52" spans="1:6" s="328" customFormat="1" ht="14.45" customHeight="1" x14ac:dyDescent="0.2">
      <c r="A52" s="348">
        <v>24</v>
      </c>
      <c r="B52" s="348">
        <v>926</v>
      </c>
      <c r="C52" s="348">
        <v>92605</v>
      </c>
      <c r="D52" s="395" t="s">
        <v>464</v>
      </c>
      <c r="E52" s="342">
        <v>1833375</v>
      </c>
      <c r="F52" s="327"/>
    </row>
    <row r="53" spans="1:6" s="328" customFormat="1" ht="38.450000000000003" customHeight="1" x14ac:dyDescent="0.2">
      <c r="A53" s="344">
        <v>25</v>
      </c>
      <c r="B53" s="344">
        <v>926</v>
      </c>
      <c r="C53" s="344">
        <v>92605</v>
      </c>
      <c r="D53" s="395" t="s">
        <v>465</v>
      </c>
      <c r="E53" s="346">
        <v>106845.42</v>
      </c>
      <c r="F53" s="327"/>
    </row>
    <row r="54" spans="1:6" s="328" customFormat="1" ht="15" customHeight="1" x14ac:dyDescent="0.2">
      <c r="A54" s="564"/>
      <c r="B54" s="565"/>
      <c r="C54" s="565"/>
      <c r="D54" s="565" t="s">
        <v>466</v>
      </c>
      <c r="E54" s="566">
        <f>SUM(E13:E53)</f>
        <v>20545353.770000003</v>
      </c>
      <c r="F54" s="327"/>
    </row>
    <row r="55" spans="1:6" s="328" customFormat="1" ht="17.25" customHeight="1" x14ac:dyDescent="0.2">
      <c r="A55" s="561" t="s">
        <v>467</v>
      </c>
      <c r="B55" s="562"/>
      <c r="C55" s="562"/>
      <c r="D55" s="562"/>
      <c r="E55" s="563"/>
      <c r="F55" s="327"/>
    </row>
    <row r="56" spans="1:6" s="328" customFormat="1" ht="17.25" customHeight="1" x14ac:dyDescent="0.2">
      <c r="A56" s="333" t="s">
        <v>40</v>
      </c>
      <c r="B56" s="334" t="s">
        <v>350</v>
      </c>
      <c r="C56" s="334" t="s">
        <v>351</v>
      </c>
      <c r="D56" s="335" t="s">
        <v>468</v>
      </c>
      <c r="E56" s="334" t="s">
        <v>430</v>
      </c>
      <c r="F56" s="327"/>
    </row>
    <row r="57" spans="1:6" s="328" customFormat="1" ht="14.25" customHeight="1" x14ac:dyDescent="0.2">
      <c r="A57" s="348">
        <v>1</v>
      </c>
      <c r="B57" s="348">
        <v>801</v>
      </c>
      <c r="C57" s="348">
        <v>80101</v>
      </c>
      <c r="D57" s="349" t="s">
        <v>45</v>
      </c>
      <c r="E57" s="342">
        <f>7612585+11903.79+15110.88+120000+518000+50000+50000+157000+40000-77000+332000</f>
        <v>8829599.6699999999</v>
      </c>
      <c r="F57" s="327"/>
    </row>
    <row r="58" spans="1:6" s="328" customFormat="1" ht="13.5" customHeight="1" x14ac:dyDescent="0.2">
      <c r="A58" s="350"/>
      <c r="B58" s="351"/>
      <c r="C58" s="352"/>
      <c r="D58" s="353" t="s">
        <v>435</v>
      </c>
      <c r="E58" s="354"/>
      <c r="F58" s="327"/>
    </row>
    <row r="59" spans="1:6" s="328" customFormat="1" ht="13.5" customHeight="1" x14ac:dyDescent="0.2">
      <c r="A59" s="355"/>
      <c r="B59" s="356"/>
      <c r="C59" s="357"/>
      <c r="D59" s="398" t="s">
        <v>469</v>
      </c>
      <c r="E59" s="366"/>
      <c r="F59" s="399"/>
    </row>
    <row r="60" spans="1:6" s="328" customFormat="1" ht="13.5" customHeight="1" x14ac:dyDescent="0.2">
      <c r="A60" s="355"/>
      <c r="B60" s="356"/>
      <c r="C60" s="357"/>
      <c r="D60" s="400" t="s">
        <v>470</v>
      </c>
      <c r="E60" s="359"/>
      <c r="F60" s="327"/>
    </row>
    <row r="61" spans="1:6" s="328" customFormat="1" ht="26.25" customHeight="1" x14ac:dyDescent="0.2">
      <c r="A61" s="355"/>
      <c r="B61" s="356"/>
      <c r="C61" s="357"/>
      <c r="D61" s="401" t="s">
        <v>471</v>
      </c>
      <c r="E61" s="366"/>
      <c r="F61" s="327"/>
    </row>
    <row r="62" spans="1:6" s="328" customFormat="1" ht="27" customHeight="1" x14ac:dyDescent="0.2">
      <c r="A62" s="355"/>
      <c r="B62" s="356"/>
      <c r="C62" s="357"/>
      <c r="D62" s="401" t="s">
        <v>472</v>
      </c>
      <c r="E62" s="366"/>
      <c r="F62" s="327"/>
    </row>
    <row r="63" spans="1:6" s="328" customFormat="1" ht="24.75" customHeight="1" x14ac:dyDescent="0.2">
      <c r="A63" s="355"/>
      <c r="B63" s="356"/>
      <c r="C63" s="357"/>
      <c r="D63" s="398" t="s">
        <v>473</v>
      </c>
      <c r="E63" s="366"/>
      <c r="F63" s="327"/>
    </row>
    <row r="64" spans="1:6" s="328" customFormat="1" ht="25.5" customHeight="1" x14ac:dyDescent="0.2">
      <c r="A64" s="355"/>
      <c r="B64" s="356"/>
      <c r="C64" s="357"/>
      <c r="D64" s="374" t="s">
        <v>474</v>
      </c>
      <c r="E64" s="359"/>
      <c r="F64" s="327"/>
    </row>
    <row r="65" spans="1:7" s="328" customFormat="1" ht="13.5" customHeight="1" x14ac:dyDescent="0.2">
      <c r="A65" s="355"/>
      <c r="B65" s="356"/>
      <c r="C65" s="357"/>
      <c r="D65" s="402" t="s">
        <v>437</v>
      </c>
      <c r="E65" s="366"/>
      <c r="F65" s="327"/>
    </row>
    <row r="66" spans="1:7" s="328" customFormat="1" ht="24" customHeight="1" x14ac:dyDescent="0.2">
      <c r="A66" s="360"/>
      <c r="B66" s="361"/>
      <c r="C66" s="362"/>
      <c r="D66" s="403" t="s">
        <v>436</v>
      </c>
      <c r="E66" s="364"/>
      <c r="F66" s="327"/>
    </row>
    <row r="67" spans="1:7" s="328" customFormat="1" ht="13.5" customHeight="1" x14ac:dyDescent="0.2">
      <c r="A67" s="348">
        <v>2</v>
      </c>
      <c r="B67" s="348">
        <v>801</v>
      </c>
      <c r="C67" s="348">
        <v>80103</v>
      </c>
      <c r="D67" s="349" t="s">
        <v>475</v>
      </c>
      <c r="E67" s="342">
        <f>124687+15000+30000</f>
        <v>169687</v>
      </c>
      <c r="F67" s="327"/>
    </row>
    <row r="68" spans="1:7" s="328" customFormat="1" ht="24" customHeight="1" x14ac:dyDescent="0.2">
      <c r="A68" s="355"/>
      <c r="B68" s="356"/>
      <c r="C68" s="357"/>
      <c r="D68" s="404" t="s">
        <v>471</v>
      </c>
      <c r="E68" s="354"/>
      <c r="F68" s="327"/>
    </row>
    <row r="69" spans="1:7" s="328" customFormat="1" ht="13.5" customHeight="1" x14ac:dyDescent="0.2">
      <c r="A69" s="360"/>
      <c r="B69" s="361"/>
      <c r="C69" s="362"/>
      <c r="D69" s="405" t="s">
        <v>437</v>
      </c>
      <c r="E69" s="364"/>
      <c r="F69" s="327"/>
    </row>
    <row r="70" spans="1:7" s="328" customFormat="1" ht="14.25" customHeight="1" x14ac:dyDescent="0.2">
      <c r="A70" s="348">
        <v>3</v>
      </c>
      <c r="B70" s="348">
        <v>801</v>
      </c>
      <c r="C70" s="348">
        <v>80104</v>
      </c>
      <c r="D70" s="349" t="s">
        <v>49</v>
      </c>
      <c r="E70" s="342">
        <f>8825749+13966.37+917.02+230000+200000+800000+300000+400000+57000-6000</f>
        <v>10821632.389999999</v>
      </c>
      <c r="F70" s="327"/>
    </row>
    <row r="71" spans="1:7" s="328" customFormat="1" ht="14.25" customHeight="1" x14ac:dyDescent="0.2">
      <c r="A71" s="350"/>
      <c r="B71" s="351"/>
      <c r="C71" s="352"/>
      <c r="D71" s="353" t="s">
        <v>476</v>
      </c>
      <c r="E71" s="354"/>
      <c r="F71" s="327"/>
    </row>
    <row r="72" spans="1:7" s="328" customFormat="1" ht="14.25" customHeight="1" x14ac:dyDescent="0.2">
      <c r="A72" s="355"/>
      <c r="B72" s="356"/>
      <c r="C72" s="357"/>
      <c r="D72" s="365" t="s">
        <v>438</v>
      </c>
      <c r="E72" s="366"/>
      <c r="F72" s="327"/>
    </row>
    <row r="73" spans="1:7" s="328" customFormat="1" ht="13.5" customHeight="1" x14ac:dyDescent="0.2">
      <c r="A73" s="355"/>
      <c r="B73" s="356"/>
      <c r="C73" s="357"/>
      <c r="D73" s="406" t="s">
        <v>439</v>
      </c>
      <c r="E73" s="359"/>
      <c r="F73" s="327"/>
    </row>
    <row r="74" spans="1:7" s="327" customFormat="1" ht="23.25" customHeight="1" x14ac:dyDescent="0.2">
      <c r="A74" s="355"/>
      <c r="B74" s="356"/>
      <c r="C74" s="357"/>
      <c r="D74" s="401" t="s">
        <v>477</v>
      </c>
      <c r="E74" s="366"/>
      <c r="G74" s="328"/>
    </row>
    <row r="75" spans="1:7" s="327" customFormat="1" ht="13.5" customHeight="1" x14ac:dyDescent="0.2">
      <c r="A75" s="360"/>
      <c r="B75" s="361"/>
      <c r="C75" s="362"/>
      <c r="D75" s="363" t="s">
        <v>478</v>
      </c>
      <c r="E75" s="364"/>
      <c r="G75" s="328"/>
    </row>
    <row r="76" spans="1:7" s="327" customFormat="1" ht="13.5" customHeight="1" x14ac:dyDescent="0.2">
      <c r="A76" s="355"/>
      <c r="B76" s="356"/>
      <c r="C76" s="357"/>
      <c r="D76" s="374" t="s">
        <v>479</v>
      </c>
      <c r="E76" s="359"/>
      <c r="G76" s="328"/>
    </row>
    <row r="77" spans="1:7" s="327" customFormat="1" ht="13.5" customHeight="1" x14ac:dyDescent="0.2">
      <c r="A77" s="355"/>
      <c r="B77" s="356"/>
      <c r="C77" s="357"/>
      <c r="D77" s="401" t="s">
        <v>480</v>
      </c>
      <c r="E77" s="366"/>
      <c r="G77" s="328"/>
    </row>
    <row r="78" spans="1:7" s="327" customFormat="1" ht="13.5" customHeight="1" x14ac:dyDescent="0.2">
      <c r="A78" s="355"/>
      <c r="B78" s="356"/>
      <c r="C78" s="357"/>
      <c r="D78" s="406" t="s">
        <v>441</v>
      </c>
      <c r="E78" s="359"/>
      <c r="G78" s="328"/>
    </row>
    <row r="79" spans="1:7" s="327" customFormat="1" ht="13.5" customHeight="1" x14ac:dyDescent="0.2">
      <c r="A79" s="355"/>
      <c r="B79" s="356"/>
      <c r="C79" s="357"/>
      <c r="D79" s="406" t="s">
        <v>481</v>
      </c>
      <c r="E79" s="359"/>
      <c r="G79" s="328"/>
    </row>
    <row r="80" spans="1:7" s="327" customFormat="1" ht="13.5" customHeight="1" x14ac:dyDescent="0.2">
      <c r="A80" s="355"/>
      <c r="B80" s="356"/>
      <c r="C80" s="357"/>
      <c r="D80" s="401" t="s">
        <v>482</v>
      </c>
      <c r="E80" s="366"/>
      <c r="G80" s="328"/>
    </row>
    <row r="81" spans="1:7" s="327" customFormat="1" ht="13.5" customHeight="1" x14ac:dyDescent="0.2">
      <c r="A81" s="355"/>
      <c r="B81" s="356"/>
      <c r="C81" s="357"/>
      <c r="D81" s="402" t="s">
        <v>440</v>
      </c>
      <c r="E81" s="366"/>
      <c r="G81" s="328"/>
    </row>
    <row r="82" spans="1:7" s="327" customFormat="1" ht="13.5" customHeight="1" x14ac:dyDescent="0.2">
      <c r="A82" s="355"/>
      <c r="B82" s="356"/>
      <c r="C82" s="357"/>
      <c r="D82" s="369" t="s">
        <v>442</v>
      </c>
      <c r="E82" s="359"/>
      <c r="G82" s="328"/>
    </row>
    <row r="83" spans="1:7" s="327" customFormat="1" ht="13.5" customHeight="1" x14ac:dyDescent="0.2">
      <c r="A83" s="355"/>
      <c r="B83" s="356"/>
      <c r="C83" s="357"/>
      <c r="D83" s="369" t="s">
        <v>483</v>
      </c>
      <c r="E83" s="359"/>
      <c r="G83" s="328"/>
    </row>
    <row r="84" spans="1:7" s="327" customFormat="1" ht="13.5" customHeight="1" x14ac:dyDescent="0.2">
      <c r="A84" s="355"/>
      <c r="B84" s="356"/>
      <c r="C84" s="357"/>
      <c r="D84" s="402" t="s">
        <v>484</v>
      </c>
      <c r="E84" s="366"/>
      <c r="G84" s="328"/>
    </row>
    <row r="85" spans="1:7" s="327" customFormat="1" ht="13.5" customHeight="1" x14ac:dyDescent="0.2">
      <c r="A85" s="360"/>
      <c r="B85" s="361"/>
      <c r="C85" s="362"/>
      <c r="D85" s="363" t="s">
        <v>485</v>
      </c>
      <c r="E85" s="364"/>
      <c r="G85" s="328"/>
    </row>
    <row r="86" spans="1:7" s="327" customFormat="1" ht="24" customHeight="1" x14ac:dyDescent="0.2">
      <c r="A86" s="344">
        <v>4</v>
      </c>
      <c r="B86" s="344">
        <v>801</v>
      </c>
      <c r="C86" s="344">
        <v>80106</v>
      </c>
      <c r="D86" s="345" t="s">
        <v>486</v>
      </c>
      <c r="E86" s="346">
        <f>62237+7000+3500</f>
        <v>72737</v>
      </c>
      <c r="G86" s="328"/>
    </row>
    <row r="87" spans="1:7" s="327" customFormat="1" ht="13.5" customHeight="1" x14ac:dyDescent="0.2">
      <c r="A87" s="349"/>
      <c r="B87" s="370"/>
      <c r="C87" s="371"/>
      <c r="D87" s="407" t="s">
        <v>487</v>
      </c>
      <c r="E87" s="342"/>
      <c r="G87" s="328"/>
    </row>
    <row r="88" spans="1:7" s="327" customFormat="1" ht="13.5" customHeight="1" x14ac:dyDescent="0.2">
      <c r="A88" s="348">
        <v>5</v>
      </c>
      <c r="B88" s="348">
        <v>801</v>
      </c>
      <c r="C88" s="348">
        <v>80115</v>
      </c>
      <c r="D88" s="370" t="s">
        <v>51</v>
      </c>
      <c r="E88" s="342">
        <f>2505180+12243.98+164000+100000+142000</f>
        <v>2923423.98</v>
      </c>
      <c r="G88" s="328"/>
    </row>
    <row r="89" spans="1:7" s="327" customFormat="1" ht="23.25" customHeight="1" x14ac:dyDescent="0.2">
      <c r="A89" s="349"/>
      <c r="B89" s="370"/>
      <c r="C89" s="371"/>
      <c r="D89" s="408" t="s">
        <v>488</v>
      </c>
      <c r="E89" s="342"/>
      <c r="G89" s="328"/>
    </row>
    <row r="90" spans="1:7" s="327" customFormat="1" ht="13.5" customHeight="1" x14ac:dyDescent="0.2">
      <c r="A90" s="348">
        <v>6</v>
      </c>
      <c r="B90" s="348">
        <v>801</v>
      </c>
      <c r="C90" s="348">
        <v>80116</v>
      </c>
      <c r="D90" s="370" t="s">
        <v>234</v>
      </c>
      <c r="E90" s="342">
        <f>5272240-50000-140000+24309.91-200000+200000+400000+78000</f>
        <v>5584549.9100000001</v>
      </c>
      <c r="G90" s="328"/>
    </row>
    <row r="91" spans="1:7" s="327" customFormat="1" ht="13.5" customHeight="1" x14ac:dyDescent="0.2">
      <c r="A91" s="350"/>
      <c r="B91" s="351"/>
      <c r="C91" s="352"/>
      <c r="D91" s="409" t="s">
        <v>489</v>
      </c>
      <c r="E91" s="354"/>
      <c r="G91" s="328"/>
    </row>
    <row r="92" spans="1:7" s="327" customFormat="1" ht="25.5" customHeight="1" x14ac:dyDescent="0.2">
      <c r="A92" s="355"/>
      <c r="B92" s="356"/>
      <c r="C92" s="357"/>
      <c r="D92" s="398" t="s">
        <v>490</v>
      </c>
      <c r="E92" s="366"/>
      <c r="G92" s="328"/>
    </row>
    <row r="93" spans="1:7" s="327" customFormat="1" ht="22.5" customHeight="1" x14ac:dyDescent="0.2">
      <c r="A93" s="355"/>
      <c r="B93" s="356"/>
      <c r="C93" s="357"/>
      <c r="D93" s="401" t="s">
        <v>491</v>
      </c>
      <c r="E93" s="366"/>
      <c r="G93" s="328"/>
    </row>
    <row r="94" spans="1:7" s="327" customFormat="1" ht="13.5" customHeight="1" x14ac:dyDescent="0.2">
      <c r="A94" s="355"/>
      <c r="B94" s="356"/>
      <c r="C94" s="357"/>
      <c r="D94" s="369" t="s">
        <v>492</v>
      </c>
      <c r="E94" s="359"/>
      <c r="G94" s="328"/>
    </row>
    <row r="95" spans="1:7" s="327" customFormat="1" ht="13.5" customHeight="1" x14ac:dyDescent="0.2">
      <c r="A95" s="355"/>
      <c r="B95" s="356"/>
      <c r="C95" s="357"/>
      <c r="D95" s="410" t="s">
        <v>493</v>
      </c>
      <c r="E95" s="411"/>
      <c r="G95" s="328"/>
    </row>
    <row r="96" spans="1:7" s="327" customFormat="1" ht="25.5" customHeight="1" x14ac:dyDescent="0.2">
      <c r="A96" s="355"/>
      <c r="B96" s="356"/>
      <c r="C96" s="357"/>
      <c r="D96" s="400" t="s">
        <v>494</v>
      </c>
      <c r="E96" s="359"/>
      <c r="G96" s="328"/>
    </row>
    <row r="97" spans="1:7" s="327" customFormat="1" ht="13.5" customHeight="1" x14ac:dyDescent="0.2">
      <c r="A97" s="355"/>
      <c r="B97" s="356"/>
      <c r="C97" s="357"/>
      <c r="D97" s="398" t="s">
        <v>495</v>
      </c>
      <c r="E97" s="366"/>
      <c r="G97" s="328"/>
    </row>
    <row r="98" spans="1:7" s="327" customFormat="1" ht="13.5" customHeight="1" x14ac:dyDescent="0.2">
      <c r="A98" s="355"/>
      <c r="B98" s="356"/>
      <c r="C98" s="357"/>
      <c r="D98" s="398" t="s">
        <v>496</v>
      </c>
      <c r="E98" s="366"/>
      <c r="G98" s="328"/>
    </row>
    <row r="99" spans="1:7" s="327" customFormat="1" ht="12.75" customHeight="1" x14ac:dyDescent="0.2">
      <c r="A99" s="355"/>
      <c r="B99" s="356"/>
      <c r="C99" s="357"/>
      <c r="D99" s="401" t="s">
        <v>497</v>
      </c>
      <c r="E99" s="366"/>
      <c r="G99" s="328"/>
    </row>
    <row r="100" spans="1:7" s="327" customFormat="1" ht="13.5" customHeight="1" x14ac:dyDescent="0.2">
      <c r="A100" s="355"/>
      <c r="B100" s="356"/>
      <c r="C100" s="357"/>
      <c r="D100" s="402" t="s">
        <v>498</v>
      </c>
      <c r="E100" s="366"/>
      <c r="G100" s="328"/>
    </row>
    <row r="101" spans="1:7" s="327" customFormat="1" ht="13.5" customHeight="1" x14ac:dyDescent="0.2">
      <c r="A101" s="355"/>
      <c r="B101" s="356"/>
      <c r="C101" s="357"/>
      <c r="D101" s="412" t="s">
        <v>499</v>
      </c>
      <c r="E101" s="359"/>
      <c r="G101" s="328"/>
    </row>
    <row r="102" spans="1:7" s="327" customFormat="1" ht="13.5" customHeight="1" x14ac:dyDescent="0.2">
      <c r="A102" s="355"/>
      <c r="B102" s="356"/>
      <c r="C102" s="357"/>
      <c r="D102" s="413" t="s">
        <v>500</v>
      </c>
      <c r="E102" s="366"/>
      <c r="G102" s="328"/>
    </row>
    <row r="103" spans="1:7" s="327" customFormat="1" ht="13.5" customHeight="1" x14ac:dyDescent="0.2">
      <c r="A103" s="355"/>
      <c r="B103" s="356"/>
      <c r="C103" s="357"/>
      <c r="D103" s="402" t="s">
        <v>501</v>
      </c>
      <c r="E103" s="366"/>
      <c r="G103" s="328"/>
    </row>
    <row r="104" spans="1:7" s="327" customFormat="1" ht="25.5" customHeight="1" x14ac:dyDescent="0.2">
      <c r="A104" s="360"/>
      <c r="B104" s="361"/>
      <c r="C104" s="362"/>
      <c r="D104" s="403" t="s">
        <v>502</v>
      </c>
      <c r="E104" s="364"/>
      <c r="G104" s="328"/>
    </row>
    <row r="105" spans="1:7" s="327" customFormat="1" ht="13.5" customHeight="1" x14ac:dyDescent="0.2">
      <c r="A105" s="348">
        <v>7</v>
      </c>
      <c r="B105" s="348">
        <v>801</v>
      </c>
      <c r="C105" s="348">
        <v>80117</v>
      </c>
      <c r="D105" s="349" t="s">
        <v>235</v>
      </c>
      <c r="E105" s="342">
        <f>2656984+7306.5+3929.27+85000-200000-50000+50000-70000-50000</f>
        <v>2433219.77</v>
      </c>
      <c r="G105" s="328"/>
    </row>
    <row r="106" spans="1:7" s="327" customFormat="1" ht="15" customHeight="1" x14ac:dyDescent="0.2">
      <c r="A106" s="350"/>
      <c r="B106" s="351"/>
      <c r="C106" s="352"/>
      <c r="D106" s="372" t="s">
        <v>443</v>
      </c>
      <c r="E106" s="354"/>
      <c r="G106" s="328"/>
    </row>
    <row r="107" spans="1:7" s="327" customFormat="1" ht="15" customHeight="1" x14ac:dyDescent="0.2">
      <c r="A107" s="355"/>
      <c r="B107" s="356"/>
      <c r="C107" s="357"/>
      <c r="D107" s="400" t="s">
        <v>503</v>
      </c>
      <c r="E107" s="359"/>
      <c r="G107" s="328"/>
    </row>
    <row r="108" spans="1:7" s="327" customFormat="1" ht="25.5" customHeight="1" x14ac:dyDescent="0.2">
      <c r="A108" s="355"/>
      <c r="B108" s="356"/>
      <c r="C108" s="357"/>
      <c r="D108" s="400" t="s">
        <v>504</v>
      </c>
      <c r="E108" s="359"/>
      <c r="G108" s="328"/>
    </row>
    <row r="109" spans="1:7" s="327" customFormat="1" ht="24.75" customHeight="1" x14ac:dyDescent="0.2">
      <c r="A109" s="355"/>
      <c r="B109" s="356"/>
      <c r="C109" s="357"/>
      <c r="D109" s="414" t="s">
        <v>505</v>
      </c>
      <c r="E109" s="366"/>
      <c r="G109" s="328"/>
    </row>
    <row r="110" spans="1:7" s="327" customFormat="1" ht="25.5" customHeight="1" x14ac:dyDescent="0.2">
      <c r="A110" s="355"/>
      <c r="B110" s="356"/>
      <c r="C110" s="357"/>
      <c r="D110" s="403" t="s">
        <v>506</v>
      </c>
      <c r="E110" s="415"/>
      <c r="G110" s="328"/>
    </row>
    <row r="111" spans="1:7" s="327" customFormat="1" ht="15.75" customHeight="1" x14ac:dyDescent="0.2">
      <c r="A111" s="348">
        <v>8</v>
      </c>
      <c r="B111" s="348">
        <v>801</v>
      </c>
      <c r="C111" s="348">
        <v>80120</v>
      </c>
      <c r="D111" s="349" t="s">
        <v>53</v>
      </c>
      <c r="E111" s="342">
        <f>6769589+14576.58+11167.36-450000-100000+250000+180000-50000-25000</f>
        <v>6600332.9400000004</v>
      </c>
      <c r="G111" s="328"/>
    </row>
    <row r="112" spans="1:7" s="327" customFormat="1" ht="13.5" customHeight="1" x14ac:dyDescent="0.2">
      <c r="A112" s="355"/>
      <c r="B112" s="356"/>
      <c r="C112" s="357"/>
      <c r="D112" s="398" t="s">
        <v>507</v>
      </c>
      <c r="E112" s="366"/>
      <c r="G112" s="328"/>
    </row>
    <row r="113" spans="1:7" s="327" customFormat="1" ht="13.5" customHeight="1" x14ac:dyDescent="0.2">
      <c r="A113" s="355"/>
      <c r="B113" s="356"/>
      <c r="C113" s="357"/>
      <c r="D113" s="398" t="s">
        <v>508</v>
      </c>
      <c r="E113" s="366"/>
      <c r="G113" s="328"/>
    </row>
    <row r="114" spans="1:7" s="327" customFormat="1" ht="13.5" customHeight="1" x14ac:dyDescent="0.2">
      <c r="A114" s="355"/>
      <c r="B114" s="356"/>
      <c r="C114" s="357"/>
      <c r="D114" s="402" t="s">
        <v>509</v>
      </c>
      <c r="E114" s="366"/>
      <c r="G114" s="328"/>
    </row>
    <row r="115" spans="1:7" s="327" customFormat="1" ht="24.75" customHeight="1" x14ac:dyDescent="0.2">
      <c r="A115" s="355"/>
      <c r="B115" s="356"/>
      <c r="C115" s="357"/>
      <c r="D115" s="400" t="s">
        <v>510</v>
      </c>
      <c r="E115" s="359"/>
      <c r="G115" s="328"/>
    </row>
    <row r="116" spans="1:7" s="327" customFormat="1" ht="13.5" customHeight="1" x14ac:dyDescent="0.2">
      <c r="A116" s="355"/>
      <c r="B116" s="356"/>
      <c r="C116" s="357"/>
      <c r="D116" s="402" t="s">
        <v>511</v>
      </c>
      <c r="E116" s="366"/>
      <c r="G116" s="328"/>
    </row>
    <row r="117" spans="1:7" s="327" customFormat="1" ht="15" customHeight="1" x14ac:dyDescent="0.2">
      <c r="A117" s="355"/>
      <c r="B117" s="356"/>
      <c r="C117" s="357"/>
      <c r="D117" s="398" t="s">
        <v>512</v>
      </c>
      <c r="E117" s="366"/>
      <c r="G117" s="328"/>
    </row>
    <row r="118" spans="1:7" s="327" customFormat="1" ht="25.5" customHeight="1" x14ac:dyDescent="0.2">
      <c r="A118" s="355"/>
      <c r="B118" s="356"/>
      <c r="C118" s="357"/>
      <c r="D118" s="406" t="s">
        <v>513</v>
      </c>
      <c r="E118" s="359"/>
      <c r="G118" s="328"/>
    </row>
    <row r="119" spans="1:7" s="327" customFormat="1" ht="25.5" customHeight="1" x14ac:dyDescent="0.2">
      <c r="A119" s="360"/>
      <c r="B119" s="361"/>
      <c r="C119" s="362"/>
      <c r="D119" s="416" t="s">
        <v>445</v>
      </c>
      <c r="E119" s="364"/>
      <c r="G119" s="328"/>
    </row>
    <row r="120" spans="1:7" s="327" customFormat="1" ht="25.5" customHeight="1" x14ac:dyDescent="0.2">
      <c r="A120" s="355"/>
      <c r="B120" s="356"/>
      <c r="C120" s="357"/>
      <c r="D120" s="374" t="s">
        <v>446</v>
      </c>
      <c r="E120" s="359"/>
      <c r="G120" s="328"/>
    </row>
    <row r="121" spans="1:7" s="327" customFormat="1" ht="13.5" customHeight="1" x14ac:dyDescent="0.2">
      <c r="A121" s="355"/>
      <c r="B121" s="356"/>
      <c r="C121" s="357"/>
      <c r="D121" s="369" t="s">
        <v>514</v>
      </c>
      <c r="E121" s="359"/>
      <c r="G121" s="328"/>
    </row>
    <row r="122" spans="1:7" s="327" customFormat="1" ht="13.5" customHeight="1" x14ac:dyDescent="0.2">
      <c r="A122" s="360"/>
      <c r="B122" s="361"/>
      <c r="C122" s="362"/>
      <c r="D122" s="363" t="s">
        <v>444</v>
      </c>
      <c r="E122" s="364"/>
      <c r="G122" s="328"/>
    </row>
    <row r="123" spans="1:7" s="327" customFormat="1" ht="51" customHeight="1" x14ac:dyDescent="0.2">
      <c r="A123" s="344">
        <v>9</v>
      </c>
      <c r="B123" s="344">
        <v>801</v>
      </c>
      <c r="C123" s="344">
        <v>80149</v>
      </c>
      <c r="D123" s="345" t="s">
        <v>515</v>
      </c>
      <c r="E123" s="346">
        <f>2707080-430000-7000+250000-10000-25000-7000</f>
        <v>2478080</v>
      </c>
      <c r="G123" s="328"/>
    </row>
    <row r="124" spans="1:7" s="327" customFormat="1" ht="25.5" customHeight="1" x14ac:dyDescent="0.2">
      <c r="A124" s="350"/>
      <c r="B124" s="351"/>
      <c r="C124" s="352"/>
      <c r="D124" s="404" t="s">
        <v>516</v>
      </c>
      <c r="E124" s="354"/>
      <c r="G124" s="328"/>
    </row>
    <row r="125" spans="1:7" s="327" customFormat="1" ht="13.5" customHeight="1" x14ac:dyDescent="0.2">
      <c r="A125" s="355"/>
      <c r="B125" s="356"/>
      <c r="C125" s="357"/>
      <c r="D125" s="374" t="s">
        <v>440</v>
      </c>
      <c r="E125" s="359"/>
      <c r="G125" s="328"/>
    </row>
    <row r="126" spans="1:7" s="327" customFormat="1" ht="13.5" customHeight="1" x14ac:dyDescent="0.2">
      <c r="A126" s="355"/>
      <c r="B126" s="356"/>
      <c r="C126" s="357"/>
      <c r="D126" s="401" t="s">
        <v>517</v>
      </c>
      <c r="E126" s="366"/>
      <c r="G126" s="328"/>
    </row>
    <row r="127" spans="1:7" s="327" customFormat="1" ht="13.5" customHeight="1" x14ac:dyDescent="0.2">
      <c r="A127" s="355"/>
      <c r="B127" s="356"/>
      <c r="C127" s="357"/>
      <c r="D127" s="406" t="s">
        <v>476</v>
      </c>
      <c r="E127" s="359"/>
      <c r="G127" s="328"/>
    </row>
    <row r="128" spans="1:7" s="327" customFormat="1" ht="13.5" customHeight="1" x14ac:dyDescent="0.2">
      <c r="A128" s="355"/>
      <c r="B128" s="356"/>
      <c r="C128" s="357"/>
      <c r="D128" s="365" t="s">
        <v>439</v>
      </c>
      <c r="E128" s="366"/>
      <c r="G128" s="328"/>
    </row>
    <row r="129" spans="1:7" s="327" customFormat="1" ht="13.5" customHeight="1" x14ac:dyDescent="0.2">
      <c r="A129" s="355"/>
      <c r="B129" s="356"/>
      <c r="C129" s="357"/>
      <c r="D129" s="401" t="s">
        <v>518</v>
      </c>
      <c r="E129" s="366"/>
      <c r="G129" s="328"/>
    </row>
    <row r="130" spans="1:7" s="327" customFormat="1" ht="13.5" customHeight="1" x14ac:dyDescent="0.2">
      <c r="A130" s="355"/>
      <c r="B130" s="356"/>
      <c r="C130" s="357"/>
      <c r="D130" s="401" t="s">
        <v>519</v>
      </c>
      <c r="E130" s="366"/>
      <c r="G130" s="328"/>
    </row>
    <row r="131" spans="1:7" s="327" customFormat="1" ht="13.5" customHeight="1" x14ac:dyDescent="0.2">
      <c r="A131" s="355"/>
      <c r="B131" s="356"/>
      <c r="C131" s="357"/>
      <c r="D131" s="401" t="s">
        <v>437</v>
      </c>
      <c r="E131" s="366"/>
      <c r="G131" s="328"/>
    </row>
    <row r="132" spans="1:7" s="327" customFormat="1" ht="13.5" customHeight="1" x14ac:dyDescent="0.2">
      <c r="A132" s="355"/>
      <c r="B132" s="356"/>
      <c r="C132" s="357"/>
      <c r="D132" s="401" t="s">
        <v>480</v>
      </c>
      <c r="E132" s="366"/>
      <c r="G132" s="328"/>
    </row>
    <row r="133" spans="1:7" s="327" customFormat="1" ht="13.5" customHeight="1" x14ac:dyDescent="0.2">
      <c r="A133" s="355"/>
      <c r="B133" s="356"/>
      <c r="C133" s="357"/>
      <c r="D133" s="365" t="s">
        <v>438</v>
      </c>
      <c r="E133" s="366"/>
      <c r="G133" s="328"/>
    </row>
    <row r="134" spans="1:7" s="327" customFormat="1" ht="13.5" customHeight="1" x14ac:dyDescent="0.2">
      <c r="A134" s="355"/>
      <c r="B134" s="356"/>
      <c r="C134" s="357"/>
      <c r="D134" s="401" t="s">
        <v>485</v>
      </c>
      <c r="E134" s="366"/>
      <c r="G134" s="328"/>
    </row>
    <row r="135" spans="1:7" s="327" customFormat="1" ht="15" customHeight="1" x14ac:dyDescent="0.2">
      <c r="A135" s="360"/>
      <c r="B135" s="361"/>
      <c r="C135" s="362"/>
      <c r="D135" s="416" t="s">
        <v>483</v>
      </c>
      <c r="E135" s="364"/>
      <c r="G135" s="328"/>
    </row>
    <row r="136" spans="1:7" s="327" customFormat="1" ht="39" customHeight="1" x14ac:dyDescent="0.2">
      <c r="A136" s="344">
        <v>10</v>
      </c>
      <c r="B136" s="344">
        <v>801</v>
      </c>
      <c r="C136" s="344">
        <v>80150</v>
      </c>
      <c r="D136" s="345" t="s">
        <v>520</v>
      </c>
      <c r="E136" s="346">
        <f>165299+20000+40000+20000+10000-10000-20000</f>
        <v>225299</v>
      </c>
      <c r="G136" s="328"/>
    </row>
    <row r="137" spans="1:7" s="327" customFormat="1" ht="13.5" customHeight="1" x14ac:dyDescent="0.2">
      <c r="A137" s="350"/>
      <c r="B137" s="351"/>
      <c r="C137" s="352"/>
      <c r="D137" s="404" t="s">
        <v>435</v>
      </c>
      <c r="E137" s="354"/>
      <c r="G137" s="328"/>
    </row>
    <row r="138" spans="1:7" s="328" customFormat="1" ht="25.5" customHeight="1" x14ac:dyDescent="0.2">
      <c r="A138" s="355"/>
      <c r="B138" s="356"/>
      <c r="C138" s="357"/>
      <c r="D138" s="398" t="s">
        <v>521</v>
      </c>
      <c r="E138" s="366"/>
      <c r="F138" s="327"/>
    </row>
    <row r="139" spans="1:7" s="328" customFormat="1" ht="15.75" customHeight="1" x14ac:dyDescent="0.2">
      <c r="A139" s="360"/>
      <c r="B139" s="361"/>
      <c r="C139" s="362"/>
      <c r="D139" s="403" t="s">
        <v>469</v>
      </c>
      <c r="E139" s="364"/>
      <c r="F139" s="399"/>
    </row>
    <row r="140" spans="1:7" s="328" customFormat="1" ht="13.5" customHeight="1" x14ac:dyDescent="0.2">
      <c r="A140" s="348">
        <v>11</v>
      </c>
      <c r="B140" s="348">
        <v>801</v>
      </c>
      <c r="C140" s="348">
        <v>80151</v>
      </c>
      <c r="D140" s="370" t="s">
        <v>245</v>
      </c>
      <c r="E140" s="342">
        <f>108410-52000-50000-6000</f>
        <v>410</v>
      </c>
      <c r="F140" s="327"/>
    </row>
    <row r="141" spans="1:7" s="328" customFormat="1" ht="13.5" customHeight="1" x14ac:dyDescent="0.2">
      <c r="A141" s="349"/>
      <c r="B141" s="370"/>
      <c r="C141" s="371"/>
      <c r="D141" s="417" t="s">
        <v>522</v>
      </c>
      <c r="E141" s="342"/>
      <c r="F141" s="327"/>
    </row>
    <row r="142" spans="1:7" s="328" customFormat="1" ht="13.5" customHeight="1" x14ac:dyDescent="0.2">
      <c r="A142" s="360"/>
      <c r="B142" s="361"/>
      <c r="C142" s="362"/>
      <c r="D142" s="418" t="s">
        <v>498</v>
      </c>
      <c r="E142" s="364"/>
      <c r="F142" s="327"/>
    </row>
    <row r="143" spans="1:7" s="328" customFormat="1" ht="114" customHeight="1" x14ac:dyDescent="0.2">
      <c r="A143" s="344">
        <v>12</v>
      </c>
      <c r="B143" s="344">
        <v>801</v>
      </c>
      <c r="C143" s="344">
        <v>80152</v>
      </c>
      <c r="D143" s="345" t="s">
        <v>523</v>
      </c>
      <c r="E143" s="346">
        <f>413835+30000+100000+30000-10000-20000</f>
        <v>543835</v>
      </c>
      <c r="F143" s="327"/>
    </row>
    <row r="144" spans="1:7" s="328" customFormat="1" ht="12.75" customHeight="1" x14ac:dyDescent="0.2">
      <c r="A144" s="350"/>
      <c r="B144" s="351"/>
      <c r="C144" s="352"/>
      <c r="D144" s="419" t="s">
        <v>443</v>
      </c>
      <c r="E144" s="354"/>
      <c r="F144" s="327"/>
    </row>
    <row r="145" spans="1:7" s="328" customFormat="1" ht="15" customHeight="1" x14ac:dyDescent="0.2">
      <c r="A145" s="355"/>
      <c r="B145" s="356"/>
      <c r="C145" s="357"/>
      <c r="D145" s="365" t="s">
        <v>444</v>
      </c>
      <c r="E145" s="366"/>
      <c r="F145" s="327"/>
    </row>
    <row r="146" spans="1:7" s="328" customFormat="1" ht="22.9" customHeight="1" x14ac:dyDescent="0.2">
      <c r="A146" s="355"/>
      <c r="B146" s="356"/>
      <c r="C146" s="357"/>
      <c r="D146" s="420" t="s">
        <v>488</v>
      </c>
      <c r="E146" s="366"/>
      <c r="F146" s="327"/>
    </row>
    <row r="147" spans="1:7" s="328" customFormat="1" ht="23.25" customHeight="1" x14ac:dyDescent="0.2">
      <c r="A147" s="360"/>
      <c r="B147" s="361"/>
      <c r="C147" s="362"/>
      <c r="D147" s="416" t="s">
        <v>446</v>
      </c>
      <c r="E147" s="364"/>
      <c r="F147" s="327"/>
    </row>
    <row r="148" spans="1:7" s="328" customFormat="1" ht="15.75" customHeight="1" x14ac:dyDescent="0.2">
      <c r="A148" s="421">
        <v>13</v>
      </c>
      <c r="B148" s="421">
        <v>853</v>
      </c>
      <c r="C148" s="421">
        <v>85311</v>
      </c>
      <c r="D148" s="361" t="s">
        <v>524</v>
      </c>
      <c r="E148" s="364">
        <f>190800+10005+15000</f>
        <v>215805</v>
      </c>
      <c r="F148" s="327"/>
    </row>
    <row r="149" spans="1:7" s="328" customFormat="1" ht="15" customHeight="1" x14ac:dyDescent="0.2">
      <c r="A149" s="349"/>
      <c r="B149" s="370"/>
      <c r="C149" s="362"/>
      <c r="D149" s="405" t="s">
        <v>525</v>
      </c>
      <c r="E149" s="364"/>
      <c r="F149" s="327"/>
    </row>
    <row r="150" spans="1:7" s="328" customFormat="1" ht="15.75" customHeight="1" x14ac:dyDescent="0.2">
      <c r="A150" s="348">
        <v>14</v>
      </c>
      <c r="B150" s="348">
        <v>854</v>
      </c>
      <c r="C150" s="348">
        <v>85402</v>
      </c>
      <c r="D150" s="370" t="s">
        <v>526</v>
      </c>
      <c r="E150" s="342">
        <f>706538+70000+160000+3574.51</f>
        <v>940112.51</v>
      </c>
      <c r="F150" s="327"/>
    </row>
    <row r="151" spans="1:7" s="328" customFormat="1" ht="13.5" customHeight="1" x14ac:dyDescent="0.2">
      <c r="A151" s="349"/>
      <c r="B151" s="370"/>
      <c r="C151" s="371"/>
      <c r="D151" s="422" t="s">
        <v>527</v>
      </c>
      <c r="E151" s="342"/>
      <c r="F151" s="327"/>
    </row>
    <row r="152" spans="1:7" s="328" customFormat="1" ht="15.75" customHeight="1" x14ac:dyDescent="0.2">
      <c r="A152" s="348">
        <v>15</v>
      </c>
      <c r="B152" s="348">
        <v>854</v>
      </c>
      <c r="C152" s="348">
        <v>85404</v>
      </c>
      <c r="D152" s="370" t="s">
        <v>528</v>
      </c>
      <c r="E152" s="342">
        <f>500188+15500</f>
        <v>515688</v>
      </c>
      <c r="F152" s="327"/>
    </row>
    <row r="153" spans="1:7" s="328" customFormat="1" ht="13.5" customHeight="1" x14ac:dyDescent="0.2">
      <c r="A153" s="350"/>
      <c r="B153" s="351"/>
      <c r="C153" s="352"/>
      <c r="D153" s="423" t="s">
        <v>483</v>
      </c>
      <c r="E153" s="354"/>
      <c r="F153" s="327"/>
    </row>
    <row r="154" spans="1:7" s="327" customFormat="1" ht="13.5" customHeight="1" x14ac:dyDescent="0.2">
      <c r="A154" s="355"/>
      <c r="B154" s="356"/>
      <c r="C154" s="357"/>
      <c r="D154" s="365" t="s">
        <v>439</v>
      </c>
      <c r="E154" s="366"/>
      <c r="G154" s="328"/>
    </row>
    <row r="155" spans="1:7" s="327" customFormat="1" ht="24.75" customHeight="1" x14ac:dyDescent="0.2">
      <c r="A155" s="360"/>
      <c r="B155" s="361"/>
      <c r="C155" s="362"/>
      <c r="D155" s="416" t="s">
        <v>516</v>
      </c>
      <c r="E155" s="364"/>
      <c r="G155" s="328"/>
    </row>
    <row r="156" spans="1:7" s="327" customFormat="1" ht="13.5" customHeight="1" x14ac:dyDescent="0.2">
      <c r="A156" s="355"/>
      <c r="B156" s="356"/>
      <c r="C156" s="357"/>
      <c r="D156" s="374" t="s">
        <v>517</v>
      </c>
      <c r="E156" s="359"/>
      <c r="G156" s="328"/>
    </row>
    <row r="157" spans="1:7" s="327" customFormat="1" ht="13.5" customHeight="1" x14ac:dyDescent="0.2">
      <c r="A157" s="355"/>
      <c r="B157" s="356"/>
      <c r="C157" s="357"/>
      <c r="D157" s="365" t="s">
        <v>441</v>
      </c>
      <c r="E157" s="366"/>
      <c r="G157" s="328"/>
    </row>
    <row r="158" spans="1:7" s="327" customFormat="1" ht="13.5" customHeight="1" x14ac:dyDescent="0.2">
      <c r="A158" s="355"/>
      <c r="B158" s="356"/>
      <c r="C158" s="357"/>
      <c r="D158" s="424" t="s">
        <v>518</v>
      </c>
      <c r="E158" s="415"/>
      <c r="G158" s="328"/>
    </row>
    <row r="159" spans="1:7" s="327" customFormat="1" ht="13.5" customHeight="1" x14ac:dyDescent="0.2">
      <c r="A159" s="355"/>
      <c r="B159" s="356"/>
      <c r="C159" s="357"/>
      <c r="D159" s="374" t="s">
        <v>480</v>
      </c>
      <c r="E159" s="359"/>
      <c r="G159" s="328"/>
    </row>
    <row r="160" spans="1:7" s="327" customFormat="1" ht="13.5" customHeight="1" x14ac:dyDescent="0.2">
      <c r="A160" s="355"/>
      <c r="B160" s="356"/>
      <c r="C160" s="357"/>
      <c r="D160" s="406" t="s">
        <v>476</v>
      </c>
      <c r="E160" s="359"/>
      <c r="G160" s="328"/>
    </row>
    <row r="161" spans="1:7" s="327" customFormat="1" ht="14.25" customHeight="1" x14ac:dyDescent="0.2">
      <c r="A161" s="360"/>
      <c r="B161" s="361"/>
      <c r="C161" s="362"/>
      <c r="D161" s="416" t="s">
        <v>519</v>
      </c>
      <c r="E161" s="364"/>
      <c r="G161" s="328"/>
    </row>
    <row r="162" spans="1:7" s="327" customFormat="1" ht="25.5" customHeight="1" x14ac:dyDescent="0.2">
      <c r="A162" s="344">
        <v>16</v>
      </c>
      <c r="B162" s="344">
        <v>854</v>
      </c>
      <c r="C162" s="344">
        <v>85406</v>
      </c>
      <c r="D162" s="425" t="s">
        <v>529</v>
      </c>
      <c r="E162" s="342">
        <f>217601-70000-90000+135.86</f>
        <v>57736.86</v>
      </c>
      <c r="G162" s="328"/>
    </row>
    <row r="163" spans="1:7" s="327" customFormat="1" ht="12.75" customHeight="1" x14ac:dyDescent="0.2">
      <c r="A163" s="350"/>
      <c r="B163" s="351"/>
      <c r="C163" s="352"/>
      <c r="D163" s="426" t="s">
        <v>530</v>
      </c>
      <c r="E163" s="354"/>
      <c r="G163" s="328"/>
    </row>
    <row r="164" spans="1:7" s="327" customFormat="1" ht="37.5" customHeight="1" x14ac:dyDescent="0.2">
      <c r="A164" s="360"/>
      <c r="B164" s="361"/>
      <c r="C164" s="362"/>
      <c r="D164" s="427" t="s">
        <v>531</v>
      </c>
      <c r="E164" s="364"/>
      <c r="G164" s="328"/>
    </row>
    <row r="165" spans="1:7" s="327" customFormat="1" ht="13.5" customHeight="1" x14ac:dyDescent="0.2">
      <c r="A165" s="348">
        <v>17</v>
      </c>
      <c r="B165" s="348">
        <v>854</v>
      </c>
      <c r="C165" s="348">
        <v>85410</v>
      </c>
      <c r="D165" s="370" t="s">
        <v>62</v>
      </c>
      <c r="E165" s="342">
        <f>952007-70000+100000+100000</f>
        <v>1082007</v>
      </c>
      <c r="G165" s="328"/>
    </row>
    <row r="166" spans="1:7" s="327" customFormat="1" ht="12.75" customHeight="1" x14ac:dyDescent="0.2">
      <c r="A166" s="349"/>
      <c r="B166" s="370"/>
      <c r="C166" s="371"/>
      <c r="D166" s="405" t="s">
        <v>532</v>
      </c>
      <c r="E166" s="342"/>
      <c r="G166" s="328"/>
    </row>
    <row r="167" spans="1:7" s="327" customFormat="1" ht="14.25" customHeight="1" x14ac:dyDescent="0.2">
      <c r="A167" s="564"/>
      <c r="B167" s="565"/>
      <c r="C167" s="565"/>
      <c r="D167" s="565" t="s">
        <v>466</v>
      </c>
      <c r="E167" s="566">
        <f>SUM(E57:E166)</f>
        <v>43494156.029999994</v>
      </c>
      <c r="G167" s="328"/>
    </row>
    <row r="168" spans="1:7" s="327" customFormat="1" ht="15.75" customHeight="1" x14ac:dyDescent="0.2">
      <c r="A168" s="428"/>
      <c r="B168" s="429"/>
      <c r="C168" s="429"/>
      <c r="D168" s="429" t="s">
        <v>533</v>
      </c>
      <c r="E168" s="430">
        <f>SUM(E54,E167)</f>
        <v>64039509.799999997</v>
      </c>
      <c r="G168" s="328"/>
    </row>
    <row r="170" spans="1:7" s="327" customFormat="1" ht="12.6" customHeight="1" x14ac:dyDescent="0.2">
      <c r="A170" s="567"/>
      <c r="B170" s="560"/>
      <c r="C170" s="560"/>
      <c r="D170" s="560"/>
      <c r="E170" s="568"/>
      <c r="G170" s="328"/>
    </row>
    <row r="172" spans="1:7" s="327" customFormat="1" x14ac:dyDescent="0.2">
      <c r="A172" s="560"/>
      <c r="B172" s="560"/>
      <c r="C172" s="560"/>
      <c r="D172" s="560"/>
      <c r="E172" s="568"/>
      <c r="G172" s="328"/>
    </row>
    <row r="174" spans="1:7" s="327" customFormat="1" x14ac:dyDescent="0.2">
      <c r="A174" s="560"/>
      <c r="B174" s="560"/>
      <c r="C174" s="560"/>
      <c r="D174" s="560"/>
      <c r="E174" s="569"/>
      <c r="G174" s="328"/>
    </row>
  </sheetData>
  <pageMargins left="0.51181102362204722" right="0.51181102362204722" top="0.74803149606299213" bottom="0.59055118110236227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FCFF-8C23-4122-A43A-07B906C19490}">
  <dimension ref="A1:K36"/>
  <sheetViews>
    <sheetView zoomScale="110" zoomScaleNormal="110" workbookViewId="0"/>
  </sheetViews>
  <sheetFormatPr defaultRowHeight="15" x14ac:dyDescent="0.25"/>
  <cols>
    <col min="1" max="1" width="4.42578125" style="516" customWidth="1"/>
    <col min="2" max="2" width="7.5703125" style="516" customWidth="1"/>
    <col min="3" max="3" width="49" style="516" customWidth="1"/>
    <col min="4" max="4" width="14.85546875" style="516" customWidth="1"/>
    <col min="5" max="5" width="14" style="516" customWidth="1"/>
    <col min="6" max="6" width="14.140625" style="516" customWidth="1"/>
    <col min="7" max="7" width="15.85546875" style="516" customWidth="1"/>
    <col min="8" max="256" width="9.140625" style="516"/>
    <col min="257" max="257" width="4.42578125" style="516" customWidth="1"/>
    <col min="258" max="258" width="7.5703125" style="516" customWidth="1"/>
    <col min="259" max="259" width="47.42578125" style="516" customWidth="1"/>
    <col min="260" max="260" width="14.85546875" style="516" customWidth="1"/>
    <col min="261" max="261" width="14" style="516" customWidth="1"/>
    <col min="262" max="262" width="14.140625" style="516" customWidth="1"/>
    <col min="263" max="263" width="14.7109375" style="516" customWidth="1"/>
    <col min="264" max="512" width="9.140625" style="516"/>
    <col min="513" max="513" width="4.42578125" style="516" customWidth="1"/>
    <col min="514" max="514" width="7.5703125" style="516" customWidth="1"/>
    <col min="515" max="515" width="47.42578125" style="516" customWidth="1"/>
    <col min="516" max="516" width="14.85546875" style="516" customWidth="1"/>
    <col min="517" max="517" width="14" style="516" customWidth="1"/>
    <col min="518" max="518" width="14.140625" style="516" customWidth="1"/>
    <col min="519" max="519" width="14.7109375" style="516" customWidth="1"/>
    <col min="520" max="768" width="9.140625" style="516"/>
    <col min="769" max="769" width="4.42578125" style="516" customWidth="1"/>
    <col min="770" max="770" width="7.5703125" style="516" customWidth="1"/>
    <col min="771" max="771" width="47.42578125" style="516" customWidth="1"/>
    <col min="772" max="772" width="14.85546875" style="516" customWidth="1"/>
    <col min="773" max="773" width="14" style="516" customWidth="1"/>
    <col min="774" max="774" width="14.140625" style="516" customWidth="1"/>
    <col min="775" max="775" width="14.7109375" style="516" customWidth="1"/>
    <col min="776" max="1024" width="9.140625" style="516"/>
    <col min="1025" max="1025" width="4.42578125" style="516" customWidth="1"/>
    <col min="1026" max="1026" width="7.5703125" style="516" customWidth="1"/>
    <col min="1027" max="1027" width="47.42578125" style="516" customWidth="1"/>
    <col min="1028" max="1028" width="14.85546875" style="516" customWidth="1"/>
    <col min="1029" max="1029" width="14" style="516" customWidth="1"/>
    <col min="1030" max="1030" width="14.140625" style="516" customWidth="1"/>
    <col min="1031" max="1031" width="14.7109375" style="516" customWidth="1"/>
    <col min="1032" max="1280" width="9.140625" style="516"/>
    <col min="1281" max="1281" width="4.42578125" style="516" customWidth="1"/>
    <col min="1282" max="1282" width="7.5703125" style="516" customWidth="1"/>
    <col min="1283" max="1283" width="47.42578125" style="516" customWidth="1"/>
    <col min="1284" max="1284" width="14.85546875" style="516" customWidth="1"/>
    <col min="1285" max="1285" width="14" style="516" customWidth="1"/>
    <col min="1286" max="1286" width="14.140625" style="516" customWidth="1"/>
    <col min="1287" max="1287" width="14.7109375" style="516" customWidth="1"/>
    <col min="1288" max="1536" width="9.140625" style="516"/>
    <col min="1537" max="1537" width="4.42578125" style="516" customWidth="1"/>
    <col min="1538" max="1538" width="7.5703125" style="516" customWidth="1"/>
    <col min="1539" max="1539" width="47.42578125" style="516" customWidth="1"/>
    <col min="1540" max="1540" width="14.85546875" style="516" customWidth="1"/>
    <col min="1541" max="1541" width="14" style="516" customWidth="1"/>
    <col min="1542" max="1542" width="14.140625" style="516" customWidth="1"/>
    <col min="1543" max="1543" width="14.7109375" style="516" customWidth="1"/>
    <col min="1544" max="1792" width="9.140625" style="516"/>
    <col min="1793" max="1793" width="4.42578125" style="516" customWidth="1"/>
    <col min="1794" max="1794" width="7.5703125" style="516" customWidth="1"/>
    <col min="1795" max="1795" width="47.42578125" style="516" customWidth="1"/>
    <col min="1796" max="1796" width="14.85546875" style="516" customWidth="1"/>
    <col min="1797" max="1797" width="14" style="516" customWidth="1"/>
    <col min="1798" max="1798" width="14.140625" style="516" customWidth="1"/>
    <col min="1799" max="1799" width="14.7109375" style="516" customWidth="1"/>
    <col min="1800" max="2048" width="9.140625" style="516"/>
    <col min="2049" max="2049" width="4.42578125" style="516" customWidth="1"/>
    <col min="2050" max="2050" width="7.5703125" style="516" customWidth="1"/>
    <col min="2051" max="2051" width="47.42578125" style="516" customWidth="1"/>
    <col min="2052" max="2052" width="14.85546875" style="516" customWidth="1"/>
    <col min="2053" max="2053" width="14" style="516" customWidth="1"/>
    <col min="2054" max="2054" width="14.140625" style="516" customWidth="1"/>
    <col min="2055" max="2055" width="14.7109375" style="516" customWidth="1"/>
    <col min="2056" max="2304" width="9.140625" style="516"/>
    <col min="2305" max="2305" width="4.42578125" style="516" customWidth="1"/>
    <col min="2306" max="2306" width="7.5703125" style="516" customWidth="1"/>
    <col min="2307" max="2307" width="47.42578125" style="516" customWidth="1"/>
    <col min="2308" max="2308" width="14.85546875" style="516" customWidth="1"/>
    <col min="2309" max="2309" width="14" style="516" customWidth="1"/>
    <col min="2310" max="2310" width="14.140625" style="516" customWidth="1"/>
    <col min="2311" max="2311" width="14.7109375" style="516" customWidth="1"/>
    <col min="2312" max="2560" width="9.140625" style="516"/>
    <col min="2561" max="2561" width="4.42578125" style="516" customWidth="1"/>
    <col min="2562" max="2562" width="7.5703125" style="516" customWidth="1"/>
    <col min="2563" max="2563" width="47.42578125" style="516" customWidth="1"/>
    <col min="2564" max="2564" width="14.85546875" style="516" customWidth="1"/>
    <col min="2565" max="2565" width="14" style="516" customWidth="1"/>
    <col min="2566" max="2566" width="14.140625" style="516" customWidth="1"/>
    <col min="2567" max="2567" width="14.7109375" style="516" customWidth="1"/>
    <col min="2568" max="2816" width="9.140625" style="516"/>
    <col min="2817" max="2817" width="4.42578125" style="516" customWidth="1"/>
    <col min="2818" max="2818" width="7.5703125" style="516" customWidth="1"/>
    <col min="2819" max="2819" width="47.42578125" style="516" customWidth="1"/>
    <col min="2820" max="2820" width="14.85546875" style="516" customWidth="1"/>
    <col min="2821" max="2821" width="14" style="516" customWidth="1"/>
    <col min="2822" max="2822" width="14.140625" style="516" customWidth="1"/>
    <col min="2823" max="2823" width="14.7109375" style="516" customWidth="1"/>
    <col min="2824" max="3072" width="9.140625" style="516"/>
    <col min="3073" max="3073" width="4.42578125" style="516" customWidth="1"/>
    <col min="3074" max="3074" width="7.5703125" style="516" customWidth="1"/>
    <col min="3075" max="3075" width="47.42578125" style="516" customWidth="1"/>
    <col min="3076" max="3076" width="14.85546875" style="516" customWidth="1"/>
    <col min="3077" max="3077" width="14" style="516" customWidth="1"/>
    <col min="3078" max="3078" width="14.140625" style="516" customWidth="1"/>
    <col min="3079" max="3079" width="14.7109375" style="516" customWidth="1"/>
    <col min="3080" max="3328" width="9.140625" style="516"/>
    <col min="3329" max="3329" width="4.42578125" style="516" customWidth="1"/>
    <col min="3330" max="3330" width="7.5703125" style="516" customWidth="1"/>
    <col min="3331" max="3331" width="47.42578125" style="516" customWidth="1"/>
    <col min="3332" max="3332" width="14.85546875" style="516" customWidth="1"/>
    <col min="3333" max="3333" width="14" style="516" customWidth="1"/>
    <col min="3334" max="3334" width="14.140625" style="516" customWidth="1"/>
    <col min="3335" max="3335" width="14.7109375" style="516" customWidth="1"/>
    <col min="3336" max="3584" width="9.140625" style="516"/>
    <col min="3585" max="3585" width="4.42578125" style="516" customWidth="1"/>
    <col min="3586" max="3586" width="7.5703125" style="516" customWidth="1"/>
    <col min="3587" max="3587" width="47.42578125" style="516" customWidth="1"/>
    <col min="3588" max="3588" width="14.85546875" style="516" customWidth="1"/>
    <col min="3589" max="3589" width="14" style="516" customWidth="1"/>
    <col min="3590" max="3590" width="14.140625" style="516" customWidth="1"/>
    <col min="3591" max="3591" width="14.7109375" style="516" customWidth="1"/>
    <col min="3592" max="3840" width="9.140625" style="516"/>
    <col min="3841" max="3841" width="4.42578125" style="516" customWidth="1"/>
    <col min="3842" max="3842" width="7.5703125" style="516" customWidth="1"/>
    <col min="3843" max="3843" width="47.42578125" style="516" customWidth="1"/>
    <col min="3844" max="3844" width="14.85546875" style="516" customWidth="1"/>
    <col min="3845" max="3845" width="14" style="516" customWidth="1"/>
    <col min="3846" max="3846" width="14.140625" style="516" customWidth="1"/>
    <col min="3847" max="3847" width="14.7109375" style="516" customWidth="1"/>
    <col min="3848" max="4096" width="9.140625" style="516"/>
    <col min="4097" max="4097" width="4.42578125" style="516" customWidth="1"/>
    <col min="4098" max="4098" width="7.5703125" style="516" customWidth="1"/>
    <col min="4099" max="4099" width="47.42578125" style="516" customWidth="1"/>
    <col min="4100" max="4100" width="14.85546875" style="516" customWidth="1"/>
    <col min="4101" max="4101" width="14" style="516" customWidth="1"/>
    <col min="4102" max="4102" width="14.140625" style="516" customWidth="1"/>
    <col min="4103" max="4103" width="14.7109375" style="516" customWidth="1"/>
    <col min="4104" max="4352" width="9.140625" style="516"/>
    <col min="4353" max="4353" width="4.42578125" style="516" customWidth="1"/>
    <col min="4354" max="4354" width="7.5703125" style="516" customWidth="1"/>
    <col min="4355" max="4355" width="47.42578125" style="516" customWidth="1"/>
    <col min="4356" max="4356" width="14.85546875" style="516" customWidth="1"/>
    <col min="4357" max="4357" width="14" style="516" customWidth="1"/>
    <col min="4358" max="4358" width="14.140625" style="516" customWidth="1"/>
    <col min="4359" max="4359" width="14.7109375" style="516" customWidth="1"/>
    <col min="4360" max="4608" width="9.140625" style="516"/>
    <col min="4609" max="4609" width="4.42578125" style="516" customWidth="1"/>
    <col min="4610" max="4610" width="7.5703125" style="516" customWidth="1"/>
    <col min="4611" max="4611" width="47.42578125" style="516" customWidth="1"/>
    <col min="4612" max="4612" width="14.85546875" style="516" customWidth="1"/>
    <col min="4613" max="4613" width="14" style="516" customWidth="1"/>
    <col min="4614" max="4614" width="14.140625" style="516" customWidth="1"/>
    <col min="4615" max="4615" width="14.7109375" style="516" customWidth="1"/>
    <col min="4616" max="4864" width="9.140625" style="516"/>
    <col min="4865" max="4865" width="4.42578125" style="516" customWidth="1"/>
    <col min="4866" max="4866" width="7.5703125" style="516" customWidth="1"/>
    <col min="4867" max="4867" width="47.42578125" style="516" customWidth="1"/>
    <col min="4868" max="4868" width="14.85546875" style="516" customWidth="1"/>
    <col min="4869" max="4869" width="14" style="516" customWidth="1"/>
    <col min="4870" max="4870" width="14.140625" style="516" customWidth="1"/>
    <col min="4871" max="4871" width="14.7109375" style="516" customWidth="1"/>
    <col min="4872" max="5120" width="9.140625" style="516"/>
    <col min="5121" max="5121" width="4.42578125" style="516" customWidth="1"/>
    <col min="5122" max="5122" width="7.5703125" style="516" customWidth="1"/>
    <col min="5123" max="5123" width="47.42578125" style="516" customWidth="1"/>
    <col min="5124" max="5124" width="14.85546875" style="516" customWidth="1"/>
    <col min="5125" max="5125" width="14" style="516" customWidth="1"/>
    <col min="5126" max="5126" width="14.140625" style="516" customWidth="1"/>
    <col min="5127" max="5127" width="14.7109375" style="516" customWidth="1"/>
    <col min="5128" max="5376" width="9.140625" style="516"/>
    <col min="5377" max="5377" width="4.42578125" style="516" customWidth="1"/>
    <col min="5378" max="5378" width="7.5703125" style="516" customWidth="1"/>
    <col min="5379" max="5379" width="47.42578125" style="516" customWidth="1"/>
    <col min="5380" max="5380" width="14.85546875" style="516" customWidth="1"/>
    <col min="5381" max="5381" width="14" style="516" customWidth="1"/>
    <col min="5382" max="5382" width="14.140625" style="516" customWidth="1"/>
    <col min="5383" max="5383" width="14.7109375" style="516" customWidth="1"/>
    <col min="5384" max="5632" width="9.140625" style="516"/>
    <col min="5633" max="5633" width="4.42578125" style="516" customWidth="1"/>
    <col min="5634" max="5634" width="7.5703125" style="516" customWidth="1"/>
    <col min="5635" max="5635" width="47.42578125" style="516" customWidth="1"/>
    <col min="5636" max="5636" width="14.85546875" style="516" customWidth="1"/>
    <col min="5637" max="5637" width="14" style="516" customWidth="1"/>
    <col min="5638" max="5638" width="14.140625" style="516" customWidth="1"/>
    <col min="5639" max="5639" width="14.7109375" style="516" customWidth="1"/>
    <col min="5640" max="5888" width="9.140625" style="516"/>
    <col min="5889" max="5889" width="4.42578125" style="516" customWidth="1"/>
    <col min="5890" max="5890" width="7.5703125" style="516" customWidth="1"/>
    <col min="5891" max="5891" width="47.42578125" style="516" customWidth="1"/>
    <col min="5892" max="5892" width="14.85546875" style="516" customWidth="1"/>
    <col min="5893" max="5893" width="14" style="516" customWidth="1"/>
    <col min="5894" max="5894" width="14.140625" style="516" customWidth="1"/>
    <col min="5895" max="5895" width="14.7109375" style="516" customWidth="1"/>
    <col min="5896" max="6144" width="9.140625" style="516"/>
    <col min="6145" max="6145" width="4.42578125" style="516" customWidth="1"/>
    <col min="6146" max="6146" width="7.5703125" style="516" customWidth="1"/>
    <col min="6147" max="6147" width="47.42578125" style="516" customWidth="1"/>
    <col min="6148" max="6148" width="14.85546875" style="516" customWidth="1"/>
    <col min="6149" max="6149" width="14" style="516" customWidth="1"/>
    <col min="6150" max="6150" width="14.140625" style="516" customWidth="1"/>
    <col min="6151" max="6151" width="14.7109375" style="516" customWidth="1"/>
    <col min="6152" max="6400" width="9.140625" style="516"/>
    <col min="6401" max="6401" width="4.42578125" style="516" customWidth="1"/>
    <col min="6402" max="6402" width="7.5703125" style="516" customWidth="1"/>
    <col min="6403" max="6403" width="47.42578125" style="516" customWidth="1"/>
    <col min="6404" max="6404" width="14.85546875" style="516" customWidth="1"/>
    <col min="6405" max="6405" width="14" style="516" customWidth="1"/>
    <col min="6406" max="6406" width="14.140625" style="516" customWidth="1"/>
    <col min="6407" max="6407" width="14.7109375" style="516" customWidth="1"/>
    <col min="6408" max="6656" width="9.140625" style="516"/>
    <col min="6657" max="6657" width="4.42578125" style="516" customWidth="1"/>
    <col min="6658" max="6658" width="7.5703125" style="516" customWidth="1"/>
    <col min="6659" max="6659" width="47.42578125" style="516" customWidth="1"/>
    <col min="6660" max="6660" width="14.85546875" style="516" customWidth="1"/>
    <col min="6661" max="6661" width="14" style="516" customWidth="1"/>
    <col min="6662" max="6662" width="14.140625" style="516" customWidth="1"/>
    <col min="6663" max="6663" width="14.7109375" style="516" customWidth="1"/>
    <col min="6664" max="6912" width="9.140625" style="516"/>
    <col min="6913" max="6913" width="4.42578125" style="516" customWidth="1"/>
    <col min="6914" max="6914" width="7.5703125" style="516" customWidth="1"/>
    <col min="6915" max="6915" width="47.42578125" style="516" customWidth="1"/>
    <col min="6916" max="6916" width="14.85546875" style="516" customWidth="1"/>
    <col min="6917" max="6917" width="14" style="516" customWidth="1"/>
    <col min="6918" max="6918" width="14.140625" style="516" customWidth="1"/>
    <col min="6919" max="6919" width="14.7109375" style="516" customWidth="1"/>
    <col min="6920" max="7168" width="9.140625" style="516"/>
    <col min="7169" max="7169" width="4.42578125" style="516" customWidth="1"/>
    <col min="7170" max="7170" width="7.5703125" style="516" customWidth="1"/>
    <col min="7171" max="7171" width="47.42578125" style="516" customWidth="1"/>
    <col min="7172" max="7172" width="14.85546875" style="516" customWidth="1"/>
    <col min="7173" max="7173" width="14" style="516" customWidth="1"/>
    <col min="7174" max="7174" width="14.140625" style="516" customWidth="1"/>
    <col min="7175" max="7175" width="14.7109375" style="516" customWidth="1"/>
    <col min="7176" max="7424" width="9.140625" style="516"/>
    <col min="7425" max="7425" width="4.42578125" style="516" customWidth="1"/>
    <col min="7426" max="7426" width="7.5703125" style="516" customWidth="1"/>
    <col min="7427" max="7427" width="47.42578125" style="516" customWidth="1"/>
    <col min="7428" max="7428" width="14.85546875" style="516" customWidth="1"/>
    <col min="7429" max="7429" width="14" style="516" customWidth="1"/>
    <col min="7430" max="7430" width="14.140625" style="516" customWidth="1"/>
    <col min="7431" max="7431" width="14.7109375" style="516" customWidth="1"/>
    <col min="7432" max="7680" width="9.140625" style="516"/>
    <col min="7681" max="7681" width="4.42578125" style="516" customWidth="1"/>
    <col min="7682" max="7682" width="7.5703125" style="516" customWidth="1"/>
    <col min="7683" max="7683" width="47.42578125" style="516" customWidth="1"/>
    <col min="7684" max="7684" width="14.85546875" style="516" customWidth="1"/>
    <col min="7685" max="7685" width="14" style="516" customWidth="1"/>
    <col min="7686" max="7686" width="14.140625" style="516" customWidth="1"/>
    <col min="7687" max="7687" width="14.7109375" style="516" customWidth="1"/>
    <col min="7688" max="7936" width="9.140625" style="516"/>
    <col min="7937" max="7937" width="4.42578125" style="516" customWidth="1"/>
    <col min="7938" max="7938" width="7.5703125" style="516" customWidth="1"/>
    <col min="7939" max="7939" width="47.42578125" style="516" customWidth="1"/>
    <col min="7940" max="7940" width="14.85546875" style="516" customWidth="1"/>
    <col min="7941" max="7941" width="14" style="516" customWidth="1"/>
    <col min="7942" max="7942" width="14.140625" style="516" customWidth="1"/>
    <col min="7943" max="7943" width="14.7109375" style="516" customWidth="1"/>
    <col min="7944" max="8192" width="9.140625" style="516"/>
    <col min="8193" max="8193" width="4.42578125" style="516" customWidth="1"/>
    <col min="8194" max="8194" width="7.5703125" style="516" customWidth="1"/>
    <col min="8195" max="8195" width="47.42578125" style="516" customWidth="1"/>
    <col min="8196" max="8196" width="14.85546875" style="516" customWidth="1"/>
    <col min="8197" max="8197" width="14" style="516" customWidth="1"/>
    <col min="8198" max="8198" width="14.140625" style="516" customWidth="1"/>
    <col min="8199" max="8199" width="14.7109375" style="516" customWidth="1"/>
    <col min="8200" max="8448" width="9.140625" style="516"/>
    <col min="8449" max="8449" width="4.42578125" style="516" customWidth="1"/>
    <col min="8450" max="8450" width="7.5703125" style="516" customWidth="1"/>
    <col min="8451" max="8451" width="47.42578125" style="516" customWidth="1"/>
    <col min="8452" max="8452" width="14.85546875" style="516" customWidth="1"/>
    <col min="8453" max="8453" width="14" style="516" customWidth="1"/>
    <col min="8454" max="8454" width="14.140625" style="516" customWidth="1"/>
    <col min="8455" max="8455" width="14.7109375" style="516" customWidth="1"/>
    <col min="8456" max="8704" width="9.140625" style="516"/>
    <col min="8705" max="8705" width="4.42578125" style="516" customWidth="1"/>
    <col min="8706" max="8706" width="7.5703125" style="516" customWidth="1"/>
    <col min="8707" max="8707" width="47.42578125" style="516" customWidth="1"/>
    <col min="8708" max="8708" width="14.85546875" style="516" customWidth="1"/>
    <col min="8709" max="8709" width="14" style="516" customWidth="1"/>
    <col min="8710" max="8710" width="14.140625" style="516" customWidth="1"/>
    <col min="8711" max="8711" width="14.7109375" style="516" customWidth="1"/>
    <col min="8712" max="8960" width="9.140625" style="516"/>
    <col min="8961" max="8961" width="4.42578125" style="516" customWidth="1"/>
    <col min="8962" max="8962" width="7.5703125" style="516" customWidth="1"/>
    <col min="8963" max="8963" width="47.42578125" style="516" customWidth="1"/>
    <col min="8964" max="8964" width="14.85546875" style="516" customWidth="1"/>
    <col min="8965" max="8965" width="14" style="516" customWidth="1"/>
    <col min="8966" max="8966" width="14.140625" style="516" customWidth="1"/>
    <col min="8967" max="8967" width="14.7109375" style="516" customWidth="1"/>
    <col min="8968" max="9216" width="9.140625" style="516"/>
    <col min="9217" max="9217" width="4.42578125" style="516" customWidth="1"/>
    <col min="9218" max="9218" width="7.5703125" style="516" customWidth="1"/>
    <col min="9219" max="9219" width="47.42578125" style="516" customWidth="1"/>
    <col min="9220" max="9220" width="14.85546875" style="516" customWidth="1"/>
    <col min="9221" max="9221" width="14" style="516" customWidth="1"/>
    <col min="9222" max="9222" width="14.140625" style="516" customWidth="1"/>
    <col min="9223" max="9223" width="14.7109375" style="516" customWidth="1"/>
    <col min="9224" max="9472" width="9.140625" style="516"/>
    <col min="9473" max="9473" width="4.42578125" style="516" customWidth="1"/>
    <col min="9474" max="9474" width="7.5703125" style="516" customWidth="1"/>
    <col min="9475" max="9475" width="47.42578125" style="516" customWidth="1"/>
    <col min="9476" max="9476" width="14.85546875" style="516" customWidth="1"/>
    <col min="9477" max="9477" width="14" style="516" customWidth="1"/>
    <col min="9478" max="9478" width="14.140625" style="516" customWidth="1"/>
    <col min="9479" max="9479" width="14.7109375" style="516" customWidth="1"/>
    <col min="9480" max="9728" width="9.140625" style="516"/>
    <col min="9729" max="9729" width="4.42578125" style="516" customWidth="1"/>
    <col min="9730" max="9730" width="7.5703125" style="516" customWidth="1"/>
    <col min="9731" max="9731" width="47.42578125" style="516" customWidth="1"/>
    <col min="9732" max="9732" width="14.85546875" style="516" customWidth="1"/>
    <col min="9733" max="9733" width="14" style="516" customWidth="1"/>
    <col min="9734" max="9734" width="14.140625" style="516" customWidth="1"/>
    <col min="9735" max="9735" width="14.7109375" style="516" customWidth="1"/>
    <col min="9736" max="9984" width="9.140625" style="516"/>
    <col min="9985" max="9985" width="4.42578125" style="516" customWidth="1"/>
    <col min="9986" max="9986" width="7.5703125" style="516" customWidth="1"/>
    <col min="9987" max="9987" width="47.42578125" style="516" customWidth="1"/>
    <col min="9988" max="9988" width="14.85546875" style="516" customWidth="1"/>
    <col min="9989" max="9989" width="14" style="516" customWidth="1"/>
    <col min="9990" max="9990" width="14.140625" style="516" customWidth="1"/>
    <col min="9991" max="9991" width="14.7109375" style="516" customWidth="1"/>
    <col min="9992" max="10240" width="9.140625" style="516"/>
    <col min="10241" max="10241" width="4.42578125" style="516" customWidth="1"/>
    <col min="10242" max="10242" width="7.5703125" style="516" customWidth="1"/>
    <col min="10243" max="10243" width="47.42578125" style="516" customWidth="1"/>
    <col min="10244" max="10244" width="14.85546875" style="516" customWidth="1"/>
    <col min="10245" max="10245" width="14" style="516" customWidth="1"/>
    <col min="10246" max="10246" width="14.140625" style="516" customWidth="1"/>
    <col min="10247" max="10247" width="14.7109375" style="516" customWidth="1"/>
    <col min="10248" max="10496" width="9.140625" style="516"/>
    <col min="10497" max="10497" width="4.42578125" style="516" customWidth="1"/>
    <col min="10498" max="10498" width="7.5703125" style="516" customWidth="1"/>
    <col min="10499" max="10499" width="47.42578125" style="516" customWidth="1"/>
    <col min="10500" max="10500" width="14.85546875" style="516" customWidth="1"/>
    <col min="10501" max="10501" width="14" style="516" customWidth="1"/>
    <col min="10502" max="10502" width="14.140625" style="516" customWidth="1"/>
    <col min="10503" max="10503" width="14.7109375" style="516" customWidth="1"/>
    <col min="10504" max="10752" width="9.140625" style="516"/>
    <col min="10753" max="10753" width="4.42578125" style="516" customWidth="1"/>
    <col min="10754" max="10754" width="7.5703125" style="516" customWidth="1"/>
    <col min="10755" max="10755" width="47.42578125" style="516" customWidth="1"/>
    <col min="10756" max="10756" width="14.85546875" style="516" customWidth="1"/>
    <col min="10757" max="10757" width="14" style="516" customWidth="1"/>
    <col min="10758" max="10758" width="14.140625" style="516" customWidth="1"/>
    <col min="10759" max="10759" width="14.7109375" style="516" customWidth="1"/>
    <col min="10760" max="11008" width="9.140625" style="516"/>
    <col min="11009" max="11009" width="4.42578125" style="516" customWidth="1"/>
    <col min="11010" max="11010" width="7.5703125" style="516" customWidth="1"/>
    <col min="11011" max="11011" width="47.42578125" style="516" customWidth="1"/>
    <col min="11012" max="11012" width="14.85546875" style="516" customWidth="1"/>
    <col min="11013" max="11013" width="14" style="516" customWidth="1"/>
    <col min="11014" max="11014" width="14.140625" style="516" customWidth="1"/>
    <col min="11015" max="11015" width="14.7109375" style="516" customWidth="1"/>
    <col min="11016" max="11264" width="9.140625" style="516"/>
    <col min="11265" max="11265" width="4.42578125" style="516" customWidth="1"/>
    <col min="11266" max="11266" width="7.5703125" style="516" customWidth="1"/>
    <col min="11267" max="11267" width="47.42578125" style="516" customWidth="1"/>
    <col min="11268" max="11268" width="14.85546875" style="516" customWidth="1"/>
    <col min="11269" max="11269" width="14" style="516" customWidth="1"/>
    <col min="11270" max="11270" width="14.140625" style="516" customWidth="1"/>
    <col min="11271" max="11271" width="14.7109375" style="516" customWidth="1"/>
    <col min="11272" max="11520" width="9.140625" style="516"/>
    <col min="11521" max="11521" width="4.42578125" style="516" customWidth="1"/>
    <col min="11522" max="11522" width="7.5703125" style="516" customWidth="1"/>
    <col min="11523" max="11523" width="47.42578125" style="516" customWidth="1"/>
    <col min="11524" max="11524" width="14.85546875" style="516" customWidth="1"/>
    <col min="11525" max="11525" width="14" style="516" customWidth="1"/>
    <col min="11526" max="11526" width="14.140625" style="516" customWidth="1"/>
    <col min="11527" max="11527" width="14.7109375" style="516" customWidth="1"/>
    <col min="11528" max="11776" width="9.140625" style="516"/>
    <col min="11777" max="11777" width="4.42578125" style="516" customWidth="1"/>
    <col min="11778" max="11778" width="7.5703125" style="516" customWidth="1"/>
    <col min="11779" max="11779" width="47.42578125" style="516" customWidth="1"/>
    <col min="11780" max="11780" width="14.85546875" style="516" customWidth="1"/>
    <col min="11781" max="11781" width="14" style="516" customWidth="1"/>
    <col min="11782" max="11782" width="14.140625" style="516" customWidth="1"/>
    <col min="11783" max="11783" width="14.7109375" style="516" customWidth="1"/>
    <col min="11784" max="12032" width="9.140625" style="516"/>
    <col min="12033" max="12033" width="4.42578125" style="516" customWidth="1"/>
    <col min="12034" max="12034" width="7.5703125" style="516" customWidth="1"/>
    <col min="12035" max="12035" width="47.42578125" style="516" customWidth="1"/>
    <col min="12036" max="12036" width="14.85546875" style="516" customWidth="1"/>
    <col min="12037" max="12037" width="14" style="516" customWidth="1"/>
    <col min="12038" max="12038" width="14.140625" style="516" customWidth="1"/>
    <col min="12039" max="12039" width="14.7109375" style="516" customWidth="1"/>
    <col min="12040" max="12288" width="9.140625" style="516"/>
    <col min="12289" max="12289" width="4.42578125" style="516" customWidth="1"/>
    <col min="12290" max="12290" width="7.5703125" style="516" customWidth="1"/>
    <col min="12291" max="12291" width="47.42578125" style="516" customWidth="1"/>
    <col min="12292" max="12292" width="14.85546875" style="516" customWidth="1"/>
    <col min="12293" max="12293" width="14" style="516" customWidth="1"/>
    <col min="12294" max="12294" width="14.140625" style="516" customWidth="1"/>
    <col min="12295" max="12295" width="14.7109375" style="516" customWidth="1"/>
    <col min="12296" max="12544" width="9.140625" style="516"/>
    <col min="12545" max="12545" width="4.42578125" style="516" customWidth="1"/>
    <col min="12546" max="12546" width="7.5703125" style="516" customWidth="1"/>
    <col min="12547" max="12547" width="47.42578125" style="516" customWidth="1"/>
    <col min="12548" max="12548" width="14.85546875" style="516" customWidth="1"/>
    <col min="12549" max="12549" width="14" style="516" customWidth="1"/>
    <col min="12550" max="12550" width="14.140625" style="516" customWidth="1"/>
    <col min="12551" max="12551" width="14.7109375" style="516" customWidth="1"/>
    <col min="12552" max="12800" width="9.140625" style="516"/>
    <col min="12801" max="12801" width="4.42578125" style="516" customWidth="1"/>
    <col min="12802" max="12802" width="7.5703125" style="516" customWidth="1"/>
    <col min="12803" max="12803" width="47.42578125" style="516" customWidth="1"/>
    <col min="12804" max="12804" width="14.85546875" style="516" customWidth="1"/>
    <col min="12805" max="12805" width="14" style="516" customWidth="1"/>
    <col min="12806" max="12806" width="14.140625" style="516" customWidth="1"/>
    <col min="12807" max="12807" width="14.7109375" style="516" customWidth="1"/>
    <col min="12808" max="13056" width="9.140625" style="516"/>
    <col min="13057" max="13057" width="4.42578125" style="516" customWidth="1"/>
    <col min="13058" max="13058" width="7.5703125" style="516" customWidth="1"/>
    <col min="13059" max="13059" width="47.42578125" style="516" customWidth="1"/>
    <col min="13060" max="13060" width="14.85546875" style="516" customWidth="1"/>
    <col min="13061" max="13061" width="14" style="516" customWidth="1"/>
    <col min="13062" max="13062" width="14.140625" style="516" customWidth="1"/>
    <col min="13063" max="13063" width="14.7109375" style="516" customWidth="1"/>
    <col min="13064" max="13312" width="9.140625" style="516"/>
    <col min="13313" max="13313" width="4.42578125" style="516" customWidth="1"/>
    <col min="13314" max="13314" width="7.5703125" style="516" customWidth="1"/>
    <col min="13315" max="13315" width="47.42578125" style="516" customWidth="1"/>
    <col min="13316" max="13316" width="14.85546875" style="516" customWidth="1"/>
    <col min="13317" max="13317" width="14" style="516" customWidth="1"/>
    <col min="13318" max="13318" width="14.140625" style="516" customWidth="1"/>
    <col min="13319" max="13319" width="14.7109375" style="516" customWidth="1"/>
    <col min="13320" max="13568" width="9.140625" style="516"/>
    <col min="13569" max="13569" width="4.42578125" style="516" customWidth="1"/>
    <col min="13570" max="13570" width="7.5703125" style="516" customWidth="1"/>
    <col min="13571" max="13571" width="47.42578125" style="516" customWidth="1"/>
    <col min="13572" max="13572" width="14.85546875" style="516" customWidth="1"/>
    <col min="13573" max="13573" width="14" style="516" customWidth="1"/>
    <col min="13574" max="13574" width="14.140625" style="516" customWidth="1"/>
    <col min="13575" max="13575" width="14.7109375" style="516" customWidth="1"/>
    <col min="13576" max="13824" width="9.140625" style="516"/>
    <col min="13825" max="13825" width="4.42578125" style="516" customWidth="1"/>
    <col min="13826" max="13826" width="7.5703125" style="516" customWidth="1"/>
    <col min="13827" max="13827" width="47.42578125" style="516" customWidth="1"/>
    <col min="13828" max="13828" width="14.85546875" style="516" customWidth="1"/>
    <col min="13829" max="13829" width="14" style="516" customWidth="1"/>
    <col min="13830" max="13830" width="14.140625" style="516" customWidth="1"/>
    <col min="13831" max="13831" width="14.7109375" style="516" customWidth="1"/>
    <col min="13832" max="14080" width="9.140625" style="516"/>
    <col min="14081" max="14081" width="4.42578125" style="516" customWidth="1"/>
    <col min="14082" max="14082" width="7.5703125" style="516" customWidth="1"/>
    <col min="14083" max="14083" width="47.42578125" style="516" customWidth="1"/>
    <col min="14084" max="14084" width="14.85546875" style="516" customWidth="1"/>
    <col min="14085" max="14085" width="14" style="516" customWidth="1"/>
    <col min="14086" max="14086" width="14.140625" style="516" customWidth="1"/>
    <col min="14087" max="14087" width="14.7109375" style="516" customWidth="1"/>
    <col min="14088" max="14336" width="9.140625" style="516"/>
    <col min="14337" max="14337" width="4.42578125" style="516" customWidth="1"/>
    <col min="14338" max="14338" width="7.5703125" style="516" customWidth="1"/>
    <col min="14339" max="14339" width="47.42578125" style="516" customWidth="1"/>
    <col min="14340" max="14340" width="14.85546875" style="516" customWidth="1"/>
    <col min="14341" max="14341" width="14" style="516" customWidth="1"/>
    <col min="14342" max="14342" width="14.140625" style="516" customWidth="1"/>
    <col min="14343" max="14343" width="14.7109375" style="516" customWidth="1"/>
    <col min="14344" max="14592" width="9.140625" style="516"/>
    <col min="14593" max="14593" width="4.42578125" style="516" customWidth="1"/>
    <col min="14594" max="14594" width="7.5703125" style="516" customWidth="1"/>
    <col min="14595" max="14595" width="47.42578125" style="516" customWidth="1"/>
    <col min="14596" max="14596" width="14.85546875" style="516" customWidth="1"/>
    <col min="14597" max="14597" width="14" style="516" customWidth="1"/>
    <col min="14598" max="14598" width="14.140625" style="516" customWidth="1"/>
    <col min="14599" max="14599" width="14.7109375" style="516" customWidth="1"/>
    <col min="14600" max="14848" width="9.140625" style="516"/>
    <col min="14849" max="14849" width="4.42578125" style="516" customWidth="1"/>
    <col min="14850" max="14850" width="7.5703125" style="516" customWidth="1"/>
    <col min="14851" max="14851" width="47.42578125" style="516" customWidth="1"/>
    <col min="14852" max="14852" width="14.85546875" style="516" customWidth="1"/>
    <col min="14853" max="14853" width="14" style="516" customWidth="1"/>
    <col min="14854" max="14854" width="14.140625" style="516" customWidth="1"/>
    <col min="14855" max="14855" width="14.7109375" style="516" customWidth="1"/>
    <col min="14856" max="15104" width="9.140625" style="516"/>
    <col min="15105" max="15105" width="4.42578125" style="516" customWidth="1"/>
    <col min="15106" max="15106" width="7.5703125" style="516" customWidth="1"/>
    <col min="15107" max="15107" width="47.42578125" style="516" customWidth="1"/>
    <col min="15108" max="15108" width="14.85546875" style="516" customWidth="1"/>
    <col min="15109" max="15109" width="14" style="516" customWidth="1"/>
    <col min="15110" max="15110" width="14.140625" style="516" customWidth="1"/>
    <col min="15111" max="15111" width="14.7109375" style="516" customWidth="1"/>
    <col min="15112" max="15360" width="9.140625" style="516"/>
    <col min="15361" max="15361" width="4.42578125" style="516" customWidth="1"/>
    <col min="15362" max="15362" width="7.5703125" style="516" customWidth="1"/>
    <col min="15363" max="15363" width="47.42578125" style="516" customWidth="1"/>
    <col min="15364" max="15364" width="14.85546875" style="516" customWidth="1"/>
    <col min="15365" max="15365" width="14" style="516" customWidth="1"/>
    <col min="15366" max="15366" width="14.140625" style="516" customWidth="1"/>
    <col min="15367" max="15367" width="14.7109375" style="516" customWidth="1"/>
    <col min="15368" max="15616" width="9.140625" style="516"/>
    <col min="15617" max="15617" width="4.42578125" style="516" customWidth="1"/>
    <col min="15618" max="15618" width="7.5703125" style="516" customWidth="1"/>
    <col min="15619" max="15619" width="47.42578125" style="516" customWidth="1"/>
    <col min="15620" max="15620" width="14.85546875" style="516" customWidth="1"/>
    <col min="15621" max="15621" width="14" style="516" customWidth="1"/>
    <col min="15622" max="15622" width="14.140625" style="516" customWidth="1"/>
    <col min="15623" max="15623" width="14.7109375" style="516" customWidth="1"/>
    <col min="15624" max="15872" width="9.140625" style="516"/>
    <col min="15873" max="15873" width="4.42578125" style="516" customWidth="1"/>
    <col min="15874" max="15874" width="7.5703125" style="516" customWidth="1"/>
    <col min="15875" max="15875" width="47.42578125" style="516" customWidth="1"/>
    <col min="15876" max="15876" width="14.85546875" style="516" customWidth="1"/>
    <col min="15877" max="15877" width="14" style="516" customWidth="1"/>
    <col min="15878" max="15878" width="14.140625" style="516" customWidth="1"/>
    <col min="15879" max="15879" width="14.7109375" style="516" customWidth="1"/>
    <col min="15880" max="16128" width="9.140625" style="516"/>
    <col min="16129" max="16129" width="4.42578125" style="516" customWidth="1"/>
    <col min="16130" max="16130" width="7.5703125" style="516" customWidth="1"/>
    <col min="16131" max="16131" width="47.42578125" style="516" customWidth="1"/>
    <col min="16132" max="16132" width="14.85546875" style="516" customWidth="1"/>
    <col min="16133" max="16133" width="14" style="516" customWidth="1"/>
    <col min="16134" max="16134" width="14.140625" style="516" customWidth="1"/>
    <col min="16135" max="16135" width="14.7109375" style="516" customWidth="1"/>
    <col min="16136" max="16384" width="9.140625" style="516"/>
  </cols>
  <sheetData>
    <row r="1" spans="1:7" ht="14.1" customHeight="1" x14ac:dyDescent="0.3">
      <c r="F1" s="431" t="s">
        <v>534</v>
      </c>
      <c r="G1" s="432"/>
    </row>
    <row r="2" spans="1:7" ht="14.1" customHeight="1" x14ac:dyDescent="0.3">
      <c r="F2" s="329" t="s">
        <v>336</v>
      </c>
      <c r="G2" s="432"/>
    </row>
    <row r="3" spans="1:7" ht="14.1" customHeight="1" x14ac:dyDescent="0.3">
      <c r="F3" s="329" t="s">
        <v>16</v>
      </c>
      <c r="G3" s="432"/>
    </row>
    <row r="4" spans="1:7" ht="14.1" customHeight="1" x14ac:dyDescent="0.3">
      <c r="F4" s="329" t="s">
        <v>337</v>
      </c>
      <c r="G4" s="432"/>
    </row>
    <row r="5" spans="1:7" s="59" customFormat="1" ht="12.75" x14ac:dyDescent="0.2">
      <c r="A5" s="60" t="s">
        <v>37</v>
      </c>
      <c r="B5" s="433"/>
      <c r="C5" s="433"/>
      <c r="D5" s="433"/>
      <c r="E5" s="433"/>
      <c r="F5" s="433"/>
      <c r="G5" s="433"/>
    </row>
    <row r="6" spans="1:7" s="59" customFormat="1" ht="12.75" x14ac:dyDescent="0.2">
      <c r="A6" s="60" t="s">
        <v>38</v>
      </c>
      <c r="B6" s="433"/>
      <c r="C6" s="433"/>
      <c r="D6" s="433"/>
      <c r="E6" s="433"/>
      <c r="F6" s="433"/>
      <c r="G6" s="433"/>
    </row>
    <row r="7" spans="1:7" x14ac:dyDescent="0.25">
      <c r="A7" s="434" t="s">
        <v>39</v>
      </c>
      <c r="B7" s="433"/>
      <c r="C7" s="433"/>
      <c r="D7" s="433"/>
      <c r="E7" s="433"/>
      <c r="F7" s="433"/>
      <c r="G7" s="433"/>
    </row>
    <row r="8" spans="1:7" x14ac:dyDescent="0.25">
      <c r="A8" s="570"/>
      <c r="B8" s="570"/>
      <c r="C8" s="570"/>
      <c r="D8" s="570"/>
      <c r="E8" s="570"/>
      <c r="F8" s="570"/>
      <c r="G8" s="61" t="s">
        <v>1</v>
      </c>
    </row>
    <row r="9" spans="1:7" ht="15" customHeight="1" x14ac:dyDescent="0.25">
      <c r="A9" s="435"/>
      <c r="B9" s="435"/>
      <c r="C9" s="435"/>
      <c r="D9" s="436" t="s">
        <v>67</v>
      </c>
      <c r="E9" s="437"/>
      <c r="F9" s="438"/>
      <c r="G9" s="436" t="s">
        <v>67</v>
      </c>
    </row>
    <row r="10" spans="1:7" x14ac:dyDescent="0.25">
      <c r="A10" s="439"/>
      <c r="B10" s="439" t="s">
        <v>3</v>
      </c>
      <c r="C10" s="439"/>
      <c r="D10" s="440" t="s">
        <v>68</v>
      </c>
      <c r="E10" s="440"/>
      <c r="F10" s="440"/>
      <c r="G10" s="440" t="s">
        <v>69</v>
      </c>
    </row>
    <row r="11" spans="1:7" x14ac:dyDescent="0.25">
      <c r="A11" s="439" t="s">
        <v>40</v>
      </c>
      <c r="B11" s="441"/>
      <c r="C11" s="439" t="s">
        <v>41</v>
      </c>
      <c r="D11" s="440" t="s">
        <v>70</v>
      </c>
      <c r="E11" s="440" t="s">
        <v>42</v>
      </c>
      <c r="F11" s="440" t="s">
        <v>43</v>
      </c>
      <c r="G11" s="440" t="s">
        <v>71</v>
      </c>
    </row>
    <row r="12" spans="1:7" ht="9.75" customHeight="1" x14ac:dyDescent="0.25">
      <c r="A12" s="441"/>
      <c r="B12" s="441" t="s">
        <v>4</v>
      </c>
      <c r="C12" s="441"/>
      <c r="D12" s="442" t="s">
        <v>72</v>
      </c>
      <c r="E12" s="442"/>
      <c r="F12" s="442"/>
      <c r="G12" s="442" t="s">
        <v>72</v>
      </c>
    </row>
    <row r="13" spans="1:7" x14ac:dyDescent="0.25">
      <c r="A13" s="443">
        <v>1</v>
      </c>
      <c r="B13" s="443">
        <v>2</v>
      </c>
      <c r="C13" s="443">
        <v>3</v>
      </c>
      <c r="D13" s="443">
        <v>4</v>
      </c>
      <c r="E13" s="443">
        <v>5</v>
      </c>
      <c r="F13" s="443">
        <v>6</v>
      </c>
      <c r="G13" s="443">
        <v>7</v>
      </c>
    </row>
    <row r="14" spans="1:7" s="570" customFormat="1" ht="12" customHeight="1" x14ac:dyDescent="0.25">
      <c r="A14" s="62"/>
      <c r="B14" s="63">
        <v>801</v>
      </c>
      <c r="C14" s="571"/>
      <c r="D14" s="572"/>
      <c r="E14" s="572"/>
      <c r="F14" s="572"/>
      <c r="G14" s="572"/>
    </row>
    <row r="15" spans="1:7" x14ac:dyDescent="0.25">
      <c r="A15" s="444" t="s">
        <v>44</v>
      </c>
      <c r="B15" s="445">
        <v>80101</v>
      </c>
      <c r="C15" s="446" t="s">
        <v>45</v>
      </c>
      <c r="D15" s="447">
        <v>170.99</v>
      </c>
      <c r="E15" s="447">
        <v>845277.21</v>
      </c>
      <c r="F15" s="447">
        <v>845448.2</v>
      </c>
      <c r="G15" s="447">
        <v>0</v>
      </c>
    </row>
    <row r="16" spans="1:7" x14ac:dyDescent="0.25">
      <c r="A16" s="444" t="s">
        <v>46</v>
      </c>
      <c r="B16" s="445">
        <v>80102</v>
      </c>
      <c r="C16" s="448" t="s">
        <v>47</v>
      </c>
      <c r="D16" s="449">
        <v>0</v>
      </c>
      <c r="E16" s="449">
        <v>7490</v>
      </c>
      <c r="F16" s="449">
        <v>7490</v>
      </c>
      <c r="G16" s="449">
        <v>0</v>
      </c>
    </row>
    <row r="17" spans="1:11" x14ac:dyDescent="0.25">
      <c r="A17" s="444" t="s">
        <v>48</v>
      </c>
      <c r="B17" s="445">
        <v>80104</v>
      </c>
      <c r="C17" s="448" t="s">
        <v>49</v>
      </c>
      <c r="D17" s="449">
        <v>5123.59</v>
      </c>
      <c r="E17" s="449">
        <v>3895615.59</v>
      </c>
      <c r="F17" s="449">
        <v>3900739.18</v>
      </c>
      <c r="G17" s="449">
        <v>0</v>
      </c>
    </row>
    <row r="18" spans="1:11" x14ac:dyDescent="0.25">
      <c r="A18" s="444" t="s">
        <v>50</v>
      </c>
      <c r="B18" s="445">
        <v>80115</v>
      </c>
      <c r="C18" s="448" t="s">
        <v>51</v>
      </c>
      <c r="D18" s="449">
        <v>3153.5</v>
      </c>
      <c r="E18" s="449">
        <v>1141508</v>
      </c>
      <c r="F18" s="449">
        <v>1144661.5</v>
      </c>
      <c r="G18" s="449">
        <v>0</v>
      </c>
    </row>
    <row r="19" spans="1:11" x14ac:dyDescent="0.25">
      <c r="A19" s="444" t="s">
        <v>52</v>
      </c>
      <c r="B19" s="445">
        <v>80120</v>
      </c>
      <c r="C19" s="448" t="s">
        <v>53</v>
      </c>
      <c r="D19" s="450">
        <v>68.55</v>
      </c>
      <c r="E19" s="449">
        <v>274036.99</v>
      </c>
      <c r="F19" s="449">
        <v>274105.53999999998</v>
      </c>
      <c r="G19" s="449">
        <v>0</v>
      </c>
    </row>
    <row r="20" spans="1:11" x14ac:dyDescent="0.25">
      <c r="A20" s="444" t="s">
        <v>54</v>
      </c>
      <c r="B20" s="445">
        <v>80132</v>
      </c>
      <c r="C20" s="448" t="s">
        <v>55</v>
      </c>
      <c r="D20" s="449">
        <v>2.87</v>
      </c>
      <c r="E20" s="449">
        <v>40992</v>
      </c>
      <c r="F20" s="449">
        <v>40994.870000000003</v>
      </c>
      <c r="G20" s="451">
        <v>0</v>
      </c>
    </row>
    <row r="21" spans="1:11" ht="14.25" customHeight="1" x14ac:dyDescent="0.25">
      <c r="A21" s="444" t="s">
        <v>56</v>
      </c>
      <c r="B21" s="445">
        <v>80134</v>
      </c>
      <c r="C21" s="448" t="s">
        <v>57</v>
      </c>
      <c r="D21" s="449">
        <v>0</v>
      </c>
      <c r="E21" s="449">
        <v>1300</v>
      </c>
      <c r="F21" s="449">
        <v>1300</v>
      </c>
      <c r="G21" s="449">
        <v>0</v>
      </c>
    </row>
    <row r="22" spans="1:11" ht="14.25" customHeight="1" x14ac:dyDescent="0.25">
      <c r="A22" s="452" t="s">
        <v>58</v>
      </c>
      <c r="B22" s="453">
        <v>80140</v>
      </c>
      <c r="C22" s="454" t="s">
        <v>59</v>
      </c>
      <c r="D22" s="449">
        <v>0</v>
      </c>
      <c r="E22" s="449">
        <v>101038</v>
      </c>
      <c r="F22" s="449">
        <v>101038</v>
      </c>
      <c r="G22" s="449">
        <v>0</v>
      </c>
    </row>
    <row r="23" spans="1:11" x14ac:dyDescent="0.25">
      <c r="A23" s="452" t="s">
        <v>60</v>
      </c>
      <c r="B23" s="453">
        <v>80142</v>
      </c>
      <c r="C23" s="454" t="s">
        <v>535</v>
      </c>
      <c r="D23" s="449">
        <v>0</v>
      </c>
      <c r="E23" s="449">
        <v>281040</v>
      </c>
      <c r="F23" s="449">
        <v>281040</v>
      </c>
      <c r="G23" s="449">
        <v>0</v>
      </c>
    </row>
    <row r="24" spans="1:11" x14ac:dyDescent="0.25">
      <c r="A24" s="452" t="s">
        <v>536</v>
      </c>
      <c r="B24" s="453">
        <v>80144</v>
      </c>
      <c r="C24" s="454" t="s">
        <v>537</v>
      </c>
      <c r="D24" s="449">
        <v>0</v>
      </c>
      <c r="E24" s="449">
        <v>63532</v>
      </c>
      <c r="F24" s="449">
        <v>63532</v>
      </c>
      <c r="G24" s="449">
        <v>0</v>
      </c>
      <c r="K24" s="516" t="s">
        <v>538</v>
      </c>
    </row>
    <row r="25" spans="1:11" x14ac:dyDescent="0.25">
      <c r="A25" s="455" t="s">
        <v>539</v>
      </c>
      <c r="B25" s="456">
        <v>80148</v>
      </c>
      <c r="C25" s="448" t="s">
        <v>61</v>
      </c>
      <c r="D25" s="457">
        <v>304.12</v>
      </c>
      <c r="E25" s="457">
        <v>2798291</v>
      </c>
      <c r="F25" s="457">
        <v>2798595.12</v>
      </c>
      <c r="G25" s="457">
        <v>0</v>
      </c>
    </row>
    <row r="26" spans="1:11" ht="12.75" customHeight="1" x14ac:dyDescent="0.25">
      <c r="A26" s="458"/>
      <c r="B26" s="459">
        <v>854</v>
      </c>
      <c r="C26" s="460"/>
      <c r="D26" s="461"/>
      <c r="E26" s="461"/>
      <c r="F26" s="461"/>
      <c r="G26" s="461"/>
    </row>
    <row r="27" spans="1:11" x14ac:dyDescent="0.25">
      <c r="A27" s="444" t="s">
        <v>44</v>
      </c>
      <c r="B27" s="445">
        <v>85410</v>
      </c>
      <c r="C27" s="448" t="s">
        <v>62</v>
      </c>
      <c r="D27" s="449">
        <v>20.57</v>
      </c>
      <c r="E27" s="449">
        <v>491700</v>
      </c>
      <c r="F27" s="449">
        <v>491720.57</v>
      </c>
      <c r="G27" s="449">
        <v>0</v>
      </c>
    </row>
    <row r="28" spans="1:11" x14ac:dyDescent="0.25">
      <c r="A28" s="444" t="s">
        <v>46</v>
      </c>
      <c r="B28" s="445">
        <v>85412</v>
      </c>
      <c r="C28" s="448" t="s">
        <v>25</v>
      </c>
      <c r="D28" s="449"/>
      <c r="E28" s="449"/>
      <c r="F28" s="449"/>
      <c r="G28" s="449"/>
    </row>
    <row r="29" spans="1:11" x14ac:dyDescent="0.25">
      <c r="A29" s="444"/>
      <c r="B29" s="445"/>
      <c r="C29" s="448" t="s">
        <v>63</v>
      </c>
      <c r="D29" s="449">
        <v>0</v>
      </c>
      <c r="E29" s="449">
        <v>9850</v>
      </c>
      <c r="F29" s="449">
        <v>9850</v>
      </c>
      <c r="G29" s="449">
        <v>0</v>
      </c>
    </row>
    <row r="30" spans="1:11" x14ac:dyDescent="0.25">
      <c r="A30" s="444" t="s">
        <v>48</v>
      </c>
      <c r="B30" s="445">
        <v>85417</v>
      </c>
      <c r="C30" s="462" t="s">
        <v>64</v>
      </c>
      <c r="D30" s="449">
        <v>0</v>
      </c>
      <c r="E30" s="449">
        <v>80400</v>
      </c>
      <c r="F30" s="449">
        <v>80400</v>
      </c>
      <c r="G30" s="449">
        <v>0</v>
      </c>
    </row>
    <row r="31" spans="1:11" x14ac:dyDescent="0.25">
      <c r="A31" s="463" t="s">
        <v>50</v>
      </c>
      <c r="B31" s="464">
        <v>85420</v>
      </c>
      <c r="C31" s="465" t="s">
        <v>65</v>
      </c>
      <c r="D31" s="466">
        <v>0</v>
      </c>
      <c r="E31" s="466">
        <v>19502</v>
      </c>
      <c r="F31" s="466">
        <v>19502</v>
      </c>
      <c r="G31" s="467">
        <v>0</v>
      </c>
    </row>
    <row r="32" spans="1:11" s="575" customFormat="1" ht="16.5" customHeight="1" x14ac:dyDescent="0.25">
      <c r="A32" s="468"/>
      <c r="B32" s="469"/>
      <c r="C32" s="573" t="s">
        <v>66</v>
      </c>
      <c r="D32" s="574">
        <f>SUM(D15:D31)</f>
        <v>8844.19</v>
      </c>
      <c r="E32" s="574">
        <f>SUM(E15:E31)</f>
        <v>10051572.789999999</v>
      </c>
      <c r="F32" s="574">
        <f>SUM(F15:F31)</f>
        <v>10060416.98</v>
      </c>
      <c r="G32" s="574">
        <f>SUM(G15:G31)</f>
        <v>0</v>
      </c>
    </row>
    <row r="34" spans="1:3" x14ac:dyDescent="0.25">
      <c r="A34" s="576"/>
      <c r="B34" s="576"/>
      <c r="C34" s="64"/>
    </row>
    <row r="35" spans="1:3" x14ac:dyDescent="0.25">
      <c r="A35" s="576"/>
      <c r="B35" s="576"/>
      <c r="C35" s="64"/>
    </row>
    <row r="36" spans="1:3" x14ac:dyDescent="0.25">
      <c r="A36" s="576"/>
      <c r="B36" s="576"/>
      <c r="C36" s="64"/>
    </row>
  </sheetData>
  <pageMargins left="0.78740157480314965" right="0.78740157480314965" top="0.74803149606299213" bottom="0.74803149606299213" header="0.31496062992125984" footer="0.31496062992125984"/>
  <pageSetup paperSize="9" firstPageNumber="5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D08C-4169-4DBC-89C5-9EEF4DF39D9B}">
  <dimension ref="A1:WVO84"/>
  <sheetViews>
    <sheetView topLeftCell="A13" zoomScale="140" zoomScaleNormal="140" workbookViewId="0">
      <selection activeCell="A13" sqref="A13"/>
    </sheetView>
  </sheetViews>
  <sheetFormatPr defaultRowHeight="15" x14ac:dyDescent="0.25"/>
  <cols>
    <col min="1" max="1" width="4.85546875" style="570" customWidth="1"/>
    <col min="2" max="2" width="33.42578125" style="570" customWidth="1"/>
    <col min="3" max="3" width="8.5703125" style="570" customWidth="1"/>
    <col min="4" max="4" width="9.42578125" style="570" customWidth="1"/>
    <col min="5" max="5" width="8.140625" style="570" customWidth="1"/>
    <col min="6" max="6" width="13" style="516" customWidth="1"/>
    <col min="7" max="7" width="12.85546875" style="516" customWidth="1"/>
    <col min="8" max="8" width="9.140625" style="516"/>
    <col min="9" max="9" width="10.5703125" style="516" bestFit="1" customWidth="1"/>
    <col min="10" max="76" width="9.140625" style="516"/>
    <col min="77" max="253" width="9.140625" style="570"/>
    <col min="254" max="254" width="5.28515625" style="570" customWidth="1"/>
    <col min="255" max="255" width="8" style="570" customWidth="1"/>
    <col min="256" max="256" width="5.85546875" style="570" customWidth="1"/>
    <col min="257" max="257" width="9.42578125" style="570" customWidth="1"/>
    <col min="258" max="258" width="11.28515625" style="570" customWidth="1"/>
    <col min="259" max="259" width="11" style="570" customWidth="1"/>
    <col min="260" max="260" width="13.140625" style="570" customWidth="1"/>
    <col min="261" max="261" width="11.7109375" style="570" customWidth="1"/>
    <col min="262" max="262" width="11.140625" style="570" customWidth="1"/>
    <col min="263" max="263" width="11.7109375" style="570" customWidth="1"/>
    <col min="264" max="509" width="9.140625" style="570"/>
    <col min="510" max="510" width="5.28515625" style="570" customWidth="1"/>
    <col min="511" max="511" width="8" style="570" customWidth="1"/>
    <col min="512" max="512" width="5.85546875" style="570" customWidth="1"/>
    <col min="513" max="513" width="9.42578125" style="570" customWidth="1"/>
    <col min="514" max="514" width="11.28515625" style="570" customWidth="1"/>
    <col min="515" max="515" width="11" style="570" customWidth="1"/>
    <col min="516" max="516" width="13.140625" style="570" customWidth="1"/>
    <col min="517" max="517" width="11.7109375" style="570" customWidth="1"/>
    <col min="518" max="518" width="11.140625" style="570" customWidth="1"/>
    <col min="519" max="519" width="11.7109375" style="570" customWidth="1"/>
    <col min="520" max="765" width="9.140625" style="570"/>
    <col min="766" max="766" width="5.28515625" style="570" customWidth="1"/>
    <col min="767" max="767" width="8" style="570" customWidth="1"/>
    <col min="768" max="768" width="5.85546875" style="570" customWidth="1"/>
    <col min="769" max="769" width="9.42578125" style="570" customWidth="1"/>
    <col min="770" max="770" width="11.28515625" style="570" customWidth="1"/>
    <col min="771" max="771" width="11" style="570" customWidth="1"/>
    <col min="772" max="772" width="13.140625" style="570" customWidth="1"/>
    <col min="773" max="773" width="11.7109375" style="570" customWidth="1"/>
    <col min="774" max="774" width="11.140625" style="570" customWidth="1"/>
    <col min="775" max="775" width="11.7109375" style="570" customWidth="1"/>
    <col min="776" max="1021" width="9.140625" style="570"/>
    <col min="1022" max="1022" width="5.28515625" style="570" customWidth="1"/>
    <col min="1023" max="1023" width="8" style="570" customWidth="1"/>
    <col min="1024" max="1024" width="5.85546875" style="570" customWidth="1"/>
    <col min="1025" max="1025" width="9.42578125" style="570" customWidth="1"/>
    <col min="1026" max="1026" width="11.28515625" style="570" customWidth="1"/>
    <col min="1027" max="1027" width="11" style="570" customWidth="1"/>
    <col min="1028" max="1028" width="13.140625" style="570" customWidth="1"/>
    <col min="1029" max="1029" width="11.7109375" style="570" customWidth="1"/>
    <col min="1030" max="1030" width="11.140625" style="570" customWidth="1"/>
    <col min="1031" max="1031" width="11.7109375" style="570" customWidth="1"/>
    <col min="1032" max="1277" width="9.140625" style="570"/>
    <col min="1278" max="1278" width="5.28515625" style="570" customWidth="1"/>
    <col min="1279" max="1279" width="8" style="570" customWidth="1"/>
    <col min="1280" max="1280" width="5.85546875" style="570" customWidth="1"/>
    <col min="1281" max="1281" width="9.42578125" style="570" customWidth="1"/>
    <col min="1282" max="1282" width="11.28515625" style="570" customWidth="1"/>
    <col min="1283" max="1283" width="11" style="570" customWidth="1"/>
    <col min="1284" max="1284" width="13.140625" style="570" customWidth="1"/>
    <col min="1285" max="1285" width="11.7109375" style="570" customWidth="1"/>
    <col min="1286" max="1286" width="11.140625" style="570" customWidth="1"/>
    <col min="1287" max="1287" width="11.7109375" style="570" customWidth="1"/>
    <col min="1288" max="1533" width="9.140625" style="570"/>
    <col min="1534" max="1534" width="5.28515625" style="570" customWidth="1"/>
    <col min="1535" max="1535" width="8" style="570" customWidth="1"/>
    <col min="1536" max="1536" width="5.85546875" style="570" customWidth="1"/>
    <col min="1537" max="1537" width="9.42578125" style="570" customWidth="1"/>
    <col min="1538" max="1538" width="11.28515625" style="570" customWidth="1"/>
    <col min="1539" max="1539" width="11" style="570" customWidth="1"/>
    <col min="1540" max="1540" width="13.140625" style="570" customWidth="1"/>
    <col min="1541" max="1541" width="11.7109375" style="570" customWidth="1"/>
    <col min="1542" max="1542" width="11.140625" style="570" customWidth="1"/>
    <col min="1543" max="1543" width="11.7109375" style="570" customWidth="1"/>
    <col min="1544" max="1789" width="9.140625" style="570"/>
    <col min="1790" max="1790" width="5.28515625" style="570" customWidth="1"/>
    <col min="1791" max="1791" width="8" style="570" customWidth="1"/>
    <col min="1792" max="1792" width="5.85546875" style="570" customWidth="1"/>
    <col min="1793" max="1793" width="9.42578125" style="570" customWidth="1"/>
    <col min="1794" max="1794" width="11.28515625" style="570" customWidth="1"/>
    <col min="1795" max="1795" width="11" style="570" customWidth="1"/>
    <col min="1796" max="1796" width="13.140625" style="570" customWidth="1"/>
    <col min="1797" max="1797" width="11.7109375" style="570" customWidth="1"/>
    <col min="1798" max="1798" width="11.140625" style="570" customWidth="1"/>
    <col min="1799" max="1799" width="11.7109375" style="570" customWidth="1"/>
    <col min="1800" max="2045" width="9.140625" style="570"/>
    <col min="2046" max="2046" width="5.28515625" style="570" customWidth="1"/>
    <col min="2047" max="2047" width="8" style="570" customWidth="1"/>
    <col min="2048" max="2048" width="5.85546875" style="570" customWidth="1"/>
    <col min="2049" max="2049" width="9.42578125" style="570" customWidth="1"/>
    <col min="2050" max="2050" width="11.28515625" style="570" customWidth="1"/>
    <col min="2051" max="2051" width="11" style="570" customWidth="1"/>
    <col min="2052" max="2052" width="13.140625" style="570" customWidth="1"/>
    <col min="2053" max="2053" width="11.7109375" style="570" customWidth="1"/>
    <col min="2054" max="2054" width="11.140625" style="570" customWidth="1"/>
    <col min="2055" max="2055" width="11.7109375" style="570" customWidth="1"/>
    <col min="2056" max="2301" width="9.140625" style="570"/>
    <col min="2302" max="2302" width="5.28515625" style="570" customWidth="1"/>
    <col min="2303" max="2303" width="8" style="570" customWidth="1"/>
    <col min="2304" max="2304" width="5.85546875" style="570" customWidth="1"/>
    <col min="2305" max="2305" width="9.42578125" style="570" customWidth="1"/>
    <col min="2306" max="2306" width="11.28515625" style="570" customWidth="1"/>
    <col min="2307" max="2307" width="11" style="570" customWidth="1"/>
    <col min="2308" max="2308" width="13.140625" style="570" customWidth="1"/>
    <col min="2309" max="2309" width="11.7109375" style="570" customWidth="1"/>
    <col min="2310" max="2310" width="11.140625" style="570" customWidth="1"/>
    <col min="2311" max="2311" width="11.7109375" style="570" customWidth="1"/>
    <col min="2312" max="2557" width="9.140625" style="570"/>
    <col min="2558" max="2558" width="5.28515625" style="570" customWidth="1"/>
    <col min="2559" max="2559" width="8" style="570" customWidth="1"/>
    <col min="2560" max="2560" width="5.85546875" style="570" customWidth="1"/>
    <col min="2561" max="2561" width="9.42578125" style="570" customWidth="1"/>
    <col min="2562" max="2562" width="11.28515625" style="570" customWidth="1"/>
    <col min="2563" max="2563" width="11" style="570" customWidth="1"/>
    <col min="2564" max="2564" width="13.140625" style="570" customWidth="1"/>
    <col min="2565" max="2565" width="11.7109375" style="570" customWidth="1"/>
    <col min="2566" max="2566" width="11.140625" style="570" customWidth="1"/>
    <col min="2567" max="2567" width="11.7109375" style="570" customWidth="1"/>
    <col min="2568" max="2813" width="9.140625" style="570"/>
    <col min="2814" max="2814" width="5.28515625" style="570" customWidth="1"/>
    <col min="2815" max="2815" width="8" style="570" customWidth="1"/>
    <col min="2816" max="2816" width="5.85546875" style="570" customWidth="1"/>
    <col min="2817" max="2817" width="9.42578125" style="570" customWidth="1"/>
    <col min="2818" max="2818" width="11.28515625" style="570" customWidth="1"/>
    <col min="2819" max="2819" width="11" style="570" customWidth="1"/>
    <col min="2820" max="2820" width="13.140625" style="570" customWidth="1"/>
    <col min="2821" max="2821" width="11.7109375" style="570" customWidth="1"/>
    <col min="2822" max="2822" width="11.140625" style="570" customWidth="1"/>
    <col min="2823" max="2823" width="11.7109375" style="570" customWidth="1"/>
    <col min="2824" max="3069" width="9.140625" style="570"/>
    <col min="3070" max="3070" width="5.28515625" style="570" customWidth="1"/>
    <col min="3071" max="3071" width="8" style="570" customWidth="1"/>
    <col min="3072" max="3072" width="5.85546875" style="570" customWidth="1"/>
    <col min="3073" max="3073" width="9.42578125" style="570" customWidth="1"/>
    <col min="3074" max="3074" width="11.28515625" style="570" customWidth="1"/>
    <col min="3075" max="3075" width="11" style="570" customWidth="1"/>
    <col min="3076" max="3076" width="13.140625" style="570" customWidth="1"/>
    <col min="3077" max="3077" width="11.7109375" style="570" customWidth="1"/>
    <col min="3078" max="3078" width="11.140625" style="570" customWidth="1"/>
    <col min="3079" max="3079" width="11.7109375" style="570" customWidth="1"/>
    <col min="3080" max="3325" width="9.140625" style="570"/>
    <col min="3326" max="3326" width="5.28515625" style="570" customWidth="1"/>
    <col min="3327" max="3327" width="8" style="570" customWidth="1"/>
    <col min="3328" max="3328" width="5.85546875" style="570" customWidth="1"/>
    <col min="3329" max="3329" width="9.42578125" style="570" customWidth="1"/>
    <col min="3330" max="3330" width="11.28515625" style="570" customWidth="1"/>
    <col min="3331" max="3331" width="11" style="570" customWidth="1"/>
    <col min="3332" max="3332" width="13.140625" style="570" customWidth="1"/>
    <col min="3333" max="3333" width="11.7109375" style="570" customWidth="1"/>
    <col min="3334" max="3334" width="11.140625" style="570" customWidth="1"/>
    <col min="3335" max="3335" width="11.7109375" style="570" customWidth="1"/>
    <col min="3336" max="3581" width="9.140625" style="570"/>
    <col min="3582" max="3582" width="5.28515625" style="570" customWidth="1"/>
    <col min="3583" max="3583" width="8" style="570" customWidth="1"/>
    <col min="3584" max="3584" width="5.85546875" style="570" customWidth="1"/>
    <col min="3585" max="3585" width="9.42578125" style="570" customWidth="1"/>
    <col min="3586" max="3586" width="11.28515625" style="570" customWidth="1"/>
    <col min="3587" max="3587" width="11" style="570" customWidth="1"/>
    <col min="3588" max="3588" width="13.140625" style="570" customWidth="1"/>
    <col min="3589" max="3589" width="11.7109375" style="570" customWidth="1"/>
    <col min="3590" max="3590" width="11.140625" style="570" customWidth="1"/>
    <col min="3591" max="3591" width="11.7109375" style="570" customWidth="1"/>
    <col min="3592" max="3837" width="9.140625" style="570"/>
    <col min="3838" max="3838" width="5.28515625" style="570" customWidth="1"/>
    <col min="3839" max="3839" width="8" style="570" customWidth="1"/>
    <col min="3840" max="3840" width="5.85546875" style="570" customWidth="1"/>
    <col min="3841" max="3841" width="9.42578125" style="570" customWidth="1"/>
    <col min="3842" max="3842" width="11.28515625" style="570" customWidth="1"/>
    <col min="3843" max="3843" width="11" style="570" customWidth="1"/>
    <col min="3844" max="3844" width="13.140625" style="570" customWidth="1"/>
    <col min="3845" max="3845" width="11.7109375" style="570" customWidth="1"/>
    <col min="3846" max="3846" width="11.140625" style="570" customWidth="1"/>
    <col min="3847" max="3847" width="11.7109375" style="570" customWidth="1"/>
    <col min="3848" max="4093" width="9.140625" style="570"/>
    <col min="4094" max="4094" width="5.28515625" style="570" customWidth="1"/>
    <col min="4095" max="4095" width="8" style="570" customWidth="1"/>
    <col min="4096" max="4096" width="5.85546875" style="570" customWidth="1"/>
    <col min="4097" max="4097" width="9.42578125" style="570" customWidth="1"/>
    <col min="4098" max="4098" width="11.28515625" style="570" customWidth="1"/>
    <col min="4099" max="4099" width="11" style="570" customWidth="1"/>
    <col min="4100" max="4100" width="13.140625" style="570" customWidth="1"/>
    <col min="4101" max="4101" width="11.7109375" style="570" customWidth="1"/>
    <col min="4102" max="4102" width="11.140625" style="570" customWidth="1"/>
    <col min="4103" max="4103" width="11.7109375" style="570" customWidth="1"/>
    <col min="4104" max="4349" width="9.140625" style="570"/>
    <col min="4350" max="4350" width="5.28515625" style="570" customWidth="1"/>
    <col min="4351" max="4351" width="8" style="570" customWidth="1"/>
    <col min="4352" max="4352" width="5.85546875" style="570" customWidth="1"/>
    <col min="4353" max="4353" width="9.42578125" style="570" customWidth="1"/>
    <col min="4354" max="4354" width="11.28515625" style="570" customWidth="1"/>
    <col min="4355" max="4355" width="11" style="570" customWidth="1"/>
    <col min="4356" max="4356" width="13.140625" style="570" customWidth="1"/>
    <col min="4357" max="4357" width="11.7109375" style="570" customWidth="1"/>
    <col min="4358" max="4358" width="11.140625" style="570" customWidth="1"/>
    <col min="4359" max="4359" width="11.7109375" style="570" customWidth="1"/>
    <col min="4360" max="4605" width="9.140625" style="570"/>
    <col min="4606" max="4606" width="5.28515625" style="570" customWidth="1"/>
    <col min="4607" max="4607" width="8" style="570" customWidth="1"/>
    <col min="4608" max="4608" width="5.85546875" style="570" customWidth="1"/>
    <col min="4609" max="4609" width="9.42578125" style="570" customWidth="1"/>
    <col min="4610" max="4610" width="11.28515625" style="570" customWidth="1"/>
    <col min="4611" max="4611" width="11" style="570" customWidth="1"/>
    <col min="4612" max="4612" width="13.140625" style="570" customWidth="1"/>
    <col min="4613" max="4613" width="11.7109375" style="570" customWidth="1"/>
    <col min="4614" max="4614" width="11.140625" style="570" customWidth="1"/>
    <col min="4615" max="4615" width="11.7109375" style="570" customWidth="1"/>
    <col min="4616" max="4861" width="9.140625" style="570"/>
    <col min="4862" max="4862" width="5.28515625" style="570" customWidth="1"/>
    <col min="4863" max="4863" width="8" style="570" customWidth="1"/>
    <col min="4864" max="4864" width="5.85546875" style="570" customWidth="1"/>
    <col min="4865" max="4865" width="9.42578125" style="570" customWidth="1"/>
    <col min="4866" max="4866" width="11.28515625" style="570" customWidth="1"/>
    <col min="4867" max="4867" width="11" style="570" customWidth="1"/>
    <col min="4868" max="4868" width="13.140625" style="570" customWidth="1"/>
    <col min="4869" max="4869" width="11.7109375" style="570" customWidth="1"/>
    <col min="4870" max="4870" width="11.140625" style="570" customWidth="1"/>
    <col min="4871" max="4871" width="11.7109375" style="570" customWidth="1"/>
    <col min="4872" max="5117" width="9.140625" style="570"/>
    <col min="5118" max="5118" width="5.28515625" style="570" customWidth="1"/>
    <col min="5119" max="5119" width="8" style="570" customWidth="1"/>
    <col min="5120" max="5120" width="5.85546875" style="570" customWidth="1"/>
    <col min="5121" max="5121" width="9.42578125" style="570" customWidth="1"/>
    <col min="5122" max="5122" width="11.28515625" style="570" customWidth="1"/>
    <col min="5123" max="5123" width="11" style="570" customWidth="1"/>
    <col min="5124" max="5124" width="13.140625" style="570" customWidth="1"/>
    <col min="5125" max="5125" width="11.7109375" style="570" customWidth="1"/>
    <col min="5126" max="5126" width="11.140625" style="570" customWidth="1"/>
    <col min="5127" max="5127" width="11.7109375" style="570" customWidth="1"/>
    <col min="5128" max="5373" width="9.140625" style="570"/>
    <col min="5374" max="5374" width="5.28515625" style="570" customWidth="1"/>
    <col min="5375" max="5375" width="8" style="570" customWidth="1"/>
    <col min="5376" max="5376" width="5.85546875" style="570" customWidth="1"/>
    <col min="5377" max="5377" width="9.42578125" style="570" customWidth="1"/>
    <col min="5378" max="5378" width="11.28515625" style="570" customWidth="1"/>
    <col min="5379" max="5379" width="11" style="570" customWidth="1"/>
    <col min="5380" max="5380" width="13.140625" style="570" customWidth="1"/>
    <col min="5381" max="5381" width="11.7109375" style="570" customWidth="1"/>
    <col min="5382" max="5382" width="11.140625" style="570" customWidth="1"/>
    <col min="5383" max="5383" width="11.7109375" style="570" customWidth="1"/>
    <col min="5384" max="5629" width="9.140625" style="570"/>
    <col min="5630" max="5630" width="5.28515625" style="570" customWidth="1"/>
    <col min="5631" max="5631" width="8" style="570" customWidth="1"/>
    <col min="5632" max="5632" width="5.85546875" style="570" customWidth="1"/>
    <col min="5633" max="5633" width="9.42578125" style="570" customWidth="1"/>
    <col min="5634" max="5634" width="11.28515625" style="570" customWidth="1"/>
    <col min="5635" max="5635" width="11" style="570" customWidth="1"/>
    <col min="5636" max="5636" width="13.140625" style="570" customWidth="1"/>
    <col min="5637" max="5637" width="11.7109375" style="570" customWidth="1"/>
    <col min="5638" max="5638" width="11.140625" style="570" customWidth="1"/>
    <col min="5639" max="5639" width="11.7109375" style="570" customWidth="1"/>
    <col min="5640" max="5885" width="9.140625" style="570"/>
    <col min="5886" max="5886" width="5.28515625" style="570" customWidth="1"/>
    <col min="5887" max="5887" width="8" style="570" customWidth="1"/>
    <col min="5888" max="5888" width="5.85546875" style="570" customWidth="1"/>
    <col min="5889" max="5889" width="9.42578125" style="570" customWidth="1"/>
    <col min="5890" max="5890" width="11.28515625" style="570" customWidth="1"/>
    <col min="5891" max="5891" width="11" style="570" customWidth="1"/>
    <col min="5892" max="5892" width="13.140625" style="570" customWidth="1"/>
    <col min="5893" max="5893" width="11.7109375" style="570" customWidth="1"/>
    <col min="5894" max="5894" width="11.140625" style="570" customWidth="1"/>
    <col min="5895" max="5895" width="11.7109375" style="570" customWidth="1"/>
    <col min="5896" max="6141" width="9.140625" style="570"/>
    <col min="6142" max="6142" width="5.28515625" style="570" customWidth="1"/>
    <col min="6143" max="6143" width="8" style="570" customWidth="1"/>
    <col min="6144" max="6144" width="5.85546875" style="570" customWidth="1"/>
    <col min="6145" max="6145" width="9.42578125" style="570" customWidth="1"/>
    <col min="6146" max="6146" width="11.28515625" style="570" customWidth="1"/>
    <col min="6147" max="6147" width="11" style="570" customWidth="1"/>
    <col min="6148" max="6148" width="13.140625" style="570" customWidth="1"/>
    <col min="6149" max="6149" width="11.7109375" style="570" customWidth="1"/>
    <col min="6150" max="6150" width="11.140625" style="570" customWidth="1"/>
    <col min="6151" max="6151" width="11.7109375" style="570" customWidth="1"/>
    <col min="6152" max="6397" width="9.140625" style="570"/>
    <col min="6398" max="6398" width="5.28515625" style="570" customWidth="1"/>
    <col min="6399" max="6399" width="8" style="570" customWidth="1"/>
    <col min="6400" max="6400" width="5.85546875" style="570" customWidth="1"/>
    <col min="6401" max="6401" width="9.42578125" style="570" customWidth="1"/>
    <col min="6402" max="6402" width="11.28515625" style="570" customWidth="1"/>
    <col min="6403" max="6403" width="11" style="570" customWidth="1"/>
    <col min="6404" max="6404" width="13.140625" style="570" customWidth="1"/>
    <col min="6405" max="6405" width="11.7109375" style="570" customWidth="1"/>
    <col min="6406" max="6406" width="11.140625" style="570" customWidth="1"/>
    <col min="6407" max="6407" width="11.7109375" style="570" customWidth="1"/>
    <col min="6408" max="6653" width="9.140625" style="570"/>
    <col min="6654" max="6654" width="5.28515625" style="570" customWidth="1"/>
    <col min="6655" max="6655" width="8" style="570" customWidth="1"/>
    <col min="6656" max="6656" width="5.85546875" style="570" customWidth="1"/>
    <col min="6657" max="6657" width="9.42578125" style="570" customWidth="1"/>
    <col min="6658" max="6658" width="11.28515625" style="570" customWidth="1"/>
    <col min="6659" max="6659" width="11" style="570" customWidth="1"/>
    <col min="6660" max="6660" width="13.140625" style="570" customWidth="1"/>
    <col min="6661" max="6661" width="11.7109375" style="570" customWidth="1"/>
    <col min="6662" max="6662" width="11.140625" style="570" customWidth="1"/>
    <col min="6663" max="6663" width="11.7109375" style="570" customWidth="1"/>
    <col min="6664" max="6909" width="9.140625" style="570"/>
    <col min="6910" max="6910" width="5.28515625" style="570" customWidth="1"/>
    <col min="6911" max="6911" width="8" style="570" customWidth="1"/>
    <col min="6912" max="6912" width="5.85546875" style="570" customWidth="1"/>
    <col min="6913" max="6913" width="9.42578125" style="570" customWidth="1"/>
    <col min="6914" max="6914" width="11.28515625" style="570" customWidth="1"/>
    <col min="6915" max="6915" width="11" style="570" customWidth="1"/>
    <col min="6916" max="6916" width="13.140625" style="570" customWidth="1"/>
    <col min="6917" max="6917" width="11.7109375" style="570" customWidth="1"/>
    <col min="6918" max="6918" width="11.140625" style="570" customWidth="1"/>
    <col min="6919" max="6919" width="11.7109375" style="570" customWidth="1"/>
    <col min="6920" max="7165" width="9.140625" style="570"/>
    <col min="7166" max="7166" width="5.28515625" style="570" customWidth="1"/>
    <col min="7167" max="7167" width="8" style="570" customWidth="1"/>
    <col min="7168" max="7168" width="5.85546875" style="570" customWidth="1"/>
    <col min="7169" max="7169" width="9.42578125" style="570" customWidth="1"/>
    <col min="7170" max="7170" width="11.28515625" style="570" customWidth="1"/>
    <col min="7171" max="7171" width="11" style="570" customWidth="1"/>
    <col min="7172" max="7172" width="13.140625" style="570" customWidth="1"/>
    <col min="7173" max="7173" width="11.7109375" style="570" customWidth="1"/>
    <col min="7174" max="7174" width="11.140625" style="570" customWidth="1"/>
    <col min="7175" max="7175" width="11.7109375" style="570" customWidth="1"/>
    <col min="7176" max="7421" width="9.140625" style="570"/>
    <col min="7422" max="7422" width="5.28515625" style="570" customWidth="1"/>
    <col min="7423" max="7423" width="8" style="570" customWidth="1"/>
    <col min="7424" max="7424" width="5.85546875" style="570" customWidth="1"/>
    <col min="7425" max="7425" width="9.42578125" style="570" customWidth="1"/>
    <col min="7426" max="7426" width="11.28515625" style="570" customWidth="1"/>
    <col min="7427" max="7427" width="11" style="570" customWidth="1"/>
    <col min="7428" max="7428" width="13.140625" style="570" customWidth="1"/>
    <col min="7429" max="7429" width="11.7109375" style="570" customWidth="1"/>
    <col min="7430" max="7430" width="11.140625" style="570" customWidth="1"/>
    <col min="7431" max="7431" width="11.7109375" style="570" customWidth="1"/>
    <col min="7432" max="7677" width="9.140625" style="570"/>
    <col min="7678" max="7678" width="5.28515625" style="570" customWidth="1"/>
    <col min="7679" max="7679" width="8" style="570" customWidth="1"/>
    <col min="7680" max="7680" width="5.85546875" style="570" customWidth="1"/>
    <col min="7681" max="7681" width="9.42578125" style="570" customWidth="1"/>
    <col min="7682" max="7682" width="11.28515625" style="570" customWidth="1"/>
    <col min="7683" max="7683" width="11" style="570" customWidth="1"/>
    <col min="7684" max="7684" width="13.140625" style="570" customWidth="1"/>
    <col min="7685" max="7685" width="11.7109375" style="570" customWidth="1"/>
    <col min="7686" max="7686" width="11.140625" style="570" customWidth="1"/>
    <col min="7687" max="7687" width="11.7109375" style="570" customWidth="1"/>
    <col min="7688" max="7933" width="9.140625" style="570"/>
    <col min="7934" max="7934" width="5.28515625" style="570" customWidth="1"/>
    <col min="7935" max="7935" width="8" style="570" customWidth="1"/>
    <col min="7936" max="7936" width="5.85546875" style="570" customWidth="1"/>
    <col min="7937" max="7937" width="9.42578125" style="570" customWidth="1"/>
    <col min="7938" max="7938" width="11.28515625" style="570" customWidth="1"/>
    <col min="7939" max="7939" width="11" style="570" customWidth="1"/>
    <col min="7940" max="7940" width="13.140625" style="570" customWidth="1"/>
    <col min="7941" max="7941" width="11.7109375" style="570" customWidth="1"/>
    <col min="7942" max="7942" width="11.140625" style="570" customWidth="1"/>
    <col min="7943" max="7943" width="11.7109375" style="570" customWidth="1"/>
    <col min="7944" max="8189" width="9.140625" style="570"/>
    <col min="8190" max="8190" width="5.28515625" style="570" customWidth="1"/>
    <col min="8191" max="8191" width="8" style="570" customWidth="1"/>
    <col min="8192" max="8192" width="5.85546875" style="570" customWidth="1"/>
    <col min="8193" max="8193" width="9.42578125" style="570" customWidth="1"/>
    <col min="8194" max="8194" width="11.28515625" style="570" customWidth="1"/>
    <col min="8195" max="8195" width="11" style="570" customWidth="1"/>
    <col min="8196" max="8196" width="13.140625" style="570" customWidth="1"/>
    <col min="8197" max="8197" width="11.7109375" style="570" customWidth="1"/>
    <col min="8198" max="8198" width="11.140625" style="570" customWidth="1"/>
    <col min="8199" max="8199" width="11.7109375" style="570" customWidth="1"/>
    <col min="8200" max="8445" width="9.140625" style="570"/>
    <col min="8446" max="8446" width="5.28515625" style="570" customWidth="1"/>
    <col min="8447" max="8447" width="8" style="570" customWidth="1"/>
    <col min="8448" max="8448" width="5.85546875" style="570" customWidth="1"/>
    <col min="8449" max="8449" width="9.42578125" style="570" customWidth="1"/>
    <col min="8450" max="8450" width="11.28515625" style="570" customWidth="1"/>
    <col min="8451" max="8451" width="11" style="570" customWidth="1"/>
    <col min="8452" max="8452" width="13.140625" style="570" customWidth="1"/>
    <col min="8453" max="8453" width="11.7109375" style="570" customWidth="1"/>
    <col min="8454" max="8454" width="11.140625" style="570" customWidth="1"/>
    <col min="8455" max="8455" width="11.7109375" style="570" customWidth="1"/>
    <col min="8456" max="8701" width="9.140625" style="570"/>
    <col min="8702" max="8702" width="5.28515625" style="570" customWidth="1"/>
    <col min="8703" max="8703" width="8" style="570" customWidth="1"/>
    <col min="8704" max="8704" width="5.85546875" style="570" customWidth="1"/>
    <col min="8705" max="8705" width="9.42578125" style="570" customWidth="1"/>
    <col min="8706" max="8706" width="11.28515625" style="570" customWidth="1"/>
    <col min="8707" max="8707" width="11" style="570" customWidth="1"/>
    <col min="8708" max="8708" width="13.140625" style="570" customWidth="1"/>
    <col min="8709" max="8709" width="11.7109375" style="570" customWidth="1"/>
    <col min="8710" max="8710" width="11.140625" style="570" customWidth="1"/>
    <col min="8711" max="8711" width="11.7109375" style="570" customWidth="1"/>
    <col min="8712" max="8957" width="9.140625" style="570"/>
    <col min="8958" max="8958" width="5.28515625" style="570" customWidth="1"/>
    <col min="8959" max="8959" width="8" style="570" customWidth="1"/>
    <col min="8960" max="8960" width="5.85546875" style="570" customWidth="1"/>
    <col min="8961" max="8961" width="9.42578125" style="570" customWidth="1"/>
    <col min="8962" max="8962" width="11.28515625" style="570" customWidth="1"/>
    <col min="8963" max="8963" width="11" style="570" customWidth="1"/>
    <col min="8964" max="8964" width="13.140625" style="570" customWidth="1"/>
    <col min="8965" max="8965" width="11.7109375" style="570" customWidth="1"/>
    <col min="8966" max="8966" width="11.140625" style="570" customWidth="1"/>
    <col min="8967" max="8967" width="11.7109375" style="570" customWidth="1"/>
    <col min="8968" max="9213" width="9.140625" style="570"/>
    <col min="9214" max="9214" width="5.28515625" style="570" customWidth="1"/>
    <col min="9215" max="9215" width="8" style="570" customWidth="1"/>
    <col min="9216" max="9216" width="5.85546875" style="570" customWidth="1"/>
    <col min="9217" max="9217" width="9.42578125" style="570" customWidth="1"/>
    <col min="9218" max="9218" width="11.28515625" style="570" customWidth="1"/>
    <col min="9219" max="9219" width="11" style="570" customWidth="1"/>
    <col min="9220" max="9220" width="13.140625" style="570" customWidth="1"/>
    <col min="9221" max="9221" width="11.7109375" style="570" customWidth="1"/>
    <col min="9222" max="9222" width="11.140625" style="570" customWidth="1"/>
    <col min="9223" max="9223" width="11.7109375" style="570" customWidth="1"/>
    <col min="9224" max="9469" width="9.140625" style="570"/>
    <col min="9470" max="9470" width="5.28515625" style="570" customWidth="1"/>
    <col min="9471" max="9471" width="8" style="570" customWidth="1"/>
    <col min="9472" max="9472" width="5.85546875" style="570" customWidth="1"/>
    <col min="9473" max="9473" width="9.42578125" style="570" customWidth="1"/>
    <col min="9474" max="9474" width="11.28515625" style="570" customWidth="1"/>
    <col min="9475" max="9475" width="11" style="570" customWidth="1"/>
    <col min="9476" max="9476" width="13.140625" style="570" customWidth="1"/>
    <col min="9477" max="9477" width="11.7109375" style="570" customWidth="1"/>
    <col min="9478" max="9478" width="11.140625" style="570" customWidth="1"/>
    <col min="9479" max="9479" width="11.7109375" style="570" customWidth="1"/>
    <col min="9480" max="9725" width="9.140625" style="570"/>
    <col min="9726" max="9726" width="5.28515625" style="570" customWidth="1"/>
    <col min="9727" max="9727" width="8" style="570" customWidth="1"/>
    <col min="9728" max="9728" width="5.85546875" style="570" customWidth="1"/>
    <col min="9729" max="9729" width="9.42578125" style="570" customWidth="1"/>
    <col min="9730" max="9730" width="11.28515625" style="570" customWidth="1"/>
    <col min="9731" max="9731" width="11" style="570" customWidth="1"/>
    <col min="9732" max="9732" width="13.140625" style="570" customWidth="1"/>
    <col min="9733" max="9733" width="11.7109375" style="570" customWidth="1"/>
    <col min="9734" max="9734" width="11.140625" style="570" customWidth="1"/>
    <col min="9735" max="9735" width="11.7109375" style="570" customWidth="1"/>
    <col min="9736" max="9981" width="9.140625" style="570"/>
    <col min="9982" max="9982" width="5.28515625" style="570" customWidth="1"/>
    <col min="9983" max="9983" width="8" style="570" customWidth="1"/>
    <col min="9984" max="9984" width="5.85546875" style="570" customWidth="1"/>
    <col min="9985" max="9985" width="9.42578125" style="570" customWidth="1"/>
    <col min="9986" max="9986" width="11.28515625" style="570" customWidth="1"/>
    <col min="9987" max="9987" width="11" style="570" customWidth="1"/>
    <col min="9988" max="9988" width="13.140625" style="570" customWidth="1"/>
    <col min="9989" max="9989" width="11.7109375" style="570" customWidth="1"/>
    <col min="9990" max="9990" width="11.140625" style="570" customWidth="1"/>
    <col min="9991" max="9991" width="11.7109375" style="570" customWidth="1"/>
    <col min="9992" max="10237" width="9.140625" style="570"/>
    <col min="10238" max="10238" width="5.28515625" style="570" customWidth="1"/>
    <col min="10239" max="10239" width="8" style="570" customWidth="1"/>
    <col min="10240" max="10240" width="5.85546875" style="570" customWidth="1"/>
    <col min="10241" max="10241" width="9.42578125" style="570" customWidth="1"/>
    <col min="10242" max="10242" width="11.28515625" style="570" customWidth="1"/>
    <col min="10243" max="10243" width="11" style="570" customWidth="1"/>
    <col min="10244" max="10244" width="13.140625" style="570" customWidth="1"/>
    <col min="10245" max="10245" width="11.7109375" style="570" customWidth="1"/>
    <col min="10246" max="10246" width="11.140625" style="570" customWidth="1"/>
    <col min="10247" max="10247" width="11.7109375" style="570" customWidth="1"/>
    <col min="10248" max="10493" width="9.140625" style="570"/>
    <col min="10494" max="10494" width="5.28515625" style="570" customWidth="1"/>
    <col min="10495" max="10495" width="8" style="570" customWidth="1"/>
    <col min="10496" max="10496" width="5.85546875" style="570" customWidth="1"/>
    <col min="10497" max="10497" width="9.42578125" style="570" customWidth="1"/>
    <col min="10498" max="10498" width="11.28515625" style="570" customWidth="1"/>
    <col min="10499" max="10499" width="11" style="570" customWidth="1"/>
    <col min="10500" max="10500" width="13.140625" style="570" customWidth="1"/>
    <col min="10501" max="10501" width="11.7109375" style="570" customWidth="1"/>
    <col min="10502" max="10502" width="11.140625" style="570" customWidth="1"/>
    <col min="10503" max="10503" width="11.7109375" style="570" customWidth="1"/>
    <col min="10504" max="10749" width="9.140625" style="570"/>
    <col min="10750" max="10750" width="5.28515625" style="570" customWidth="1"/>
    <col min="10751" max="10751" width="8" style="570" customWidth="1"/>
    <col min="10752" max="10752" width="5.85546875" style="570" customWidth="1"/>
    <col min="10753" max="10753" width="9.42578125" style="570" customWidth="1"/>
    <col min="10754" max="10754" width="11.28515625" style="570" customWidth="1"/>
    <col min="10755" max="10755" width="11" style="570" customWidth="1"/>
    <col min="10756" max="10756" width="13.140625" style="570" customWidth="1"/>
    <col min="10757" max="10757" width="11.7109375" style="570" customWidth="1"/>
    <col min="10758" max="10758" width="11.140625" style="570" customWidth="1"/>
    <col min="10759" max="10759" width="11.7109375" style="570" customWidth="1"/>
    <col min="10760" max="11005" width="9.140625" style="570"/>
    <col min="11006" max="11006" width="5.28515625" style="570" customWidth="1"/>
    <col min="11007" max="11007" width="8" style="570" customWidth="1"/>
    <col min="11008" max="11008" width="5.85546875" style="570" customWidth="1"/>
    <col min="11009" max="11009" width="9.42578125" style="570" customWidth="1"/>
    <col min="11010" max="11010" width="11.28515625" style="570" customWidth="1"/>
    <col min="11011" max="11011" width="11" style="570" customWidth="1"/>
    <col min="11012" max="11012" width="13.140625" style="570" customWidth="1"/>
    <col min="11013" max="11013" width="11.7109375" style="570" customWidth="1"/>
    <col min="11014" max="11014" width="11.140625" style="570" customWidth="1"/>
    <col min="11015" max="11015" width="11.7109375" style="570" customWidth="1"/>
    <col min="11016" max="11261" width="9.140625" style="570"/>
    <col min="11262" max="11262" width="5.28515625" style="570" customWidth="1"/>
    <col min="11263" max="11263" width="8" style="570" customWidth="1"/>
    <col min="11264" max="11264" width="5.85546875" style="570" customWidth="1"/>
    <col min="11265" max="11265" width="9.42578125" style="570" customWidth="1"/>
    <col min="11266" max="11266" width="11.28515625" style="570" customWidth="1"/>
    <col min="11267" max="11267" width="11" style="570" customWidth="1"/>
    <col min="11268" max="11268" width="13.140625" style="570" customWidth="1"/>
    <col min="11269" max="11269" width="11.7109375" style="570" customWidth="1"/>
    <col min="11270" max="11270" width="11.140625" style="570" customWidth="1"/>
    <col min="11271" max="11271" width="11.7109375" style="570" customWidth="1"/>
    <col min="11272" max="11517" width="9.140625" style="570"/>
    <col min="11518" max="11518" width="5.28515625" style="570" customWidth="1"/>
    <col min="11519" max="11519" width="8" style="570" customWidth="1"/>
    <col min="11520" max="11520" width="5.85546875" style="570" customWidth="1"/>
    <col min="11521" max="11521" width="9.42578125" style="570" customWidth="1"/>
    <col min="11522" max="11522" width="11.28515625" style="570" customWidth="1"/>
    <col min="11523" max="11523" width="11" style="570" customWidth="1"/>
    <col min="11524" max="11524" width="13.140625" style="570" customWidth="1"/>
    <col min="11525" max="11525" width="11.7109375" style="570" customWidth="1"/>
    <col min="11526" max="11526" width="11.140625" style="570" customWidth="1"/>
    <col min="11527" max="11527" width="11.7109375" style="570" customWidth="1"/>
    <col min="11528" max="11773" width="9.140625" style="570"/>
    <col min="11774" max="11774" width="5.28515625" style="570" customWidth="1"/>
    <col min="11775" max="11775" width="8" style="570" customWidth="1"/>
    <col min="11776" max="11776" width="5.85546875" style="570" customWidth="1"/>
    <col min="11777" max="11777" width="9.42578125" style="570" customWidth="1"/>
    <col min="11778" max="11778" width="11.28515625" style="570" customWidth="1"/>
    <col min="11779" max="11779" width="11" style="570" customWidth="1"/>
    <col min="11780" max="11780" width="13.140625" style="570" customWidth="1"/>
    <col min="11781" max="11781" width="11.7109375" style="570" customWidth="1"/>
    <col min="11782" max="11782" width="11.140625" style="570" customWidth="1"/>
    <col min="11783" max="11783" width="11.7109375" style="570" customWidth="1"/>
    <col min="11784" max="12029" width="9.140625" style="570"/>
    <col min="12030" max="12030" width="5.28515625" style="570" customWidth="1"/>
    <col min="12031" max="12031" width="8" style="570" customWidth="1"/>
    <col min="12032" max="12032" width="5.85546875" style="570" customWidth="1"/>
    <col min="12033" max="12033" width="9.42578125" style="570" customWidth="1"/>
    <col min="12034" max="12034" width="11.28515625" style="570" customWidth="1"/>
    <col min="12035" max="12035" width="11" style="570" customWidth="1"/>
    <col min="12036" max="12036" width="13.140625" style="570" customWidth="1"/>
    <col min="12037" max="12037" width="11.7109375" style="570" customWidth="1"/>
    <col min="12038" max="12038" width="11.140625" style="570" customWidth="1"/>
    <col min="12039" max="12039" width="11.7109375" style="570" customWidth="1"/>
    <col min="12040" max="12285" width="9.140625" style="570"/>
    <col min="12286" max="12286" width="5.28515625" style="570" customWidth="1"/>
    <col min="12287" max="12287" width="8" style="570" customWidth="1"/>
    <col min="12288" max="12288" width="5.85546875" style="570" customWidth="1"/>
    <col min="12289" max="12289" width="9.42578125" style="570" customWidth="1"/>
    <col min="12290" max="12290" width="11.28515625" style="570" customWidth="1"/>
    <col min="12291" max="12291" width="11" style="570" customWidth="1"/>
    <col min="12292" max="12292" width="13.140625" style="570" customWidth="1"/>
    <col min="12293" max="12293" width="11.7109375" style="570" customWidth="1"/>
    <col min="12294" max="12294" width="11.140625" style="570" customWidth="1"/>
    <col min="12295" max="12295" width="11.7109375" style="570" customWidth="1"/>
    <col min="12296" max="12541" width="9.140625" style="570"/>
    <col min="12542" max="12542" width="5.28515625" style="570" customWidth="1"/>
    <col min="12543" max="12543" width="8" style="570" customWidth="1"/>
    <col min="12544" max="12544" width="5.85546875" style="570" customWidth="1"/>
    <col min="12545" max="12545" width="9.42578125" style="570" customWidth="1"/>
    <col min="12546" max="12546" width="11.28515625" style="570" customWidth="1"/>
    <col min="12547" max="12547" width="11" style="570" customWidth="1"/>
    <col min="12548" max="12548" width="13.140625" style="570" customWidth="1"/>
    <col min="12549" max="12549" width="11.7109375" style="570" customWidth="1"/>
    <col min="12550" max="12550" width="11.140625" style="570" customWidth="1"/>
    <col min="12551" max="12551" width="11.7109375" style="570" customWidth="1"/>
    <col min="12552" max="12797" width="9.140625" style="570"/>
    <col min="12798" max="12798" width="5.28515625" style="570" customWidth="1"/>
    <col min="12799" max="12799" width="8" style="570" customWidth="1"/>
    <col min="12800" max="12800" width="5.85546875" style="570" customWidth="1"/>
    <col min="12801" max="12801" width="9.42578125" style="570" customWidth="1"/>
    <col min="12802" max="12802" width="11.28515625" style="570" customWidth="1"/>
    <col min="12803" max="12803" width="11" style="570" customWidth="1"/>
    <col min="12804" max="12804" width="13.140625" style="570" customWidth="1"/>
    <col min="12805" max="12805" width="11.7109375" style="570" customWidth="1"/>
    <col min="12806" max="12806" width="11.140625" style="570" customWidth="1"/>
    <col min="12807" max="12807" width="11.7109375" style="570" customWidth="1"/>
    <col min="12808" max="13053" width="9.140625" style="570"/>
    <col min="13054" max="13054" width="5.28515625" style="570" customWidth="1"/>
    <col min="13055" max="13055" width="8" style="570" customWidth="1"/>
    <col min="13056" max="13056" width="5.85546875" style="570" customWidth="1"/>
    <col min="13057" max="13057" width="9.42578125" style="570" customWidth="1"/>
    <col min="13058" max="13058" width="11.28515625" style="570" customWidth="1"/>
    <col min="13059" max="13059" width="11" style="570" customWidth="1"/>
    <col min="13060" max="13060" width="13.140625" style="570" customWidth="1"/>
    <col min="13061" max="13061" width="11.7109375" style="570" customWidth="1"/>
    <col min="13062" max="13062" width="11.140625" style="570" customWidth="1"/>
    <col min="13063" max="13063" width="11.7109375" style="570" customWidth="1"/>
    <col min="13064" max="13309" width="9.140625" style="570"/>
    <col min="13310" max="13310" width="5.28515625" style="570" customWidth="1"/>
    <col min="13311" max="13311" width="8" style="570" customWidth="1"/>
    <col min="13312" max="13312" width="5.85546875" style="570" customWidth="1"/>
    <col min="13313" max="13313" width="9.42578125" style="570" customWidth="1"/>
    <col min="13314" max="13314" width="11.28515625" style="570" customWidth="1"/>
    <col min="13315" max="13315" width="11" style="570" customWidth="1"/>
    <col min="13316" max="13316" width="13.140625" style="570" customWidth="1"/>
    <col min="13317" max="13317" width="11.7109375" style="570" customWidth="1"/>
    <col min="13318" max="13318" width="11.140625" style="570" customWidth="1"/>
    <col min="13319" max="13319" width="11.7109375" style="570" customWidth="1"/>
    <col min="13320" max="13565" width="9.140625" style="570"/>
    <col min="13566" max="13566" width="5.28515625" style="570" customWidth="1"/>
    <col min="13567" max="13567" width="8" style="570" customWidth="1"/>
    <col min="13568" max="13568" width="5.85546875" style="570" customWidth="1"/>
    <col min="13569" max="13569" width="9.42578125" style="570" customWidth="1"/>
    <col min="13570" max="13570" width="11.28515625" style="570" customWidth="1"/>
    <col min="13571" max="13571" width="11" style="570" customWidth="1"/>
    <col min="13572" max="13572" width="13.140625" style="570" customWidth="1"/>
    <col min="13573" max="13573" width="11.7109375" style="570" customWidth="1"/>
    <col min="13574" max="13574" width="11.140625" style="570" customWidth="1"/>
    <col min="13575" max="13575" width="11.7109375" style="570" customWidth="1"/>
    <col min="13576" max="13821" width="9.140625" style="570"/>
    <col min="13822" max="13822" width="5.28515625" style="570" customWidth="1"/>
    <col min="13823" max="13823" width="8" style="570" customWidth="1"/>
    <col min="13824" max="13824" width="5.85546875" style="570" customWidth="1"/>
    <col min="13825" max="13825" width="9.42578125" style="570" customWidth="1"/>
    <col min="13826" max="13826" width="11.28515625" style="570" customWidth="1"/>
    <col min="13827" max="13827" width="11" style="570" customWidth="1"/>
    <col min="13828" max="13828" width="13.140625" style="570" customWidth="1"/>
    <col min="13829" max="13829" width="11.7109375" style="570" customWidth="1"/>
    <col min="13830" max="13830" width="11.140625" style="570" customWidth="1"/>
    <col min="13831" max="13831" width="11.7109375" style="570" customWidth="1"/>
    <col min="13832" max="14077" width="9.140625" style="570"/>
    <col min="14078" max="14078" width="5.28515625" style="570" customWidth="1"/>
    <col min="14079" max="14079" width="8" style="570" customWidth="1"/>
    <col min="14080" max="14080" width="5.85546875" style="570" customWidth="1"/>
    <col min="14081" max="14081" width="9.42578125" style="570" customWidth="1"/>
    <col min="14082" max="14082" width="11.28515625" style="570" customWidth="1"/>
    <col min="14083" max="14083" width="11" style="570" customWidth="1"/>
    <col min="14084" max="14084" width="13.140625" style="570" customWidth="1"/>
    <col min="14085" max="14085" width="11.7109375" style="570" customWidth="1"/>
    <col min="14086" max="14086" width="11.140625" style="570" customWidth="1"/>
    <col min="14087" max="14087" width="11.7109375" style="570" customWidth="1"/>
    <col min="14088" max="14333" width="9.140625" style="570"/>
    <col min="14334" max="14334" width="5.28515625" style="570" customWidth="1"/>
    <col min="14335" max="14335" width="8" style="570" customWidth="1"/>
    <col min="14336" max="14336" width="5.85546875" style="570" customWidth="1"/>
    <col min="14337" max="14337" width="9.42578125" style="570" customWidth="1"/>
    <col min="14338" max="14338" width="11.28515625" style="570" customWidth="1"/>
    <col min="14339" max="14339" width="11" style="570" customWidth="1"/>
    <col min="14340" max="14340" width="13.140625" style="570" customWidth="1"/>
    <col min="14341" max="14341" width="11.7109375" style="570" customWidth="1"/>
    <col min="14342" max="14342" width="11.140625" style="570" customWidth="1"/>
    <col min="14343" max="14343" width="11.7109375" style="570" customWidth="1"/>
    <col min="14344" max="14589" width="9.140625" style="570"/>
    <col min="14590" max="14590" width="5.28515625" style="570" customWidth="1"/>
    <col min="14591" max="14591" width="8" style="570" customWidth="1"/>
    <col min="14592" max="14592" width="5.85546875" style="570" customWidth="1"/>
    <col min="14593" max="14593" width="9.42578125" style="570" customWidth="1"/>
    <col min="14594" max="14594" width="11.28515625" style="570" customWidth="1"/>
    <col min="14595" max="14595" width="11" style="570" customWidth="1"/>
    <col min="14596" max="14596" width="13.140625" style="570" customWidth="1"/>
    <col min="14597" max="14597" width="11.7109375" style="570" customWidth="1"/>
    <col min="14598" max="14598" width="11.140625" style="570" customWidth="1"/>
    <col min="14599" max="14599" width="11.7109375" style="570" customWidth="1"/>
    <col min="14600" max="14845" width="9.140625" style="570"/>
    <col min="14846" max="14846" width="5.28515625" style="570" customWidth="1"/>
    <col min="14847" max="14847" width="8" style="570" customWidth="1"/>
    <col min="14848" max="14848" width="5.85546875" style="570" customWidth="1"/>
    <col min="14849" max="14849" width="9.42578125" style="570" customWidth="1"/>
    <col min="14850" max="14850" width="11.28515625" style="570" customWidth="1"/>
    <col min="14851" max="14851" width="11" style="570" customWidth="1"/>
    <col min="14852" max="14852" width="13.140625" style="570" customWidth="1"/>
    <col min="14853" max="14853" width="11.7109375" style="570" customWidth="1"/>
    <col min="14854" max="14854" width="11.140625" style="570" customWidth="1"/>
    <col min="14855" max="14855" width="11.7109375" style="570" customWidth="1"/>
    <col min="14856" max="15101" width="9.140625" style="570"/>
    <col min="15102" max="15102" width="5.28515625" style="570" customWidth="1"/>
    <col min="15103" max="15103" width="8" style="570" customWidth="1"/>
    <col min="15104" max="15104" width="5.85546875" style="570" customWidth="1"/>
    <col min="15105" max="15105" width="9.42578125" style="570" customWidth="1"/>
    <col min="15106" max="15106" width="11.28515625" style="570" customWidth="1"/>
    <col min="15107" max="15107" width="11" style="570" customWidth="1"/>
    <col min="15108" max="15108" width="13.140625" style="570" customWidth="1"/>
    <col min="15109" max="15109" width="11.7109375" style="570" customWidth="1"/>
    <col min="15110" max="15110" width="11.140625" style="570" customWidth="1"/>
    <col min="15111" max="15111" width="11.7109375" style="570" customWidth="1"/>
    <col min="15112" max="15357" width="9.140625" style="570"/>
    <col min="15358" max="15358" width="5.28515625" style="570" customWidth="1"/>
    <col min="15359" max="15359" width="8" style="570" customWidth="1"/>
    <col min="15360" max="15360" width="5.85546875" style="570" customWidth="1"/>
    <col min="15361" max="15361" width="9.42578125" style="570" customWidth="1"/>
    <col min="15362" max="15362" width="11.28515625" style="570" customWidth="1"/>
    <col min="15363" max="15363" width="11" style="570" customWidth="1"/>
    <col min="15364" max="15364" width="13.140625" style="570" customWidth="1"/>
    <col min="15365" max="15365" width="11.7109375" style="570" customWidth="1"/>
    <col min="15366" max="15366" width="11.140625" style="570" customWidth="1"/>
    <col min="15367" max="15367" width="11.7109375" style="570" customWidth="1"/>
    <col min="15368" max="15613" width="9.140625" style="570"/>
    <col min="15614" max="15614" width="5.28515625" style="570" customWidth="1"/>
    <col min="15615" max="15615" width="8" style="570" customWidth="1"/>
    <col min="15616" max="15616" width="5.85546875" style="570" customWidth="1"/>
    <col min="15617" max="15617" width="9.42578125" style="570" customWidth="1"/>
    <col min="15618" max="15618" width="11.28515625" style="570" customWidth="1"/>
    <col min="15619" max="15619" width="11" style="570" customWidth="1"/>
    <col min="15620" max="15620" width="13.140625" style="570" customWidth="1"/>
    <col min="15621" max="15621" width="11.7109375" style="570" customWidth="1"/>
    <col min="15622" max="15622" width="11.140625" style="570" customWidth="1"/>
    <col min="15623" max="15623" width="11.7109375" style="570" customWidth="1"/>
    <col min="15624" max="15869" width="9.140625" style="570"/>
    <col min="15870" max="15870" width="5.28515625" style="570" customWidth="1"/>
    <col min="15871" max="15871" width="8" style="570" customWidth="1"/>
    <col min="15872" max="15872" width="5.85546875" style="570" customWidth="1"/>
    <col min="15873" max="15873" width="9.42578125" style="570" customWidth="1"/>
    <col min="15874" max="15874" width="11.28515625" style="570" customWidth="1"/>
    <col min="15875" max="15875" width="11" style="570" customWidth="1"/>
    <col min="15876" max="15876" width="13.140625" style="570" customWidth="1"/>
    <col min="15877" max="15877" width="11.7109375" style="570" customWidth="1"/>
    <col min="15878" max="15878" width="11.140625" style="570" customWidth="1"/>
    <col min="15879" max="15879" width="11.7109375" style="570" customWidth="1"/>
    <col min="15880" max="16125" width="9.140625" style="570"/>
    <col min="16126" max="16126" width="5.28515625" style="570" customWidth="1"/>
    <col min="16127" max="16127" width="8" style="570" customWidth="1"/>
    <col min="16128" max="16128" width="5.85546875" style="570" customWidth="1"/>
    <col min="16129" max="16129" width="9.42578125" style="570" customWidth="1"/>
    <col min="16130" max="16130" width="11.28515625" style="570" customWidth="1"/>
    <col min="16131" max="16131" width="11" style="570" customWidth="1"/>
    <col min="16132" max="16132" width="13.140625" style="570" customWidth="1"/>
    <col min="16133" max="16133" width="11.7109375" style="570" customWidth="1"/>
    <col min="16134" max="16134" width="11.140625" style="570" customWidth="1"/>
    <col min="16135" max="16135" width="11.7109375" style="570" customWidth="1"/>
    <col min="16136" max="16384" width="9.140625" style="570"/>
  </cols>
  <sheetData>
    <row r="1" spans="1:72" ht="12.75" customHeight="1" x14ac:dyDescent="0.25">
      <c r="A1" s="470"/>
      <c r="F1" s="326" t="s">
        <v>540</v>
      </c>
    </row>
    <row r="2" spans="1:72" ht="12.75" customHeight="1" x14ac:dyDescent="0.25">
      <c r="F2" s="329" t="s">
        <v>336</v>
      </c>
    </row>
    <row r="3" spans="1:72" ht="12.75" customHeight="1" x14ac:dyDescent="0.25">
      <c r="F3" s="329" t="s">
        <v>16</v>
      </c>
    </row>
    <row r="4" spans="1:72" ht="12.75" customHeight="1" x14ac:dyDescent="0.25">
      <c r="F4" s="329" t="s">
        <v>337</v>
      </c>
    </row>
    <row r="5" spans="1:72" ht="12.75" customHeight="1" x14ac:dyDescent="0.25"/>
    <row r="6" spans="1:72" ht="12.75" customHeight="1" x14ac:dyDescent="0.25"/>
    <row r="7" spans="1:72" ht="26.25" customHeight="1" x14ac:dyDescent="0.25">
      <c r="A7" s="60" t="s">
        <v>541</v>
      </c>
      <c r="B7" s="60"/>
      <c r="C7" s="60"/>
      <c r="D7" s="60"/>
      <c r="E7" s="60"/>
      <c r="F7" s="60"/>
      <c r="G7" s="60"/>
      <c r="J7" s="1"/>
    </row>
    <row r="8" spans="1:72" ht="12.75" customHeight="1" x14ac:dyDescent="0.25">
      <c r="A8" s="471"/>
      <c r="B8" s="472"/>
      <c r="C8" s="472"/>
      <c r="D8" s="472"/>
      <c r="E8" s="472"/>
      <c r="F8" s="472"/>
      <c r="G8" s="472"/>
      <c r="J8" s="1"/>
    </row>
    <row r="9" spans="1:72" ht="30.75" customHeight="1" x14ac:dyDescent="0.25">
      <c r="G9" s="473" t="s">
        <v>1</v>
      </c>
    </row>
    <row r="10" spans="1:72" s="477" customFormat="1" ht="36.75" customHeight="1" x14ac:dyDescent="0.2">
      <c r="A10" s="474" t="s">
        <v>40</v>
      </c>
      <c r="B10" s="474" t="s">
        <v>429</v>
      </c>
      <c r="C10" s="474" t="s">
        <v>542</v>
      </c>
      <c r="D10" s="474" t="s">
        <v>351</v>
      </c>
      <c r="E10" s="475" t="s">
        <v>5</v>
      </c>
      <c r="F10" s="475" t="s">
        <v>543</v>
      </c>
      <c r="G10" s="475" t="s">
        <v>544</v>
      </c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6"/>
      <c r="BB10" s="476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  <c r="BO10" s="476"/>
      <c r="BP10" s="476"/>
      <c r="BQ10" s="476"/>
      <c r="BR10" s="476"/>
      <c r="BS10" s="476"/>
      <c r="BT10" s="476"/>
    </row>
    <row r="11" spans="1:72" s="480" customFormat="1" ht="10.5" customHeight="1" x14ac:dyDescent="0.2">
      <c r="A11" s="478">
        <v>1</v>
      </c>
      <c r="B11" s="478">
        <v>2</v>
      </c>
      <c r="C11" s="478">
        <v>3</v>
      </c>
      <c r="D11" s="478">
        <v>4</v>
      </c>
      <c r="E11" s="478">
        <v>5</v>
      </c>
      <c r="F11" s="478">
        <v>6</v>
      </c>
      <c r="G11" s="478">
        <v>7</v>
      </c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</row>
    <row r="12" spans="1:72" s="470" customFormat="1" ht="16.5" customHeight="1" x14ac:dyDescent="0.2">
      <c r="A12" s="481"/>
      <c r="B12" s="482"/>
      <c r="C12" s="483"/>
      <c r="D12" s="483"/>
      <c r="E12" s="484" t="s">
        <v>545</v>
      </c>
      <c r="F12" s="485">
        <v>5000000</v>
      </c>
      <c r="G12" s="486" t="s">
        <v>377</v>
      </c>
      <c r="H12" s="487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</row>
    <row r="13" spans="1:72" s="477" customFormat="1" ht="50.25" customHeight="1" x14ac:dyDescent="0.2">
      <c r="A13" s="488" t="s">
        <v>44</v>
      </c>
      <c r="B13" s="489" t="s">
        <v>546</v>
      </c>
      <c r="C13" s="490" t="s">
        <v>547</v>
      </c>
      <c r="D13" s="490" t="s">
        <v>548</v>
      </c>
      <c r="E13" s="491" t="s">
        <v>377</v>
      </c>
      <c r="F13" s="492" t="s">
        <v>377</v>
      </c>
      <c r="G13" s="493">
        <f>SUM(G15:G16)</f>
        <v>7970000</v>
      </c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6"/>
      <c r="AQ13" s="476"/>
      <c r="AR13" s="476"/>
      <c r="AS13" s="476"/>
      <c r="AT13" s="476"/>
      <c r="AU13" s="476"/>
      <c r="AV13" s="476"/>
      <c r="AW13" s="476"/>
      <c r="AX13" s="476"/>
      <c r="AY13" s="476"/>
      <c r="AZ13" s="476"/>
      <c r="BA13" s="476"/>
      <c r="BB13" s="476"/>
      <c r="BC13" s="476"/>
      <c r="BD13" s="476"/>
      <c r="BE13" s="476"/>
      <c r="BF13" s="476"/>
      <c r="BG13" s="476"/>
      <c r="BH13" s="476"/>
      <c r="BI13" s="476"/>
      <c r="BJ13" s="476"/>
      <c r="BK13" s="476"/>
      <c r="BL13" s="476"/>
      <c r="BM13" s="476"/>
      <c r="BN13" s="476"/>
      <c r="BO13" s="476"/>
      <c r="BP13" s="476"/>
      <c r="BQ13" s="476"/>
      <c r="BR13" s="476"/>
      <c r="BS13" s="476"/>
      <c r="BT13" s="476"/>
    </row>
    <row r="14" spans="1:72" s="477" customFormat="1" ht="15.75" customHeight="1" x14ac:dyDescent="0.2">
      <c r="A14" s="481"/>
      <c r="B14" s="577" t="s">
        <v>386</v>
      </c>
      <c r="C14" s="494"/>
      <c r="D14" s="494"/>
      <c r="E14" s="494"/>
      <c r="F14" s="495"/>
      <c r="G14" s="49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6"/>
      <c r="AW14" s="476"/>
      <c r="AX14" s="476"/>
      <c r="AY14" s="476"/>
      <c r="AZ14" s="476"/>
      <c r="BA14" s="476"/>
      <c r="BB14" s="476"/>
      <c r="BC14" s="476"/>
      <c r="BD14" s="476"/>
      <c r="BE14" s="476"/>
      <c r="BF14" s="476"/>
      <c r="BG14" s="476"/>
      <c r="BH14" s="476"/>
      <c r="BI14" s="476"/>
      <c r="BJ14" s="476"/>
      <c r="BK14" s="476"/>
      <c r="BL14" s="476"/>
      <c r="BM14" s="476"/>
      <c r="BN14" s="476"/>
      <c r="BO14" s="476"/>
      <c r="BP14" s="476"/>
      <c r="BQ14" s="476"/>
      <c r="BR14" s="476"/>
      <c r="BS14" s="476"/>
      <c r="BT14" s="476"/>
    </row>
    <row r="15" spans="1:72" s="477" customFormat="1" ht="21.75" customHeight="1" x14ac:dyDescent="0.2">
      <c r="A15" s="481"/>
      <c r="B15" s="578" t="s">
        <v>549</v>
      </c>
      <c r="C15" s="494"/>
      <c r="D15" s="494"/>
      <c r="E15" s="494" t="s">
        <v>545</v>
      </c>
      <c r="F15" s="579" t="s">
        <v>377</v>
      </c>
      <c r="G15" s="580">
        <v>5000000</v>
      </c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6"/>
      <c r="AK15" s="476"/>
      <c r="AL15" s="476"/>
      <c r="AM15" s="476"/>
      <c r="AN15" s="476"/>
      <c r="AO15" s="476"/>
      <c r="AP15" s="476"/>
      <c r="AQ15" s="476"/>
      <c r="AR15" s="476"/>
      <c r="AS15" s="476"/>
      <c r="AT15" s="476"/>
      <c r="AU15" s="476"/>
      <c r="AV15" s="476"/>
      <c r="AW15" s="476"/>
      <c r="AX15" s="476"/>
      <c r="AY15" s="476"/>
      <c r="AZ15" s="476"/>
      <c r="BA15" s="476"/>
      <c r="BB15" s="476"/>
      <c r="BC15" s="476"/>
      <c r="BD15" s="476"/>
      <c r="BE15" s="476"/>
      <c r="BF15" s="476"/>
      <c r="BG15" s="476"/>
      <c r="BH15" s="476"/>
      <c r="BI15" s="476"/>
      <c r="BJ15" s="476"/>
      <c r="BK15" s="476"/>
      <c r="BL15" s="476"/>
      <c r="BM15" s="476"/>
      <c r="BN15" s="476"/>
      <c r="BO15" s="476"/>
      <c r="BP15" s="476"/>
      <c r="BQ15" s="476"/>
      <c r="BR15" s="476"/>
      <c r="BS15" s="476"/>
      <c r="BT15" s="476"/>
    </row>
    <row r="16" spans="1:72" s="470" customFormat="1" ht="15.75" customHeight="1" x14ac:dyDescent="0.2">
      <c r="A16" s="581"/>
      <c r="B16" s="577" t="s">
        <v>550</v>
      </c>
      <c r="C16" s="582"/>
      <c r="D16" s="582"/>
      <c r="E16" s="494" t="s">
        <v>551</v>
      </c>
      <c r="F16" s="579" t="s">
        <v>377</v>
      </c>
      <c r="G16" s="580">
        <f>1000000+1550000+420000</f>
        <v>2970000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</row>
    <row r="17" spans="1:72" s="477" customFormat="1" ht="12" x14ac:dyDescent="0.2">
      <c r="A17" s="497"/>
      <c r="B17" s="498"/>
      <c r="C17" s="499"/>
      <c r="D17" s="499"/>
      <c r="E17" s="499"/>
      <c r="F17" s="500"/>
      <c r="G17" s="500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76"/>
      <c r="AO17" s="476"/>
      <c r="AP17" s="476"/>
      <c r="AQ17" s="476"/>
      <c r="AR17" s="476"/>
      <c r="AS17" s="476"/>
      <c r="AT17" s="476"/>
      <c r="AU17" s="476"/>
      <c r="AV17" s="476"/>
      <c r="AW17" s="476"/>
      <c r="AX17" s="476"/>
      <c r="AY17" s="476"/>
      <c r="AZ17" s="476"/>
      <c r="BA17" s="476"/>
      <c r="BB17" s="476"/>
      <c r="BC17" s="476"/>
      <c r="BD17" s="476"/>
      <c r="BE17" s="476"/>
      <c r="BF17" s="476"/>
      <c r="BG17" s="476"/>
      <c r="BH17" s="476"/>
      <c r="BI17" s="476"/>
      <c r="BJ17" s="476"/>
      <c r="BK17" s="476"/>
      <c r="BL17" s="476"/>
      <c r="BM17" s="476"/>
      <c r="BN17" s="476"/>
      <c r="BO17" s="476"/>
      <c r="BP17" s="476"/>
      <c r="BQ17" s="476"/>
      <c r="BR17" s="476"/>
      <c r="BS17" s="476"/>
      <c r="BT17" s="476"/>
    </row>
    <row r="18" spans="1:72" s="477" customFormat="1" ht="25.5" customHeight="1" x14ac:dyDescent="0.2">
      <c r="A18" s="481"/>
      <c r="B18" s="482"/>
      <c r="C18" s="494"/>
      <c r="D18" s="494"/>
      <c r="E18" s="499" t="s">
        <v>552</v>
      </c>
      <c r="F18" s="501">
        <f>5500000-5500000</f>
        <v>0</v>
      </c>
      <c r="G18" s="502" t="s">
        <v>377</v>
      </c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76"/>
      <c r="AO18" s="476"/>
      <c r="AP18" s="476"/>
      <c r="AQ18" s="476"/>
      <c r="AR18" s="476"/>
      <c r="AS18" s="476"/>
      <c r="AT18" s="476"/>
      <c r="AU18" s="476"/>
      <c r="AV18" s="476"/>
      <c r="AW18" s="476"/>
      <c r="AX18" s="476"/>
      <c r="AY18" s="476"/>
      <c r="AZ18" s="476"/>
      <c r="BA18" s="476"/>
      <c r="BB18" s="476"/>
      <c r="BC18" s="476"/>
      <c r="BD18" s="476"/>
      <c r="BE18" s="476"/>
      <c r="BF18" s="476"/>
      <c r="BG18" s="476"/>
      <c r="BH18" s="476"/>
      <c r="BI18" s="476"/>
      <c r="BJ18" s="476"/>
      <c r="BK18" s="476"/>
      <c r="BL18" s="476"/>
      <c r="BM18" s="476"/>
      <c r="BN18" s="476"/>
      <c r="BO18" s="476"/>
      <c r="BP18" s="476"/>
      <c r="BQ18" s="476"/>
      <c r="BR18" s="476"/>
      <c r="BS18" s="476"/>
      <c r="BT18" s="476"/>
    </row>
    <row r="19" spans="1:72" s="477" customFormat="1" ht="41.25" customHeight="1" x14ac:dyDescent="0.2">
      <c r="A19" s="488" t="s">
        <v>46</v>
      </c>
      <c r="B19" s="489" t="s">
        <v>553</v>
      </c>
      <c r="C19" s="490" t="s">
        <v>547</v>
      </c>
      <c r="D19" s="490" t="s">
        <v>554</v>
      </c>
      <c r="E19" s="491" t="s">
        <v>377</v>
      </c>
      <c r="F19" s="492" t="s">
        <v>377</v>
      </c>
      <c r="G19" s="503">
        <f>SUM(G20:G20)</f>
        <v>4532000</v>
      </c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76"/>
      <c r="AZ19" s="476"/>
      <c r="BA19" s="476"/>
      <c r="BB19" s="476"/>
      <c r="BC19" s="476"/>
      <c r="BD19" s="476"/>
      <c r="BE19" s="476"/>
      <c r="BF19" s="476"/>
      <c r="BG19" s="476"/>
      <c r="BH19" s="476"/>
      <c r="BI19" s="476"/>
      <c r="BJ19" s="476"/>
      <c r="BK19" s="476"/>
      <c r="BL19" s="476"/>
      <c r="BM19" s="476"/>
      <c r="BN19" s="476"/>
      <c r="BO19" s="476"/>
      <c r="BP19" s="476"/>
      <c r="BQ19" s="476"/>
      <c r="BR19" s="476"/>
      <c r="BS19" s="476"/>
      <c r="BT19" s="476"/>
    </row>
    <row r="20" spans="1:72" s="477" customFormat="1" ht="15.75" customHeight="1" x14ac:dyDescent="0.2">
      <c r="A20" s="481"/>
      <c r="B20" s="577" t="s">
        <v>386</v>
      </c>
      <c r="C20" s="494"/>
      <c r="D20" s="494"/>
      <c r="E20" s="494" t="s">
        <v>551</v>
      </c>
      <c r="F20" s="495" t="s">
        <v>377</v>
      </c>
      <c r="G20" s="496">
        <f>6000000+4000000+32000-5500000</f>
        <v>4532000</v>
      </c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76"/>
      <c r="AZ20" s="476"/>
      <c r="BA20" s="476"/>
      <c r="BB20" s="476"/>
      <c r="BC20" s="476"/>
      <c r="BD20" s="476"/>
      <c r="BE20" s="476"/>
      <c r="BF20" s="476"/>
      <c r="BG20" s="476"/>
      <c r="BH20" s="476"/>
      <c r="BI20" s="476"/>
      <c r="BJ20" s="476"/>
      <c r="BK20" s="476"/>
      <c r="BL20" s="476"/>
      <c r="BM20" s="476"/>
      <c r="BN20" s="476"/>
      <c r="BO20" s="476"/>
      <c r="BP20" s="476"/>
      <c r="BQ20" s="476"/>
      <c r="BR20" s="476"/>
      <c r="BS20" s="476"/>
      <c r="BT20" s="476"/>
    </row>
    <row r="21" spans="1:72" s="470" customFormat="1" ht="15.75" customHeight="1" x14ac:dyDescent="0.2">
      <c r="A21" s="581"/>
      <c r="B21" s="577" t="s">
        <v>550</v>
      </c>
      <c r="C21" s="583"/>
      <c r="D21" s="582"/>
      <c r="E21" s="582"/>
      <c r="F21" s="579"/>
      <c r="G21" s="580">
        <f>500000+4000000+32000</f>
        <v>4532000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</row>
    <row r="22" spans="1:72" s="470" customFormat="1" ht="15.75" customHeight="1" x14ac:dyDescent="0.2">
      <c r="A22" s="584"/>
      <c r="B22" s="585"/>
      <c r="C22" s="586"/>
      <c r="D22" s="587"/>
      <c r="E22" s="587"/>
      <c r="F22" s="588"/>
      <c r="G22" s="589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</row>
    <row r="23" spans="1:72" s="470" customFormat="1" ht="15.75" customHeight="1" x14ac:dyDescent="0.2">
      <c r="A23" s="481"/>
      <c r="B23" s="482"/>
      <c r="C23" s="494"/>
      <c r="D23" s="494"/>
      <c r="E23" s="499" t="s">
        <v>555</v>
      </c>
      <c r="F23" s="501">
        <f>43880+9254</f>
        <v>53134</v>
      </c>
      <c r="G23" s="502" t="s">
        <v>377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</row>
    <row r="24" spans="1:72" s="470" customFormat="1" ht="34.5" customHeight="1" x14ac:dyDescent="0.2">
      <c r="A24" s="488" t="s">
        <v>48</v>
      </c>
      <c r="B24" s="504" t="s">
        <v>556</v>
      </c>
      <c r="C24" s="494" t="s">
        <v>267</v>
      </c>
      <c r="D24" s="494" t="s">
        <v>557</v>
      </c>
      <c r="E24" s="484" t="s">
        <v>377</v>
      </c>
      <c r="F24" s="486" t="s">
        <v>377</v>
      </c>
      <c r="G24" s="485">
        <f>SUM(G27,G34)</f>
        <v>53134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</row>
    <row r="25" spans="1:72" s="470" customFormat="1" ht="9" customHeight="1" x14ac:dyDescent="0.2">
      <c r="A25" s="481"/>
      <c r="B25" s="505"/>
      <c r="C25" s="494"/>
      <c r="D25" s="494"/>
      <c r="E25" s="494"/>
      <c r="F25" s="495"/>
      <c r="G25" s="590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</row>
    <row r="26" spans="1:72" s="470" customFormat="1" ht="15.75" customHeight="1" x14ac:dyDescent="0.2">
      <c r="A26" s="481"/>
      <c r="B26" s="591" t="s">
        <v>558</v>
      </c>
      <c r="C26" s="494"/>
      <c r="D26" s="494"/>
      <c r="E26" s="494"/>
      <c r="F26" s="495"/>
      <c r="G26" s="590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</row>
    <row r="27" spans="1:72" s="470" customFormat="1" ht="15.75" customHeight="1" x14ac:dyDescent="0.2">
      <c r="A27" s="481"/>
      <c r="B27" s="482" t="s">
        <v>559</v>
      </c>
      <c r="C27" s="494"/>
      <c r="D27" s="494"/>
      <c r="E27" s="494"/>
      <c r="F27" s="495"/>
      <c r="G27" s="590">
        <f>SUM(G28:G32)</f>
        <v>35796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</row>
    <row r="28" spans="1:72" s="470" customFormat="1" ht="15.75" customHeight="1" x14ac:dyDescent="0.2">
      <c r="A28" s="481"/>
      <c r="B28" s="482"/>
      <c r="C28" s="494"/>
      <c r="D28" s="494"/>
      <c r="E28" s="494" t="s">
        <v>560</v>
      </c>
      <c r="F28" s="495" t="s">
        <v>377</v>
      </c>
      <c r="G28" s="496">
        <f>3855+1033</f>
        <v>4888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</row>
    <row r="29" spans="1:72" s="470" customFormat="1" ht="15.75" customHeight="1" x14ac:dyDescent="0.2">
      <c r="A29" s="481"/>
      <c r="B29" s="482"/>
      <c r="C29" s="494"/>
      <c r="D29" s="494"/>
      <c r="E29" s="494" t="s">
        <v>561</v>
      </c>
      <c r="F29" s="495" t="s">
        <v>377</v>
      </c>
      <c r="G29" s="496">
        <f>14147+6863+1078.98</f>
        <v>22088.98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</row>
    <row r="30" spans="1:72" s="470" customFormat="1" ht="15.75" customHeight="1" x14ac:dyDescent="0.2">
      <c r="A30" s="481"/>
      <c r="B30" s="482"/>
      <c r="C30" s="494"/>
      <c r="D30" s="494"/>
      <c r="E30" s="494" t="s">
        <v>562</v>
      </c>
      <c r="F30" s="495" t="s">
        <v>377</v>
      </c>
      <c r="G30" s="496">
        <f>3594+1189-952.74</f>
        <v>3830.26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</row>
    <row r="31" spans="1:72" s="470" customFormat="1" ht="15.75" customHeight="1" x14ac:dyDescent="0.2">
      <c r="A31" s="481"/>
      <c r="B31" s="482"/>
      <c r="C31" s="494"/>
      <c r="D31" s="494"/>
      <c r="E31" s="494" t="s">
        <v>563</v>
      </c>
      <c r="F31" s="495" t="s">
        <v>377</v>
      </c>
      <c r="G31" s="496">
        <f>446+169-126.24</f>
        <v>488.76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</row>
    <row r="32" spans="1:72" s="470" customFormat="1" ht="15.75" customHeight="1" x14ac:dyDescent="0.2">
      <c r="A32" s="481"/>
      <c r="B32" s="482"/>
      <c r="C32" s="494"/>
      <c r="D32" s="494"/>
      <c r="E32" s="494" t="s">
        <v>170</v>
      </c>
      <c r="F32" s="495" t="s">
        <v>377</v>
      </c>
      <c r="G32" s="496">
        <v>4500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</row>
    <row r="33" spans="1:72" s="470" customFormat="1" ht="15.75" customHeight="1" x14ac:dyDescent="0.2">
      <c r="A33" s="481"/>
      <c r="B33" s="591" t="s">
        <v>558</v>
      </c>
      <c r="C33" s="494"/>
      <c r="D33" s="494"/>
      <c r="E33" s="494"/>
      <c r="F33" s="495"/>
      <c r="G33" s="590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</row>
    <row r="34" spans="1:72" s="470" customFormat="1" ht="15.75" customHeight="1" x14ac:dyDescent="0.2">
      <c r="A34" s="481"/>
      <c r="B34" s="482" t="s">
        <v>564</v>
      </c>
      <c r="C34" s="494"/>
      <c r="D34" s="494"/>
      <c r="E34" s="494"/>
      <c r="F34" s="495"/>
      <c r="G34" s="590">
        <f>SUM(G35:G40)</f>
        <v>17338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</row>
    <row r="35" spans="1:72" s="470" customFormat="1" ht="15.75" customHeight="1" x14ac:dyDescent="0.2">
      <c r="A35" s="481"/>
      <c r="B35" s="482"/>
      <c r="C35" s="494"/>
      <c r="D35" s="494"/>
      <c r="E35" s="494" t="s">
        <v>560</v>
      </c>
      <c r="F35" s="495" t="s">
        <v>377</v>
      </c>
      <c r="G35" s="496">
        <v>771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</row>
    <row r="36" spans="1:72" s="470" customFormat="1" ht="15.75" customHeight="1" x14ac:dyDescent="0.2">
      <c r="A36" s="481"/>
      <c r="B36" s="482"/>
      <c r="C36" s="494"/>
      <c r="D36" s="494"/>
      <c r="E36" s="494" t="s">
        <v>561</v>
      </c>
      <c r="F36" s="495" t="s">
        <v>377</v>
      </c>
      <c r="G36" s="496">
        <v>9672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</row>
    <row r="37" spans="1:72" s="470" customFormat="1" ht="15.75" customHeight="1" x14ac:dyDescent="0.2">
      <c r="A37" s="481"/>
      <c r="B37" s="482"/>
      <c r="C37" s="494"/>
      <c r="D37" s="494"/>
      <c r="E37" s="494" t="s">
        <v>562</v>
      </c>
      <c r="F37" s="495" t="s">
        <v>377</v>
      </c>
      <c r="G37" s="496">
        <v>1666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</row>
    <row r="38" spans="1:72" s="470" customFormat="1" ht="15.75" customHeight="1" x14ac:dyDescent="0.2">
      <c r="A38" s="481"/>
      <c r="B38" s="482"/>
      <c r="C38" s="494"/>
      <c r="D38" s="494"/>
      <c r="E38" s="494" t="s">
        <v>563</v>
      </c>
      <c r="F38" s="495" t="s">
        <v>377</v>
      </c>
      <c r="G38" s="496">
        <f>236-1</f>
        <v>235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</row>
    <row r="39" spans="1:72" s="470" customFormat="1" ht="15.75" customHeight="1" x14ac:dyDescent="0.2">
      <c r="A39" s="481"/>
      <c r="B39" s="482"/>
      <c r="C39" s="494"/>
      <c r="D39" s="494"/>
      <c r="E39" s="494" t="s">
        <v>170</v>
      </c>
      <c r="F39" s="495" t="s">
        <v>377</v>
      </c>
      <c r="G39" s="496">
        <v>1815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</row>
    <row r="40" spans="1:72" s="470" customFormat="1" ht="15.75" customHeight="1" x14ac:dyDescent="0.2">
      <c r="A40" s="481"/>
      <c r="B40" s="482"/>
      <c r="C40" s="506"/>
      <c r="D40" s="494"/>
      <c r="E40" s="494" t="s">
        <v>565</v>
      </c>
      <c r="F40" s="495" t="s">
        <v>377</v>
      </c>
      <c r="G40" s="496">
        <f>3178+1</f>
        <v>3179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</row>
    <row r="41" spans="1:72" s="470" customFormat="1" ht="15.75" customHeight="1" x14ac:dyDescent="0.2">
      <c r="A41" s="497"/>
      <c r="B41" s="498"/>
      <c r="C41" s="507"/>
      <c r="D41" s="499"/>
      <c r="E41" s="499"/>
      <c r="F41" s="502"/>
      <c r="G41" s="500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</row>
    <row r="42" spans="1:72" s="470" customFormat="1" ht="15.75" customHeight="1" x14ac:dyDescent="0.2">
      <c r="A42" s="481"/>
      <c r="B42" s="482"/>
      <c r="C42" s="494"/>
      <c r="D42" s="494"/>
      <c r="E42" s="499" t="s">
        <v>555</v>
      </c>
      <c r="F42" s="501">
        <v>245050</v>
      </c>
      <c r="G42" s="502" t="s">
        <v>377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</row>
    <row r="43" spans="1:72" s="470" customFormat="1" ht="21" customHeight="1" x14ac:dyDescent="0.2">
      <c r="A43" s="488" t="s">
        <v>50</v>
      </c>
      <c r="B43" s="508" t="s">
        <v>566</v>
      </c>
      <c r="C43" s="494" t="s">
        <v>267</v>
      </c>
      <c r="D43" s="494" t="s">
        <v>567</v>
      </c>
      <c r="E43" s="484" t="s">
        <v>377</v>
      </c>
      <c r="F43" s="486" t="s">
        <v>377</v>
      </c>
      <c r="G43" s="485">
        <f>SUM(G45)</f>
        <v>245050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</row>
    <row r="44" spans="1:72" s="470" customFormat="1" ht="9.75" customHeight="1" x14ac:dyDescent="0.2">
      <c r="A44" s="481"/>
      <c r="B44" s="505"/>
      <c r="C44" s="494"/>
      <c r="D44" s="494"/>
      <c r="E44" s="494"/>
      <c r="F44" s="495"/>
      <c r="G44" s="590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</row>
    <row r="45" spans="1:72" s="470" customFormat="1" ht="15.75" customHeight="1" x14ac:dyDescent="0.2">
      <c r="A45" s="481"/>
      <c r="B45" s="482" t="s">
        <v>263</v>
      </c>
      <c r="C45" s="494"/>
      <c r="D45" s="494"/>
      <c r="E45" s="494"/>
      <c r="F45" s="495"/>
      <c r="G45" s="590">
        <f>SUM(G46:G52)</f>
        <v>245050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</row>
    <row r="46" spans="1:72" s="470" customFormat="1" ht="15.75" customHeight="1" x14ac:dyDescent="0.2">
      <c r="A46" s="481"/>
      <c r="B46" s="482"/>
      <c r="C46" s="494"/>
      <c r="D46" s="494"/>
      <c r="E46" s="494" t="s">
        <v>561</v>
      </c>
      <c r="F46" s="495" t="s">
        <v>377</v>
      </c>
      <c r="G46" s="496">
        <v>166200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</row>
    <row r="47" spans="1:72" s="470" customFormat="1" ht="15.75" customHeight="1" x14ac:dyDescent="0.2">
      <c r="A47" s="481"/>
      <c r="B47" s="482"/>
      <c r="C47" s="494"/>
      <c r="D47" s="494"/>
      <c r="E47" s="494" t="s">
        <v>562</v>
      </c>
      <c r="F47" s="495" t="s">
        <v>377</v>
      </c>
      <c r="G47" s="496">
        <v>29019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</row>
    <row r="48" spans="1:72" s="470" customFormat="1" ht="15.75" customHeight="1" x14ac:dyDescent="0.2">
      <c r="A48" s="481"/>
      <c r="B48" s="482"/>
      <c r="C48" s="494"/>
      <c r="D48" s="494"/>
      <c r="E48" s="494" t="s">
        <v>563</v>
      </c>
      <c r="F48" s="495" t="s">
        <v>377</v>
      </c>
      <c r="G48" s="496">
        <v>4072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</row>
    <row r="49" spans="1:72" s="470" customFormat="1" ht="15.75" customHeight="1" x14ac:dyDescent="0.2">
      <c r="A49" s="481"/>
      <c r="B49" s="482"/>
      <c r="C49" s="494"/>
      <c r="D49" s="494"/>
      <c r="E49" s="494" t="s">
        <v>170</v>
      </c>
      <c r="F49" s="495" t="s">
        <v>377</v>
      </c>
      <c r="G49" s="496">
        <v>5000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</row>
    <row r="50" spans="1:72" s="470" customFormat="1" ht="15.75" customHeight="1" x14ac:dyDescent="0.2">
      <c r="A50" s="481"/>
      <c r="B50" s="482"/>
      <c r="C50" s="494"/>
      <c r="D50" s="494"/>
      <c r="E50" s="494" t="s">
        <v>568</v>
      </c>
      <c r="F50" s="495" t="s">
        <v>377</v>
      </c>
      <c r="G50" s="496">
        <v>10000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</row>
    <row r="51" spans="1:72" s="470" customFormat="1" ht="15.75" customHeight="1" x14ac:dyDescent="0.2">
      <c r="A51" s="481"/>
      <c r="B51" s="482"/>
      <c r="C51" s="506"/>
      <c r="D51" s="494"/>
      <c r="E51" s="494" t="s">
        <v>569</v>
      </c>
      <c r="F51" s="495" t="s">
        <v>377</v>
      </c>
      <c r="G51" s="496">
        <v>30050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</row>
    <row r="52" spans="1:72" s="470" customFormat="1" ht="15.75" customHeight="1" x14ac:dyDescent="0.2">
      <c r="A52" s="481"/>
      <c r="B52" s="482"/>
      <c r="C52" s="506"/>
      <c r="D52" s="494"/>
      <c r="E52" s="494" t="s">
        <v>570</v>
      </c>
      <c r="F52" s="495" t="s">
        <v>377</v>
      </c>
      <c r="G52" s="496">
        <v>709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</row>
    <row r="53" spans="1:72" s="470" customFormat="1" ht="9.75" customHeight="1" x14ac:dyDescent="0.2">
      <c r="A53" s="497"/>
      <c r="B53" s="498"/>
      <c r="C53" s="507"/>
      <c r="D53" s="499"/>
      <c r="E53" s="499"/>
      <c r="F53" s="502"/>
      <c r="G53" s="500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</row>
    <row r="54" spans="1:72" s="470" customFormat="1" ht="24.75" customHeight="1" x14ac:dyDescent="0.2">
      <c r="A54" s="481"/>
      <c r="B54" s="482"/>
      <c r="C54" s="494"/>
      <c r="D54" s="494"/>
      <c r="E54" s="499" t="s">
        <v>555</v>
      </c>
      <c r="F54" s="501">
        <f>7863580.13+1481456.48+2322252.16</f>
        <v>11667288.77</v>
      </c>
      <c r="G54" s="502" t="s">
        <v>377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</row>
    <row r="55" spans="1:72" s="470" customFormat="1" ht="15.75" customHeight="1" x14ac:dyDescent="0.2">
      <c r="A55" s="488" t="s">
        <v>52</v>
      </c>
      <c r="B55" s="508" t="s">
        <v>571</v>
      </c>
      <c r="C55" s="494" t="s">
        <v>572</v>
      </c>
      <c r="D55" s="494" t="s">
        <v>573</v>
      </c>
      <c r="E55" s="484" t="s">
        <v>377</v>
      </c>
      <c r="F55" s="486" t="s">
        <v>377</v>
      </c>
      <c r="G55" s="485">
        <f>SUM(G57)</f>
        <v>11667288.77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</row>
    <row r="56" spans="1:72" s="470" customFormat="1" ht="15.75" customHeight="1" x14ac:dyDescent="0.2">
      <c r="A56" s="481"/>
      <c r="B56" s="505"/>
      <c r="C56" s="494"/>
      <c r="D56" s="494"/>
      <c r="E56" s="494"/>
      <c r="F56" s="495"/>
      <c r="G56" s="590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</row>
    <row r="57" spans="1:72" s="470" customFormat="1" ht="15.75" customHeight="1" x14ac:dyDescent="0.2">
      <c r="A57" s="481"/>
      <c r="B57" s="482" t="s">
        <v>263</v>
      </c>
      <c r="C57" s="494"/>
      <c r="D57" s="494"/>
      <c r="E57" s="494"/>
      <c r="F57" s="495"/>
      <c r="G57" s="590">
        <f>SUM(G58:G65)</f>
        <v>11667288.77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</row>
    <row r="58" spans="1:72" s="470" customFormat="1" ht="15.75" customHeight="1" x14ac:dyDescent="0.2">
      <c r="A58" s="481"/>
      <c r="B58" s="482"/>
      <c r="C58" s="494"/>
      <c r="D58" s="494"/>
      <c r="E58" s="494" t="s">
        <v>574</v>
      </c>
      <c r="F58" s="495" t="s">
        <v>377</v>
      </c>
      <c r="G58" s="496">
        <f>7863580.13-154187.85+1452408.31+2276717.81</f>
        <v>11438518.4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</row>
    <row r="59" spans="1:72" s="470" customFormat="1" ht="15.75" customHeight="1" x14ac:dyDescent="0.2">
      <c r="A59" s="481"/>
      <c r="B59" s="482"/>
      <c r="C59" s="506"/>
      <c r="D59" s="494"/>
      <c r="E59" s="494" t="s">
        <v>561</v>
      </c>
      <c r="F59" s="495" t="s">
        <v>377</v>
      </c>
      <c r="G59" s="496">
        <f>66855.85+16965.17+26588.35</f>
        <v>110409.37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</row>
    <row r="60" spans="1:72" s="470" customFormat="1" ht="15.75" customHeight="1" x14ac:dyDescent="0.2">
      <c r="A60" s="481"/>
      <c r="B60" s="482"/>
      <c r="C60" s="506"/>
      <c r="D60" s="494"/>
      <c r="E60" s="494" t="s">
        <v>562</v>
      </c>
      <c r="F60" s="495" t="s">
        <v>377</v>
      </c>
      <c r="G60" s="496">
        <f>20156+4230+6630</f>
        <v>31016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</row>
    <row r="61" spans="1:72" s="470" customFormat="1" ht="15.75" customHeight="1" x14ac:dyDescent="0.2">
      <c r="A61" s="481"/>
      <c r="B61" s="482"/>
      <c r="C61" s="506"/>
      <c r="D61" s="494"/>
      <c r="E61" s="494" t="s">
        <v>563</v>
      </c>
      <c r="F61" s="495" t="s">
        <v>377</v>
      </c>
      <c r="G61" s="496">
        <f>2829+593+931</f>
        <v>4353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</row>
    <row r="62" spans="1:72" s="470" customFormat="1" ht="15.75" customHeight="1" x14ac:dyDescent="0.2">
      <c r="A62" s="481"/>
      <c r="B62" s="482"/>
      <c r="C62" s="506"/>
      <c r="D62" s="494"/>
      <c r="E62" s="494" t="s">
        <v>31</v>
      </c>
      <c r="F62" s="495" t="s">
        <v>377</v>
      </c>
      <c r="G62" s="496">
        <f>50230+7260+11385</f>
        <v>68875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</row>
    <row r="63" spans="1:72" s="470" customFormat="1" ht="15.75" customHeight="1" x14ac:dyDescent="0.2">
      <c r="A63" s="481"/>
      <c r="B63" s="482"/>
      <c r="C63" s="506"/>
      <c r="D63" s="494"/>
      <c r="E63" s="494" t="s">
        <v>170</v>
      </c>
      <c r="F63" s="495" t="s">
        <v>377</v>
      </c>
      <c r="G63" s="496">
        <v>12828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</row>
    <row r="64" spans="1:72" s="470" customFormat="1" ht="15.75" customHeight="1" x14ac:dyDescent="0.2">
      <c r="A64" s="481"/>
      <c r="B64" s="482"/>
      <c r="C64" s="506"/>
      <c r="D64" s="494"/>
      <c r="E64" s="494" t="s">
        <v>575</v>
      </c>
      <c r="F64" s="495" t="s">
        <v>377</v>
      </c>
      <c r="G64" s="496">
        <v>989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</row>
    <row r="65" spans="1:72" s="470" customFormat="1" ht="15.75" customHeight="1" x14ac:dyDescent="0.2">
      <c r="A65" s="481"/>
      <c r="B65" s="482"/>
      <c r="C65" s="506"/>
      <c r="D65" s="494"/>
      <c r="E65" s="494" t="s">
        <v>570</v>
      </c>
      <c r="F65" s="495" t="s">
        <v>377</v>
      </c>
      <c r="G65" s="496">
        <v>300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</row>
    <row r="66" spans="1:72" s="470" customFormat="1" ht="15.75" customHeight="1" x14ac:dyDescent="0.2">
      <c r="A66" s="497"/>
      <c r="B66" s="498"/>
      <c r="C66" s="507"/>
      <c r="D66" s="499"/>
      <c r="E66" s="499"/>
      <c r="F66" s="502"/>
      <c r="G66" s="500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</row>
    <row r="67" spans="1:72" s="470" customFormat="1" ht="22.5" customHeight="1" x14ac:dyDescent="0.2">
      <c r="A67" s="481"/>
      <c r="B67" s="482"/>
      <c r="C67" s="494"/>
      <c r="D67" s="494"/>
      <c r="E67" s="499" t="s">
        <v>555</v>
      </c>
      <c r="F67" s="501">
        <f>5100000</f>
        <v>5100000</v>
      </c>
      <c r="G67" s="502" t="s">
        <v>377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</row>
    <row r="68" spans="1:72" s="470" customFormat="1" ht="28.5" customHeight="1" x14ac:dyDescent="0.2">
      <c r="A68" s="488" t="s">
        <v>54</v>
      </c>
      <c r="B68" s="508" t="s">
        <v>576</v>
      </c>
      <c r="C68" s="494" t="s">
        <v>572</v>
      </c>
      <c r="D68" s="494" t="s">
        <v>573</v>
      </c>
      <c r="E68" s="484" t="s">
        <v>377</v>
      </c>
      <c r="F68" s="486" t="s">
        <v>377</v>
      </c>
      <c r="G68" s="485">
        <f>SUM(G70)</f>
        <v>5100000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</row>
    <row r="69" spans="1:72" s="470" customFormat="1" ht="15.75" customHeight="1" x14ac:dyDescent="0.2">
      <c r="A69" s="481"/>
      <c r="B69" s="505"/>
      <c r="C69" s="494"/>
      <c r="D69" s="494"/>
      <c r="E69" s="494"/>
      <c r="F69" s="495"/>
      <c r="G69" s="590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</row>
    <row r="70" spans="1:72" s="470" customFormat="1" ht="15.75" customHeight="1" x14ac:dyDescent="0.2">
      <c r="A70" s="481"/>
      <c r="B70" s="482" t="s">
        <v>263</v>
      </c>
      <c r="C70" s="494"/>
      <c r="D70" s="494"/>
      <c r="E70" s="494"/>
      <c r="F70" s="495"/>
      <c r="G70" s="590">
        <f>SUM(G71:G79)</f>
        <v>5100000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</row>
    <row r="71" spans="1:72" s="470" customFormat="1" ht="15.75" customHeight="1" x14ac:dyDescent="0.2">
      <c r="A71" s="481"/>
      <c r="B71" s="482"/>
      <c r="C71" s="494"/>
      <c r="D71" s="494"/>
      <c r="E71" s="494" t="s">
        <v>574</v>
      </c>
      <c r="F71" s="495" t="s">
        <v>377</v>
      </c>
      <c r="G71" s="496">
        <f>4400000</f>
        <v>4400000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</row>
    <row r="72" spans="1:72" s="470" customFormat="1" ht="15.75" customHeight="1" x14ac:dyDescent="0.2">
      <c r="A72" s="481"/>
      <c r="B72" s="482"/>
      <c r="C72" s="506"/>
      <c r="D72" s="494"/>
      <c r="E72" s="494" t="s">
        <v>561</v>
      </c>
      <c r="F72" s="495" t="s">
        <v>377</v>
      </c>
      <c r="G72" s="496">
        <f>70270</f>
        <v>70270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</row>
    <row r="73" spans="1:72" s="470" customFormat="1" ht="15.75" customHeight="1" x14ac:dyDescent="0.2">
      <c r="A73" s="481"/>
      <c r="B73" s="482"/>
      <c r="C73" s="506"/>
      <c r="D73" s="494"/>
      <c r="E73" s="494" t="s">
        <v>562</v>
      </c>
      <c r="F73" s="495" t="s">
        <v>377</v>
      </c>
      <c r="G73" s="496">
        <f>13794</f>
        <v>13794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</row>
    <row r="74" spans="1:72" s="470" customFormat="1" ht="15.75" customHeight="1" x14ac:dyDescent="0.2">
      <c r="A74" s="481"/>
      <c r="B74" s="482"/>
      <c r="C74" s="506"/>
      <c r="D74" s="494"/>
      <c r="E74" s="494" t="s">
        <v>563</v>
      </c>
      <c r="F74" s="495" t="s">
        <v>377</v>
      </c>
      <c r="G74" s="496">
        <f>1936</f>
        <v>1936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</row>
    <row r="75" spans="1:72" s="470" customFormat="1" ht="15.75" customHeight="1" x14ac:dyDescent="0.2">
      <c r="A75" s="481"/>
      <c r="B75" s="482"/>
      <c r="C75" s="506"/>
      <c r="D75" s="494"/>
      <c r="E75" s="494" t="s">
        <v>31</v>
      </c>
      <c r="F75" s="495" t="s">
        <v>377</v>
      </c>
      <c r="G75" s="496">
        <f>9000</f>
        <v>9000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</row>
    <row r="76" spans="1:72" s="470" customFormat="1" ht="15.75" customHeight="1" x14ac:dyDescent="0.2">
      <c r="A76" s="481"/>
      <c r="B76" s="482"/>
      <c r="C76" s="506"/>
      <c r="D76" s="494"/>
      <c r="E76" s="494" t="s">
        <v>170</v>
      </c>
      <c r="F76" s="495" t="s">
        <v>377</v>
      </c>
      <c r="G76" s="496">
        <f>3500</f>
        <v>3500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</row>
    <row r="77" spans="1:72" s="470" customFormat="1" ht="15.75" customHeight="1" x14ac:dyDescent="0.2">
      <c r="A77" s="481"/>
      <c r="B77" s="482"/>
      <c r="C77" s="506"/>
      <c r="D77" s="494"/>
      <c r="E77" s="494" t="s">
        <v>577</v>
      </c>
      <c r="F77" s="495" t="s">
        <v>377</v>
      </c>
      <c r="G77" s="496">
        <f>600000</f>
        <v>600000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</row>
    <row r="78" spans="1:72" s="470" customFormat="1" ht="15.75" customHeight="1" x14ac:dyDescent="0.2">
      <c r="A78" s="481"/>
      <c r="B78" s="482"/>
      <c r="C78" s="506"/>
      <c r="D78" s="494"/>
      <c r="E78" s="494" t="s">
        <v>575</v>
      </c>
      <c r="F78" s="495" t="s">
        <v>377</v>
      </c>
      <c r="G78" s="496">
        <f>1000</f>
        <v>1000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</row>
    <row r="79" spans="1:72" s="470" customFormat="1" ht="15.75" customHeight="1" x14ac:dyDescent="0.2">
      <c r="A79" s="481"/>
      <c r="B79" s="482"/>
      <c r="C79" s="506"/>
      <c r="D79" s="494"/>
      <c r="E79" s="494" t="s">
        <v>570</v>
      </c>
      <c r="F79" s="495" t="s">
        <v>377</v>
      </c>
      <c r="G79" s="496">
        <f>500</f>
        <v>500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</row>
    <row r="80" spans="1:72" s="477" customFormat="1" ht="12" customHeight="1" x14ac:dyDescent="0.2">
      <c r="A80" s="497"/>
      <c r="B80" s="498"/>
      <c r="C80" s="506"/>
      <c r="D80" s="494"/>
      <c r="E80" s="499"/>
      <c r="F80" s="500"/>
      <c r="G80" s="500"/>
      <c r="H80" s="476"/>
      <c r="I80" s="476"/>
      <c r="J80" s="476"/>
      <c r="K80" s="476"/>
      <c r="L80" s="476"/>
      <c r="M80" s="476"/>
      <c r="N80" s="476"/>
      <c r="O80" s="476"/>
      <c r="P80" s="476"/>
      <c r="Q80" s="476"/>
      <c r="R80" s="476"/>
      <c r="S80" s="476"/>
      <c r="T80" s="476"/>
      <c r="U80" s="476"/>
      <c r="V80" s="476"/>
      <c r="W80" s="476"/>
      <c r="X80" s="476"/>
      <c r="Y80" s="476"/>
      <c r="Z80" s="476"/>
      <c r="AA80" s="476"/>
      <c r="AB80" s="476"/>
      <c r="AC80" s="476"/>
      <c r="AD80" s="476"/>
      <c r="AE80" s="476"/>
      <c r="AF80" s="476"/>
      <c r="AG80" s="476"/>
      <c r="AH80" s="476"/>
      <c r="AI80" s="476"/>
      <c r="AJ80" s="476"/>
      <c r="AK80" s="476"/>
      <c r="AL80" s="476"/>
      <c r="AM80" s="476"/>
      <c r="AN80" s="476"/>
      <c r="AO80" s="476"/>
      <c r="AP80" s="476"/>
      <c r="AQ80" s="476"/>
      <c r="AR80" s="476"/>
      <c r="AS80" s="476"/>
      <c r="AT80" s="476"/>
      <c r="AU80" s="476"/>
      <c r="AV80" s="476"/>
      <c r="AW80" s="476"/>
      <c r="AX80" s="476"/>
      <c r="AY80" s="476"/>
      <c r="AZ80" s="476"/>
      <c r="BA80" s="476"/>
      <c r="BB80" s="476"/>
      <c r="BC80" s="476"/>
      <c r="BD80" s="476"/>
      <c r="BE80" s="476"/>
      <c r="BF80" s="476"/>
      <c r="BG80" s="476"/>
      <c r="BH80" s="476"/>
      <c r="BI80" s="476"/>
      <c r="BJ80" s="476"/>
      <c r="BK80" s="476"/>
      <c r="BL80" s="476"/>
      <c r="BM80" s="476"/>
      <c r="BN80" s="476"/>
      <c r="BO80" s="476"/>
      <c r="BP80" s="476"/>
      <c r="BQ80" s="476"/>
      <c r="BR80" s="476"/>
      <c r="BS80" s="476"/>
      <c r="BT80" s="476"/>
    </row>
    <row r="81" spans="1:16135" s="477" customFormat="1" ht="27" customHeight="1" x14ac:dyDescent="0.2">
      <c r="A81" s="592"/>
      <c r="B81" s="593" t="s">
        <v>533</v>
      </c>
      <c r="C81" s="594"/>
      <c r="D81" s="595"/>
      <c r="E81" s="596"/>
      <c r="F81" s="596">
        <f>SUM(F12,F18,F23,F42,F54,F67)</f>
        <v>22065472.77</v>
      </c>
      <c r="G81" s="596">
        <f>SUM(G13,G19,G24,G43,G55,G68)</f>
        <v>29567472.77</v>
      </c>
      <c r="H81" s="476"/>
      <c r="I81" s="476"/>
      <c r="J81" s="476"/>
      <c r="K81" s="476"/>
      <c r="L81" s="476"/>
      <c r="M81" s="476"/>
      <c r="N81" s="476"/>
      <c r="O81" s="476"/>
      <c r="P81" s="476"/>
      <c r="Q81" s="476"/>
      <c r="R81" s="476"/>
      <c r="S81" s="476"/>
      <c r="T81" s="476"/>
      <c r="U81" s="476"/>
      <c r="V81" s="476"/>
      <c r="W81" s="476"/>
      <c r="X81" s="476"/>
      <c r="Y81" s="476"/>
      <c r="Z81" s="476"/>
      <c r="AA81" s="476"/>
      <c r="AB81" s="476"/>
      <c r="AC81" s="476"/>
      <c r="AD81" s="476"/>
      <c r="AE81" s="476"/>
      <c r="AF81" s="476"/>
      <c r="AG81" s="476"/>
      <c r="AH81" s="476"/>
      <c r="AI81" s="476"/>
      <c r="AJ81" s="476"/>
      <c r="AK81" s="476"/>
      <c r="AL81" s="476"/>
      <c r="AM81" s="476"/>
      <c r="AN81" s="476"/>
      <c r="AO81" s="476"/>
      <c r="AP81" s="476"/>
      <c r="AQ81" s="476"/>
      <c r="AR81" s="476"/>
      <c r="AS81" s="476"/>
      <c r="AT81" s="476"/>
      <c r="AU81" s="476"/>
      <c r="AV81" s="476"/>
      <c r="AW81" s="476"/>
      <c r="AX81" s="476"/>
      <c r="AY81" s="476"/>
      <c r="AZ81" s="476"/>
      <c r="BA81" s="476"/>
      <c r="BB81" s="476"/>
      <c r="BC81" s="476"/>
      <c r="BD81" s="476"/>
      <c r="BE81" s="476"/>
      <c r="BF81" s="476"/>
      <c r="BG81" s="476"/>
      <c r="BH81" s="476"/>
      <c r="BI81" s="476"/>
      <c r="BJ81" s="476"/>
      <c r="BK81" s="476"/>
      <c r="BL81" s="476"/>
      <c r="BM81" s="476"/>
      <c r="BN81" s="476"/>
      <c r="BO81" s="476"/>
      <c r="BP81" s="476"/>
      <c r="BQ81" s="476"/>
      <c r="BR81" s="476"/>
      <c r="BS81" s="476"/>
      <c r="BT81" s="476"/>
    </row>
    <row r="82" spans="1:16135" s="516" customFormat="1" x14ac:dyDescent="0.25">
      <c r="A82" s="570"/>
      <c r="B82" s="570"/>
      <c r="C82" s="570"/>
      <c r="D82" s="570"/>
      <c r="E82" s="570"/>
      <c r="I82" s="65"/>
      <c r="BY82" s="570"/>
      <c r="BZ82" s="570"/>
      <c r="CA82" s="570"/>
      <c r="CB82" s="570"/>
      <c r="CC82" s="570"/>
      <c r="CD82" s="570"/>
      <c r="CE82" s="570"/>
      <c r="CF82" s="570"/>
      <c r="CG82" s="570"/>
      <c r="CH82" s="570"/>
      <c r="CI82" s="570"/>
      <c r="CJ82" s="570"/>
      <c r="CK82" s="570"/>
      <c r="CL82" s="570"/>
      <c r="CM82" s="570"/>
      <c r="CN82" s="570"/>
      <c r="CO82" s="570"/>
      <c r="CP82" s="570"/>
      <c r="CQ82" s="570"/>
      <c r="CR82" s="570"/>
      <c r="CS82" s="570"/>
      <c r="CT82" s="570"/>
      <c r="CU82" s="570"/>
      <c r="CV82" s="570"/>
      <c r="CW82" s="570"/>
      <c r="CX82" s="570"/>
      <c r="CY82" s="570"/>
      <c r="CZ82" s="570"/>
      <c r="DA82" s="570"/>
      <c r="DB82" s="570"/>
      <c r="DC82" s="570"/>
      <c r="DD82" s="570"/>
      <c r="DE82" s="570"/>
      <c r="DF82" s="570"/>
      <c r="DG82" s="570"/>
      <c r="DH82" s="570"/>
      <c r="DI82" s="570"/>
      <c r="DJ82" s="570"/>
      <c r="DK82" s="570"/>
      <c r="DL82" s="570"/>
      <c r="DM82" s="570"/>
      <c r="DN82" s="570"/>
      <c r="DO82" s="570"/>
      <c r="DP82" s="570"/>
      <c r="DQ82" s="570"/>
      <c r="DR82" s="570"/>
      <c r="DS82" s="570"/>
      <c r="DT82" s="570"/>
      <c r="DU82" s="570"/>
      <c r="DV82" s="570"/>
      <c r="DW82" s="570"/>
      <c r="DX82" s="570"/>
      <c r="DY82" s="570"/>
      <c r="DZ82" s="570"/>
      <c r="EA82" s="570"/>
      <c r="EB82" s="570"/>
      <c r="EC82" s="570"/>
      <c r="ED82" s="570"/>
      <c r="EE82" s="570"/>
      <c r="EF82" s="570"/>
      <c r="EG82" s="570"/>
      <c r="EH82" s="570"/>
      <c r="EI82" s="570"/>
      <c r="EJ82" s="570"/>
      <c r="EK82" s="570"/>
      <c r="EL82" s="570"/>
      <c r="EM82" s="570"/>
      <c r="EN82" s="570"/>
      <c r="EO82" s="570"/>
      <c r="EP82" s="570"/>
      <c r="EQ82" s="570"/>
      <c r="ER82" s="570"/>
      <c r="ES82" s="570"/>
      <c r="ET82" s="570"/>
      <c r="EU82" s="570"/>
      <c r="EV82" s="570"/>
      <c r="EW82" s="570"/>
      <c r="EX82" s="570"/>
      <c r="EY82" s="570"/>
      <c r="EZ82" s="570"/>
      <c r="FA82" s="570"/>
      <c r="FB82" s="570"/>
      <c r="FC82" s="570"/>
      <c r="FD82" s="570"/>
      <c r="FE82" s="570"/>
      <c r="FF82" s="570"/>
      <c r="FG82" s="570"/>
      <c r="FH82" s="570"/>
      <c r="FI82" s="570"/>
      <c r="FJ82" s="570"/>
      <c r="FK82" s="570"/>
      <c r="FL82" s="570"/>
      <c r="FM82" s="570"/>
      <c r="FN82" s="570"/>
      <c r="FO82" s="570"/>
      <c r="FP82" s="570"/>
      <c r="FQ82" s="570"/>
      <c r="FR82" s="570"/>
      <c r="FS82" s="570"/>
      <c r="FT82" s="570"/>
      <c r="FU82" s="570"/>
      <c r="FV82" s="570"/>
      <c r="FW82" s="570"/>
      <c r="FX82" s="570"/>
      <c r="FY82" s="570"/>
      <c r="FZ82" s="570"/>
      <c r="GA82" s="570"/>
      <c r="GB82" s="570"/>
      <c r="GC82" s="570"/>
      <c r="GD82" s="570"/>
      <c r="GE82" s="570"/>
      <c r="GF82" s="570"/>
      <c r="GG82" s="570"/>
      <c r="GH82" s="570"/>
      <c r="GI82" s="570"/>
      <c r="GJ82" s="570"/>
      <c r="GK82" s="570"/>
      <c r="GL82" s="570"/>
      <c r="GM82" s="570"/>
      <c r="GN82" s="570"/>
      <c r="GO82" s="570"/>
      <c r="GP82" s="570"/>
      <c r="GQ82" s="570"/>
      <c r="GR82" s="570"/>
      <c r="GS82" s="570"/>
      <c r="GT82" s="570"/>
      <c r="GU82" s="570"/>
      <c r="GV82" s="570"/>
      <c r="GW82" s="570"/>
      <c r="GX82" s="570"/>
      <c r="GY82" s="570"/>
      <c r="GZ82" s="570"/>
      <c r="HA82" s="570"/>
      <c r="HB82" s="570"/>
      <c r="HC82" s="570"/>
      <c r="HD82" s="570"/>
      <c r="HE82" s="570"/>
      <c r="HF82" s="570"/>
      <c r="HG82" s="570"/>
      <c r="HH82" s="570"/>
      <c r="HI82" s="570"/>
      <c r="HJ82" s="570"/>
      <c r="HK82" s="570"/>
      <c r="HL82" s="570"/>
      <c r="HM82" s="570"/>
      <c r="HN82" s="570"/>
      <c r="HO82" s="570"/>
      <c r="HP82" s="570"/>
      <c r="HQ82" s="570"/>
      <c r="HR82" s="570"/>
      <c r="HS82" s="570"/>
      <c r="HT82" s="570"/>
      <c r="HU82" s="570"/>
      <c r="HV82" s="570"/>
      <c r="HW82" s="570"/>
      <c r="HX82" s="570"/>
      <c r="HY82" s="570"/>
      <c r="HZ82" s="570"/>
      <c r="IA82" s="570"/>
      <c r="IB82" s="570"/>
      <c r="IC82" s="570"/>
      <c r="ID82" s="570"/>
      <c r="IE82" s="570"/>
      <c r="IF82" s="570"/>
      <c r="IG82" s="570"/>
      <c r="IH82" s="570"/>
      <c r="II82" s="570"/>
      <c r="IJ82" s="570"/>
      <c r="IK82" s="570"/>
      <c r="IL82" s="570"/>
      <c r="IM82" s="570"/>
      <c r="IN82" s="570"/>
      <c r="IO82" s="570"/>
      <c r="IP82" s="570"/>
      <c r="IQ82" s="570"/>
      <c r="IR82" s="570"/>
      <c r="IS82" s="570"/>
      <c r="IT82" s="570"/>
      <c r="IU82" s="570"/>
      <c r="IV82" s="570"/>
      <c r="IW82" s="570"/>
      <c r="IX82" s="570"/>
      <c r="IY82" s="570"/>
      <c r="IZ82" s="570"/>
      <c r="JA82" s="570"/>
      <c r="JB82" s="570"/>
      <c r="JC82" s="570"/>
      <c r="JD82" s="570"/>
      <c r="JE82" s="570"/>
      <c r="JF82" s="570"/>
      <c r="JG82" s="570"/>
      <c r="JH82" s="570"/>
      <c r="JI82" s="570"/>
      <c r="JJ82" s="570"/>
      <c r="JK82" s="570"/>
      <c r="JL82" s="570"/>
      <c r="JM82" s="570"/>
      <c r="JN82" s="570"/>
      <c r="JO82" s="570"/>
      <c r="JP82" s="570"/>
      <c r="JQ82" s="570"/>
      <c r="JR82" s="570"/>
      <c r="JS82" s="570"/>
      <c r="JT82" s="570"/>
      <c r="JU82" s="570"/>
      <c r="JV82" s="570"/>
      <c r="JW82" s="570"/>
      <c r="JX82" s="570"/>
      <c r="JY82" s="570"/>
      <c r="JZ82" s="570"/>
      <c r="KA82" s="570"/>
      <c r="KB82" s="570"/>
      <c r="KC82" s="570"/>
      <c r="KD82" s="570"/>
      <c r="KE82" s="570"/>
      <c r="KF82" s="570"/>
      <c r="KG82" s="570"/>
      <c r="KH82" s="570"/>
      <c r="KI82" s="570"/>
      <c r="KJ82" s="570"/>
      <c r="KK82" s="570"/>
      <c r="KL82" s="570"/>
      <c r="KM82" s="570"/>
      <c r="KN82" s="570"/>
      <c r="KO82" s="570"/>
      <c r="KP82" s="570"/>
      <c r="KQ82" s="570"/>
      <c r="KR82" s="570"/>
      <c r="KS82" s="570"/>
      <c r="KT82" s="570"/>
      <c r="KU82" s="570"/>
      <c r="KV82" s="570"/>
      <c r="KW82" s="570"/>
      <c r="KX82" s="570"/>
      <c r="KY82" s="570"/>
      <c r="KZ82" s="570"/>
      <c r="LA82" s="570"/>
      <c r="LB82" s="570"/>
      <c r="LC82" s="570"/>
      <c r="LD82" s="570"/>
      <c r="LE82" s="570"/>
      <c r="LF82" s="570"/>
      <c r="LG82" s="570"/>
      <c r="LH82" s="570"/>
      <c r="LI82" s="570"/>
      <c r="LJ82" s="570"/>
      <c r="LK82" s="570"/>
      <c r="LL82" s="570"/>
      <c r="LM82" s="570"/>
      <c r="LN82" s="570"/>
      <c r="LO82" s="570"/>
      <c r="LP82" s="570"/>
      <c r="LQ82" s="570"/>
      <c r="LR82" s="570"/>
      <c r="LS82" s="570"/>
      <c r="LT82" s="570"/>
      <c r="LU82" s="570"/>
      <c r="LV82" s="570"/>
      <c r="LW82" s="570"/>
      <c r="LX82" s="570"/>
      <c r="LY82" s="570"/>
      <c r="LZ82" s="570"/>
      <c r="MA82" s="570"/>
      <c r="MB82" s="570"/>
      <c r="MC82" s="570"/>
      <c r="MD82" s="570"/>
      <c r="ME82" s="570"/>
      <c r="MF82" s="570"/>
      <c r="MG82" s="570"/>
      <c r="MH82" s="570"/>
      <c r="MI82" s="570"/>
      <c r="MJ82" s="570"/>
      <c r="MK82" s="570"/>
      <c r="ML82" s="570"/>
      <c r="MM82" s="570"/>
      <c r="MN82" s="570"/>
      <c r="MO82" s="570"/>
      <c r="MP82" s="570"/>
      <c r="MQ82" s="570"/>
      <c r="MR82" s="570"/>
      <c r="MS82" s="570"/>
      <c r="MT82" s="570"/>
      <c r="MU82" s="570"/>
      <c r="MV82" s="570"/>
      <c r="MW82" s="570"/>
      <c r="MX82" s="570"/>
      <c r="MY82" s="570"/>
      <c r="MZ82" s="570"/>
      <c r="NA82" s="570"/>
      <c r="NB82" s="570"/>
      <c r="NC82" s="570"/>
      <c r="ND82" s="570"/>
      <c r="NE82" s="570"/>
      <c r="NF82" s="570"/>
      <c r="NG82" s="570"/>
      <c r="NH82" s="570"/>
      <c r="NI82" s="570"/>
      <c r="NJ82" s="570"/>
      <c r="NK82" s="570"/>
      <c r="NL82" s="570"/>
      <c r="NM82" s="570"/>
      <c r="NN82" s="570"/>
      <c r="NO82" s="570"/>
      <c r="NP82" s="570"/>
      <c r="NQ82" s="570"/>
      <c r="NR82" s="570"/>
      <c r="NS82" s="570"/>
      <c r="NT82" s="570"/>
      <c r="NU82" s="570"/>
      <c r="NV82" s="570"/>
      <c r="NW82" s="570"/>
      <c r="NX82" s="570"/>
      <c r="NY82" s="570"/>
      <c r="NZ82" s="570"/>
      <c r="OA82" s="570"/>
      <c r="OB82" s="570"/>
      <c r="OC82" s="570"/>
      <c r="OD82" s="570"/>
      <c r="OE82" s="570"/>
      <c r="OF82" s="570"/>
      <c r="OG82" s="570"/>
      <c r="OH82" s="570"/>
      <c r="OI82" s="570"/>
      <c r="OJ82" s="570"/>
      <c r="OK82" s="570"/>
      <c r="OL82" s="570"/>
      <c r="OM82" s="570"/>
      <c r="ON82" s="570"/>
      <c r="OO82" s="570"/>
      <c r="OP82" s="570"/>
      <c r="OQ82" s="570"/>
      <c r="OR82" s="570"/>
      <c r="OS82" s="570"/>
      <c r="OT82" s="570"/>
      <c r="OU82" s="570"/>
      <c r="OV82" s="570"/>
      <c r="OW82" s="570"/>
      <c r="OX82" s="570"/>
      <c r="OY82" s="570"/>
      <c r="OZ82" s="570"/>
      <c r="PA82" s="570"/>
      <c r="PB82" s="570"/>
      <c r="PC82" s="570"/>
      <c r="PD82" s="570"/>
      <c r="PE82" s="570"/>
      <c r="PF82" s="570"/>
      <c r="PG82" s="570"/>
      <c r="PH82" s="570"/>
      <c r="PI82" s="570"/>
      <c r="PJ82" s="570"/>
      <c r="PK82" s="570"/>
      <c r="PL82" s="570"/>
      <c r="PM82" s="570"/>
      <c r="PN82" s="570"/>
      <c r="PO82" s="570"/>
      <c r="PP82" s="570"/>
      <c r="PQ82" s="570"/>
      <c r="PR82" s="570"/>
      <c r="PS82" s="570"/>
      <c r="PT82" s="570"/>
      <c r="PU82" s="570"/>
      <c r="PV82" s="570"/>
      <c r="PW82" s="570"/>
      <c r="PX82" s="570"/>
      <c r="PY82" s="570"/>
      <c r="PZ82" s="570"/>
      <c r="QA82" s="570"/>
      <c r="QB82" s="570"/>
      <c r="QC82" s="570"/>
      <c r="QD82" s="570"/>
      <c r="QE82" s="570"/>
      <c r="QF82" s="570"/>
      <c r="QG82" s="570"/>
      <c r="QH82" s="570"/>
      <c r="QI82" s="570"/>
      <c r="QJ82" s="570"/>
      <c r="QK82" s="570"/>
      <c r="QL82" s="570"/>
      <c r="QM82" s="570"/>
      <c r="QN82" s="570"/>
      <c r="QO82" s="570"/>
      <c r="QP82" s="570"/>
      <c r="QQ82" s="570"/>
      <c r="QR82" s="570"/>
      <c r="QS82" s="570"/>
      <c r="QT82" s="570"/>
      <c r="QU82" s="570"/>
      <c r="QV82" s="570"/>
      <c r="QW82" s="570"/>
      <c r="QX82" s="570"/>
      <c r="QY82" s="570"/>
      <c r="QZ82" s="570"/>
      <c r="RA82" s="570"/>
      <c r="RB82" s="570"/>
      <c r="RC82" s="570"/>
      <c r="RD82" s="570"/>
      <c r="RE82" s="570"/>
      <c r="RF82" s="570"/>
      <c r="RG82" s="570"/>
      <c r="RH82" s="570"/>
      <c r="RI82" s="570"/>
      <c r="RJ82" s="570"/>
      <c r="RK82" s="570"/>
      <c r="RL82" s="570"/>
      <c r="RM82" s="570"/>
      <c r="RN82" s="570"/>
      <c r="RO82" s="570"/>
      <c r="RP82" s="570"/>
      <c r="RQ82" s="570"/>
      <c r="RR82" s="570"/>
      <c r="RS82" s="570"/>
      <c r="RT82" s="570"/>
      <c r="RU82" s="570"/>
      <c r="RV82" s="570"/>
      <c r="RW82" s="570"/>
      <c r="RX82" s="570"/>
      <c r="RY82" s="570"/>
      <c r="RZ82" s="570"/>
      <c r="SA82" s="570"/>
      <c r="SB82" s="570"/>
      <c r="SC82" s="570"/>
      <c r="SD82" s="570"/>
      <c r="SE82" s="570"/>
      <c r="SF82" s="570"/>
      <c r="SG82" s="570"/>
      <c r="SH82" s="570"/>
      <c r="SI82" s="570"/>
      <c r="SJ82" s="570"/>
      <c r="SK82" s="570"/>
      <c r="SL82" s="570"/>
      <c r="SM82" s="570"/>
      <c r="SN82" s="570"/>
      <c r="SO82" s="570"/>
      <c r="SP82" s="570"/>
      <c r="SQ82" s="570"/>
      <c r="SR82" s="570"/>
      <c r="SS82" s="570"/>
      <c r="ST82" s="570"/>
      <c r="SU82" s="570"/>
      <c r="SV82" s="570"/>
      <c r="SW82" s="570"/>
      <c r="SX82" s="570"/>
      <c r="SY82" s="570"/>
      <c r="SZ82" s="570"/>
      <c r="TA82" s="570"/>
      <c r="TB82" s="570"/>
      <c r="TC82" s="570"/>
      <c r="TD82" s="570"/>
      <c r="TE82" s="570"/>
      <c r="TF82" s="570"/>
      <c r="TG82" s="570"/>
      <c r="TH82" s="570"/>
      <c r="TI82" s="570"/>
      <c r="TJ82" s="570"/>
      <c r="TK82" s="570"/>
      <c r="TL82" s="570"/>
      <c r="TM82" s="570"/>
      <c r="TN82" s="570"/>
      <c r="TO82" s="570"/>
      <c r="TP82" s="570"/>
      <c r="TQ82" s="570"/>
      <c r="TR82" s="570"/>
      <c r="TS82" s="570"/>
      <c r="TT82" s="570"/>
      <c r="TU82" s="570"/>
      <c r="TV82" s="570"/>
      <c r="TW82" s="570"/>
      <c r="TX82" s="570"/>
      <c r="TY82" s="570"/>
      <c r="TZ82" s="570"/>
      <c r="UA82" s="570"/>
      <c r="UB82" s="570"/>
      <c r="UC82" s="570"/>
      <c r="UD82" s="570"/>
      <c r="UE82" s="570"/>
      <c r="UF82" s="570"/>
      <c r="UG82" s="570"/>
      <c r="UH82" s="570"/>
      <c r="UI82" s="570"/>
      <c r="UJ82" s="570"/>
      <c r="UK82" s="570"/>
      <c r="UL82" s="570"/>
      <c r="UM82" s="570"/>
      <c r="UN82" s="570"/>
      <c r="UO82" s="570"/>
      <c r="UP82" s="570"/>
      <c r="UQ82" s="570"/>
      <c r="UR82" s="570"/>
      <c r="US82" s="570"/>
      <c r="UT82" s="570"/>
      <c r="UU82" s="570"/>
      <c r="UV82" s="570"/>
      <c r="UW82" s="570"/>
      <c r="UX82" s="570"/>
      <c r="UY82" s="570"/>
      <c r="UZ82" s="570"/>
      <c r="VA82" s="570"/>
      <c r="VB82" s="570"/>
      <c r="VC82" s="570"/>
      <c r="VD82" s="570"/>
      <c r="VE82" s="570"/>
      <c r="VF82" s="570"/>
      <c r="VG82" s="570"/>
      <c r="VH82" s="570"/>
      <c r="VI82" s="570"/>
      <c r="VJ82" s="570"/>
      <c r="VK82" s="570"/>
      <c r="VL82" s="570"/>
      <c r="VM82" s="570"/>
      <c r="VN82" s="570"/>
      <c r="VO82" s="570"/>
      <c r="VP82" s="570"/>
      <c r="VQ82" s="570"/>
      <c r="VR82" s="570"/>
      <c r="VS82" s="570"/>
      <c r="VT82" s="570"/>
      <c r="VU82" s="570"/>
      <c r="VV82" s="570"/>
      <c r="VW82" s="570"/>
      <c r="VX82" s="570"/>
      <c r="VY82" s="570"/>
      <c r="VZ82" s="570"/>
      <c r="WA82" s="570"/>
      <c r="WB82" s="570"/>
      <c r="WC82" s="570"/>
      <c r="WD82" s="570"/>
      <c r="WE82" s="570"/>
      <c r="WF82" s="570"/>
      <c r="WG82" s="570"/>
      <c r="WH82" s="570"/>
      <c r="WI82" s="570"/>
      <c r="WJ82" s="570"/>
      <c r="WK82" s="570"/>
      <c r="WL82" s="570"/>
      <c r="WM82" s="570"/>
      <c r="WN82" s="570"/>
      <c r="WO82" s="570"/>
      <c r="WP82" s="570"/>
      <c r="WQ82" s="570"/>
      <c r="WR82" s="570"/>
      <c r="WS82" s="570"/>
      <c r="WT82" s="570"/>
      <c r="WU82" s="570"/>
      <c r="WV82" s="570"/>
      <c r="WW82" s="570"/>
      <c r="WX82" s="570"/>
      <c r="WY82" s="570"/>
      <c r="WZ82" s="570"/>
      <c r="XA82" s="570"/>
      <c r="XB82" s="570"/>
      <c r="XC82" s="570"/>
      <c r="XD82" s="570"/>
      <c r="XE82" s="570"/>
      <c r="XF82" s="570"/>
      <c r="XG82" s="570"/>
      <c r="XH82" s="570"/>
      <c r="XI82" s="570"/>
      <c r="XJ82" s="570"/>
      <c r="XK82" s="570"/>
      <c r="XL82" s="570"/>
      <c r="XM82" s="570"/>
      <c r="XN82" s="570"/>
      <c r="XO82" s="570"/>
      <c r="XP82" s="570"/>
      <c r="XQ82" s="570"/>
      <c r="XR82" s="570"/>
      <c r="XS82" s="570"/>
      <c r="XT82" s="570"/>
      <c r="XU82" s="570"/>
      <c r="XV82" s="570"/>
      <c r="XW82" s="570"/>
      <c r="XX82" s="570"/>
      <c r="XY82" s="570"/>
      <c r="XZ82" s="570"/>
      <c r="YA82" s="570"/>
      <c r="YB82" s="570"/>
      <c r="YC82" s="570"/>
      <c r="YD82" s="570"/>
      <c r="YE82" s="570"/>
      <c r="YF82" s="570"/>
      <c r="YG82" s="570"/>
      <c r="YH82" s="570"/>
      <c r="YI82" s="570"/>
      <c r="YJ82" s="570"/>
      <c r="YK82" s="570"/>
      <c r="YL82" s="570"/>
      <c r="YM82" s="570"/>
      <c r="YN82" s="570"/>
      <c r="YO82" s="570"/>
      <c r="YP82" s="570"/>
      <c r="YQ82" s="570"/>
      <c r="YR82" s="570"/>
      <c r="YS82" s="570"/>
      <c r="YT82" s="570"/>
      <c r="YU82" s="570"/>
      <c r="YV82" s="570"/>
      <c r="YW82" s="570"/>
      <c r="YX82" s="570"/>
      <c r="YY82" s="570"/>
      <c r="YZ82" s="570"/>
      <c r="ZA82" s="570"/>
      <c r="ZB82" s="570"/>
      <c r="ZC82" s="570"/>
      <c r="ZD82" s="570"/>
      <c r="ZE82" s="570"/>
      <c r="ZF82" s="570"/>
      <c r="ZG82" s="570"/>
      <c r="ZH82" s="570"/>
      <c r="ZI82" s="570"/>
      <c r="ZJ82" s="570"/>
      <c r="ZK82" s="570"/>
      <c r="ZL82" s="570"/>
      <c r="ZM82" s="570"/>
      <c r="ZN82" s="570"/>
      <c r="ZO82" s="570"/>
      <c r="ZP82" s="570"/>
      <c r="ZQ82" s="570"/>
      <c r="ZR82" s="570"/>
      <c r="ZS82" s="570"/>
      <c r="ZT82" s="570"/>
      <c r="ZU82" s="570"/>
      <c r="ZV82" s="570"/>
      <c r="ZW82" s="570"/>
      <c r="ZX82" s="570"/>
      <c r="ZY82" s="570"/>
      <c r="ZZ82" s="570"/>
      <c r="AAA82" s="570"/>
      <c r="AAB82" s="570"/>
      <c r="AAC82" s="570"/>
      <c r="AAD82" s="570"/>
      <c r="AAE82" s="570"/>
      <c r="AAF82" s="570"/>
      <c r="AAG82" s="570"/>
      <c r="AAH82" s="570"/>
      <c r="AAI82" s="570"/>
      <c r="AAJ82" s="570"/>
      <c r="AAK82" s="570"/>
      <c r="AAL82" s="570"/>
      <c r="AAM82" s="570"/>
      <c r="AAN82" s="570"/>
      <c r="AAO82" s="570"/>
      <c r="AAP82" s="570"/>
      <c r="AAQ82" s="570"/>
      <c r="AAR82" s="570"/>
      <c r="AAS82" s="570"/>
      <c r="AAT82" s="570"/>
      <c r="AAU82" s="570"/>
      <c r="AAV82" s="570"/>
      <c r="AAW82" s="570"/>
      <c r="AAX82" s="570"/>
      <c r="AAY82" s="570"/>
      <c r="AAZ82" s="570"/>
      <c r="ABA82" s="570"/>
      <c r="ABB82" s="570"/>
      <c r="ABC82" s="570"/>
      <c r="ABD82" s="570"/>
      <c r="ABE82" s="570"/>
      <c r="ABF82" s="570"/>
      <c r="ABG82" s="570"/>
      <c r="ABH82" s="570"/>
      <c r="ABI82" s="570"/>
      <c r="ABJ82" s="570"/>
      <c r="ABK82" s="570"/>
      <c r="ABL82" s="570"/>
      <c r="ABM82" s="570"/>
      <c r="ABN82" s="570"/>
      <c r="ABO82" s="570"/>
      <c r="ABP82" s="570"/>
      <c r="ABQ82" s="570"/>
      <c r="ABR82" s="570"/>
      <c r="ABS82" s="570"/>
      <c r="ABT82" s="570"/>
      <c r="ABU82" s="570"/>
      <c r="ABV82" s="570"/>
      <c r="ABW82" s="570"/>
      <c r="ABX82" s="570"/>
      <c r="ABY82" s="570"/>
      <c r="ABZ82" s="570"/>
      <c r="ACA82" s="570"/>
      <c r="ACB82" s="570"/>
      <c r="ACC82" s="570"/>
      <c r="ACD82" s="570"/>
      <c r="ACE82" s="570"/>
      <c r="ACF82" s="570"/>
      <c r="ACG82" s="570"/>
      <c r="ACH82" s="570"/>
      <c r="ACI82" s="570"/>
      <c r="ACJ82" s="570"/>
      <c r="ACK82" s="570"/>
      <c r="ACL82" s="570"/>
      <c r="ACM82" s="570"/>
      <c r="ACN82" s="570"/>
      <c r="ACO82" s="570"/>
      <c r="ACP82" s="570"/>
      <c r="ACQ82" s="570"/>
      <c r="ACR82" s="570"/>
      <c r="ACS82" s="570"/>
      <c r="ACT82" s="570"/>
      <c r="ACU82" s="570"/>
      <c r="ACV82" s="570"/>
      <c r="ACW82" s="570"/>
      <c r="ACX82" s="570"/>
      <c r="ACY82" s="570"/>
      <c r="ACZ82" s="570"/>
      <c r="ADA82" s="570"/>
      <c r="ADB82" s="570"/>
      <c r="ADC82" s="570"/>
      <c r="ADD82" s="570"/>
      <c r="ADE82" s="570"/>
      <c r="ADF82" s="570"/>
      <c r="ADG82" s="570"/>
      <c r="ADH82" s="570"/>
      <c r="ADI82" s="570"/>
      <c r="ADJ82" s="570"/>
      <c r="ADK82" s="570"/>
      <c r="ADL82" s="570"/>
      <c r="ADM82" s="570"/>
      <c r="ADN82" s="570"/>
      <c r="ADO82" s="570"/>
      <c r="ADP82" s="570"/>
      <c r="ADQ82" s="570"/>
      <c r="ADR82" s="570"/>
      <c r="ADS82" s="570"/>
      <c r="ADT82" s="570"/>
      <c r="ADU82" s="570"/>
      <c r="ADV82" s="570"/>
      <c r="ADW82" s="570"/>
      <c r="ADX82" s="570"/>
      <c r="ADY82" s="570"/>
      <c r="ADZ82" s="570"/>
      <c r="AEA82" s="570"/>
      <c r="AEB82" s="570"/>
      <c r="AEC82" s="570"/>
      <c r="AED82" s="570"/>
      <c r="AEE82" s="570"/>
      <c r="AEF82" s="570"/>
      <c r="AEG82" s="570"/>
      <c r="AEH82" s="570"/>
      <c r="AEI82" s="570"/>
      <c r="AEJ82" s="570"/>
      <c r="AEK82" s="570"/>
      <c r="AEL82" s="570"/>
      <c r="AEM82" s="570"/>
      <c r="AEN82" s="570"/>
      <c r="AEO82" s="570"/>
      <c r="AEP82" s="570"/>
      <c r="AEQ82" s="570"/>
      <c r="AER82" s="570"/>
      <c r="AES82" s="570"/>
      <c r="AET82" s="570"/>
      <c r="AEU82" s="570"/>
      <c r="AEV82" s="570"/>
      <c r="AEW82" s="570"/>
      <c r="AEX82" s="570"/>
      <c r="AEY82" s="570"/>
      <c r="AEZ82" s="570"/>
      <c r="AFA82" s="570"/>
      <c r="AFB82" s="570"/>
      <c r="AFC82" s="570"/>
      <c r="AFD82" s="570"/>
      <c r="AFE82" s="570"/>
      <c r="AFF82" s="570"/>
      <c r="AFG82" s="570"/>
      <c r="AFH82" s="570"/>
      <c r="AFI82" s="570"/>
      <c r="AFJ82" s="570"/>
      <c r="AFK82" s="570"/>
      <c r="AFL82" s="570"/>
      <c r="AFM82" s="570"/>
      <c r="AFN82" s="570"/>
      <c r="AFO82" s="570"/>
      <c r="AFP82" s="570"/>
      <c r="AFQ82" s="570"/>
      <c r="AFR82" s="570"/>
      <c r="AFS82" s="570"/>
      <c r="AFT82" s="570"/>
      <c r="AFU82" s="570"/>
      <c r="AFV82" s="570"/>
      <c r="AFW82" s="570"/>
      <c r="AFX82" s="570"/>
      <c r="AFY82" s="570"/>
      <c r="AFZ82" s="570"/>
      <c r="AGA82" s="570"/>
      <c r="AGB82" s="570"/>
      <c r="AGC82" s="570"/>
      <c r="AGD82" s="570"/>
      <c r="AGE82" s="570"/>
      <c r="AGF82" s="570"/>
      <c r="AGG82" s="570"/>
      <c r="AGH82" s="570"/>
      <c r="AGI82" s="570"/>
      <c r="AGJ82" s="570"/>
      <c r="AGK82" s="570"/>
      <c r="AGL82" s="570"/>
      <c r="AGM82" s="570"/>
      <c r="AGN82" s="570"/>
      <c r="AGO82" s="570"/>
      <c r="AGP82" s="570"/>
      <c r="AGQ82" s="570"/>
      <c r="AGR82" s="570"/>
      <c r="AGS82" s="570"/>
      <c r="AGT82" s="570"/>
      <c r="AGU82" s="570"/>
      <c r="AGV82" s="570"/>
      <c r="AGW82" s="570"/>
      <c r="AGX82" s="570"/>
      <c r="AGY82" s="570"/>
      <c r="AGZ82" s="570"/>
      <c r="AHA82" s="570"/>
      <c r="AHB82" s="570"/>
      <c r="AHC82" s="570"/>
      <c r="AHD82" s="570"/>
      <c r="AHE82" s="570"/>
      <c r="AHF82" s="570"/>
      <c r="AHG82" s="570"/>
      <c r="AHH82" s="570"/>
      <c r="AHI82" s="570"/>
      <c r="AHJ82" s="570"/>
      <c r="AHK82" s="570"/>
      <c r="AHL82" s="570"/>
      <c r="AHM82" s="570"/>
      <c r="AHN82" s="570"/>
      <c r="AHO82" s="570"/>
      <c r="AHP82" s="570"/>
      <c r="AHQ82" s="570"/>
      <c r="AHR82" s="570"/>
      <c r="AHS82" s="570"/>
      <c r="AHT82" s="570"/>
      <c r="AHU82" s="570"/>
      <c r="AHV82" s="570"/>
      <c r="AHW82" s="570"/>
      <c r="AHX82" s="570"/>
      <c r="AHY82" s="570"/>
      <c r="AHZ82" s="570"/>
      <c r="AIA82" s="570"/>
      <c r="AIB82" s="570"/>
      <c r="AIC82" s="570"/>
      <c r="AID82" s="570"/>
      <c r="AIE82" s="570"/>
      <c r="AIF82" s="570"/>
      <c r="AIG82" s="570"/>
      <c r="AIH82" s="570"/>
      <c r="AII82" s="570"/>
      <c r="AIJ82" s="570"/>
      <c r="AIK82" s="570"/>
      <c r="AIL82" s="570"/>
      <c r="AIM82" s="570"/>
      <c r="AIN82" s="570"/>
      <c r="AIO82" s="570"/>
      <c r="AIP82" s="570"/>
      <c r="AIQ82" s="570"/>
      <c r="AIR82" s="570"/>
      <c r="AIS82" s="570"/>
      <c r="AIT82" s="570"/>
      <c r="AIU82" s="570"/>
      <c r="AIV82" s="570"/>
      <c r="AIW82" s="570"/>
      <c r="AIX82" s="570"/>
      <c r="AIY82" s="570"/>
      <c r="AIZ82" s="570"/>
      <c r="AJA82" s="570"/>
      <c r="AJB82" s="570"/>
      <c r="AJC82" s="570"/>
      <c r="AJD82" s="570"/>
      <c r="AJE82" s="570"/>
      <c r="AJF82" s="570"/>
      <c r="AJG82" s="570"/>
      <c r="AJH82" s="570"/>
      <c r="AJI82" s="570"/>
      <c r="AJJ82" s="570"/>
      <c r="AJK82" s="570"/>
      <c r="AJL82" s="570"/>
      <c r="AJM82" s="570"/>
      <c r="AJN82" s="570"/>
      <c r="AJO82" s="570"/>
      <c r="AJP82" s="570"/>
      <c r="AJQ82" s="570"/>
      <c r="AJR82" s="570"/>
      <c r="AJS82" s="570"/>
      <c r="AJT82" s="570"/>
      <c r="AJU82" s="570"/>
      <c r="AJV82" s="570"/>
      <c r="AJW82" s="570"/>
      <c r="AJX82" s="570"/>
      <c r="AJY82" s="570"/>
      <c r="AJZ82" s="570"/>
      <c r="AKA82" s="570"/>
      <c r="AKB82" s="570"/>
      <c r="AKC82" s="570"/>
      <c r="AKD82" s="570"/>
      <c r="AKE82" s="570"/>
      <c r="AKF82" s="570"/>
      <c r="AKG82" s="570"/>
      <c r="AKH82" s="570"/>
      <c r="AKI82" s="570"/>
      <c r="AKJ82" s="570"/>
      <c r="AKK82" s="570"/>
      <c r="AKL82" s="570"/>
      <c r="AKM82" s="570"/>
      <c r="AKN82" s="570"/>
      <c r="AKO82" s="570"/>
      <c r="AKP82" s="570"/>
      <c r="AKQ82" s="570"/>
      <c r="AKR82" s="570"/>
      <c r="AKS82" s="570"/>
      <c r="AKT82" s="570"/>
      <c r="AKU82" s="570"/>
      <c r="AKV82" s="570"/>
      <c r="AKW82" s="570"/>
      <c r="AKX82" s="570"/>
      <c r="AKY82" s="570"/>
      <c r="AKZ82" s="570"/>
      <c r="ALA82" s="570"/>
      <c r="ALB82" s="570"/>
      <c r="ALC82" s="570"/>
      <c r="ALD82" s="570"/>
      <c r="ALE82" s="570"/>
      <c r="ALF82" s="570"/>
      <c r="ALG82" s="570"/>
      <c r="ALH82" s="570"/>
      <c r="ALI82" s="570"/>
      <c r="ALJ82" s="570"/>
      <c r="ALK82" s="570"/>
      <c r="ALL82" s="570"/>
      <c r="ALM82" s="570"/>
      <c r="ALN82" s="570"/>
      <c r="ALO82" s="570"/>
      <c r="ALP82" s="570"/>
      <c r="ALQ82" s="570"/>
      <c r="ALR82" s="570"/>
      <c r="ALS82" s="570"/>
      <c r="ALT82" s="570"/>
      <c r="ALU82" s="570"/>
      <c r="ALV82" s="570"/>
      <c r="ALW82" s="570"/>
      <c r="ALX82" s="570"/>
      <c r="ALY82" s="570"/>
      <c r="ALZ82" s="570"/>
      <c r="AMA82" s="570"/>
      <c r="AMB82" s="570"/>
      <c r="AMC82" s="570"/>
      <c r="AMD82" s="570"/>
      <c r="AME82" s="570"/>
      <c r="AMF82" s="570"/>
      <c r="AMG82" s="570"/>
      <c r="AMH82" s="570"/>
      <c r="AMI82" s="570"/>
      <c r="AMJ82" s="570"/>
      <c r="AMK82" s="570"/>
      <c r="AML82" s="570"/>
      <c r="AMM82" s="570"/>
      <c r="AMN82" s="570"/>
      <c r="AMO82" s="570"/>
      <c r="AMP82" s="570"/>
      <c r="AMQ82" s="570"/>
      <c r="AMR82" s="570"/>
      <c r="AMS82" s="570"/>
      <c r="AMT82" s="570"/>
      <c r="AMU82" s="570"/>
      <c r="AMV82" s="570"/>
      <c r="AMW82" s="570"/>
      <c r="AMX82" s="570"/>
      <c r="AMY82" s="570"/>
      <c r="AMZ82" s="570"/>
      <c r="ANA82" s="570"/>
      <c r="ANB82" s="570"/>
      <c r="ANC82" s="570"/>
      <c r="AND82" s="570"/>
      <c r="ANE82" s="570"/>
      <c r="ANF82" s="570"/>
      <c r="ANG82" s="570"/>
      <c r="ANH82" s="570"/>
      <c r="ANI82" s="570"/>
      <c r="ANJ82" s="570"/>
      <c r="ANK82" s="570"/>
      <c r="ANL82" s="570"/>
      <c r="ANM82" s="570"/>
      <c r="ANN82" s="570"/>
      <c r="ANO82" s="570"/>
      <c r="ANP82" s="570"/>
      <c r="ANQ82" s="570"/>
      <c r="ANR82" s="570"/>
      <c r="ANS82" s="570"/>
      <c r="ANT82" s="570"/>
      <c r="ANU82" s="570"/>
      <c r="ANV82" s="570"/>
      <c r="ANW82" s="570"/>
      <c r="ANX82" s="570"/>
      <c r="ANY82" s="570"/>
      <c r="ANZ82" s="570"/>
      <c r="AOA82" s="570"/>
      <c r="AOB82" s="570"/>
      <c r="AOC82" s="570"/>
      <c r="AOD82" s="570"/>
      <c r="AOE82" s="570"/>
      <c r="AOF82" s="570"/>
      <c r="AOG82" s="570"/>
      <c r="AOH82" s="570"/>
      <c r="AOI82" s="570"/>
      <c r="AOJ82" s="570"/>
      <c r="AOK82" s="570"/>
      <c r="AOL82" s="570"/>
      <c r="AOM82" s="570"/>
      <c r="AON82" s="570"/>
      <c r="AOO82" s="570"/>
      <c r="AOP82" s="570"/>
      <c r="AOQ82" s="570"/>
      <c r="AOR82" s="570"/>
      <c r="AOS82" s="570"/>
      <c r="AOT82" s="570"/>
      <c r="AOU82" s="570"/>
      <c r="AOV82" s="570"/>
      <c r="AOW82" s="570"/>
      <c r="AOX82" s="570"/>
      <c r="AOY82" s="570"/>
      <c r="AOZ82" s="570"/>
      <c r="APA82" s="570"/>
      <c r="APB82" s="570"/>
      <c r="APC82" s="570"/>
      <c r="APD82" s="570"/>
      <c r="APE82" s="570"/>
      <c r="APF82" s="570"/>
      <c r="APG82" s="570"/>
      <c r="APH82" s="570"/>
      <c r="API82" s="570"/>
      <c r="APJ82" s="570"/>
      <c r="APK82" s="570"/>
      <c r="APL82" s="570"/>
      <c r="APM82" s="570"/>
      <c r="APN82" s="570"/>
      <c r="APO82" s="570"/>
      <c r="APP82" s="570"/>
      <c r="APQ82" s="570"/>
      <c r="APR82" s="570"/>
      <c r="APS82" s="570"/>
      <c r="APT82" s="570"/>
      <c r="APU82" s="570"/>
      <c r="APV82" s="570"/>
      <c r="APW82" s="570"/>
      <c r="APX82" s="570"/>
      <c r="APY82" s="570"/>
      <c r="APZ82" s="570"/>
      <c r="AQA82" s="570"/>
      <c r="AQB82" s="570"/>
      <c r="AQC82" s="570"/>
      <c r="AQD82" s="570"/>
      <c r="AQE82" s="570"/>
      <c r="AQF82" s="570"/>
      <c r="AQG82" s="570"/>
      <c r="AQH82" s="570"/>
      <c r="AQI82" s="570"/>
      <c r="AQJ82" s="570"/>
      <c r="AQK82" s="570"/>
      <c r="AQL82" s="570"/>
      <c r="AQM82" s="570"/>
      <c r="AQN82" s="570"/>
      <c r="AQO82" s="570"/>
      <c r="AQP82" s="570"/>
      <c r="AQQ82" s="570"/>
      <c r="AQR82" s="570"/>
      <c r="AQS82" s="570"/>
      <c r="AQT82" s="570"/>
      <c r="AQU82" s="570"/>
      <c r="AQV82" s="570"/>
      <c r="AQW82" s="570"/>
      <c r="AQX82" s="570"/>
      <c r="AQY82" s="570"/>
      <c r="AQZ82" s="570"/>
      <c r="ARA82" s="570"/>
      <c r="ARB82" s="570"/>
      <c r="ARC82" s="570"/>
      <c r="ARD82" s="570"/>
      <c r="ARE82" s="570"/>
      <c r="ARF82" s="570"/>
      <c r="ARG82" s="570"/>
      <c r="ARH82" s="570"/>
      <c r="ARI82" s="570"/>
      <c r="ARJ82" s="570"/>
      <c r="ARK82" s="570"/>
      <c r="ARL82" s="570"/>
      <c r="ARM82" s="570"/>
      <c r="ARN82" s="570"/>
      <c r="ARO82" s="570"/>
      <c r="ARP82" s="570"/>
      <c r="ARQ82" s="570"/>
      <c r="ARR82" s="570"/>
      <c r="ARS82" s="570"/>
      <c r="ART82" s="570"/>
      <c r="ARU82" s="570"/>
      <c r="ARV82" s="570"/>
      <c r="ARW82" s="570"/>
      <c r="ARX82" s="570"/>
      <c r="ARY82" s="570"/>
      <c r="ARZ82" s="570"/>
      <c r="ASA82" s="570"/>
      <c r="ASB82" s="570"/>
      <c r="ASC82" s="570"/>
      <c r="ASD82" s="570"/>
      <c r="ASE82" s="570"/>
      <c r="ASF82" s="570"/>
      <c r="ASG82" s="570"/>
      <c r="ASH82" s="570"/>
      <c r="ASI82" s="570"/>
      <c r="ASJ82" s="570"/>
      <c r="ASK82" s="570"/>
      <c r="ASL82" s="570"/>
      <c r="ASM82" s="570"/>
      <c r="ASN82" s="570"/>
      <c r="ASO82" s="570"/>
      <c r="ASP82" s="570"/>
      <c r="ASQ82" s="570"/>
      <c r="ASR82" s="570"/>
      <c r="ASS82" s="570"/>
      <c r="AST82" s="570"/>
      <c r="ASU82" s="570"/>
      <c r="ASV82" s="570"/>
      <c r="ASW82" s="570"/>
      <c r="ASX82" s="570"/>
      <c r="ASY82" s="570"/>
      <c r="ASZ82" s="570"/>
      <c r="ATA82" s="570"/>
      <c r="ATB82" s="570"/>
      <c r="ATC82" s="570"/>
      <c r="ATD82" s="570"/>
      <c r="ATE82" s="570"/>
      <c r="ATF82" s="570"/>
      <c r="ATG82" s="570"/>
      <c r="ATH82" s="570"/>
      <c r="ATI82" s="570"/>
      <c r="ATJ82" s="570"/>
      <c r="ATK82" s="570"/>
      <c r="ATL82" s="570"/>
      <c r="ATM82" s="570"/>
      <c r="ATN82" s="570"/>
      <c r="ATO82" s="570"/>
      <c r="ATP82" s="570"/>
      <c r="ATQ82" s="570"/>
      <c r="ATR82" s="570"/>
      <c r="ATS82" s="570"/>
      <c r="ATT82" s="570"/>
      <c r="ATU82" s="570"/>
      <c r="ATV82" s="570"/>
      <c r="ATW82" s="570"/>
      <c r="ATX82" s="570"/>
      <c r="ATY82" s="570"/>
      <c r="ATZ82" s="570"/>
      <c r="AUA82" s="570"/>
      <c r="AUB82" s="570"/>
      <c r="AUC82" s="570"/>
      <c r="AUD82" s="570"/>
      <c r="AUE82" s="570"/>
      <c r="AUF82" s="570"/>
      <c r="AUG82" s="570"/>
      <c r="AUH82" s="570"/>
      <c r="AUI82" s="570"/>
      <c r="AUJ82" s="570"/>
      <c r="AUK82" s="570"/>
      <c r="AUL82" s="570"/>
      <c r="AUM82" s="570"/>
      <c r="AUN82" s="570"/>
      <c r="AUO82" s="570"/>
      <c r="AUP82" s="570"/>
      <c r="AUQ82" s="570"/>
      <c r="AUR82" s="570"/>
      <c r="AUS82" s="570"/>
      <c r="AUT82" s="570"/>
      <c r="AUU82" s="570"/>
      <c r="AUV82" s="570"/>
      <c r="AUW82" s="570"/>
      <c r="AUX82" s="570"/>
      <c r="AUY82" s="570"/>
      <c r="AUZ82" s="570"/>
      <c r="AVA82" s="570"/>
      <c r="AVB82" s="570"/>
      <c r="AVC82" s="570"/>
      <c r="AVD82" s="570"/>
      <c r="AVE82" s="570"/>
      <c r="AVF82" s="570"/>
      <c r="AVG82" s="570"/>
      <c r="AVH82" s="570"/>
      <c r="AVI82" s="570"/>
      <c r="AVJ82" s="570"/>
      <c r="AVK82" s="570"/>
      <c r="AVL82" s="570"/>
      <c r="AVM82" s="570"/>
      <c r="AVN82" s="570"/>
      <c r="AVO82" s="570"/>
      <c r="AVP82" s="570"/>
      <c r="AVQ82" s="570"/>
      <c r="AVR82" s="570"/>
      <c r="AVS82" s="570"/>
      <c r="AVT82" s="570"/>
      <c r="AVU82" s="570"/>
      <c r="AVV82" s="570"/>
      <c r="AVW82" s="570"/>
      <c r="AVX82" s="570"/>
      <c r="AVY82" s="570"/>
      <c r="AVZ82" s="570"/>
      <c r="AWA82" s="570"/>
      <c r="AWB82" s="570"/>
      <c r="AWC82" s="570"/>
      <c r="AWD82" s="570"/>
      <c r="AWE82" s="570"/>
      <c r="AWF82" s="570"/>
      <c r="AWG82" s="570"/>
      <c r="AWH82" s="570"/>
      <c r="AWI82" s="570"/>
      <c r="AWJ82" s="570"/>
      <c r="AWK82" s="570"/>
      <c r="AWL82" s="570"/>
      <c r="AWM82" s="570"/>
      <c r="AWN82" s="570"/>
      <c r="AWO82" s="570"/>
      <c r="AWP82" s="570"/>
      <c r="AWQ82" s="570"/>
      <c r="AWR82" s="570"/>
      <c r="AWS82" s="570"/>
      <c r="AWT82" s="570"/>
      <c r="AWU82" s="570"/>
      <c r="AWV82" s="570"/>
      <c r="AWW82" s="570"/>
      <c r="AWX82" s="570"/>
      <c r="AWY82" s="570"/>
      <c r="AWZ82" s="570"/>
      <c r="AXA82" s="570"/>
      <c r="AXB82" s="570"/>
      <c r="AXC82" s="570"/>
      <c r="AXD82" s="570"/>
      <c r="AXE82" s="570"/>
      <c r="AXF82" s="570"/>
      <c r="AXG82" s="570"/>
      <c r="AXH82" s="570"/>
      <c r="AXI82" s="570"/>
      <c r="AXJ82" s="570"/>
      <c r="AXK82" s="570"/>
      <c r="AXL82" s="570"/>
      <c r="AXM82" s="570"/>
      <c r="AXN82" s="570"/>
      <c r="AXO82" s="570"/>
      <c r="AXP82" s="570"/>
      <c r="AXQ82" s="570"/>
      <c r="AXR82" s="570"/>
      <c r="AXS82" s="570"/>
      <c r="AXT82" s="570"/>
      <c r="AXU82" s="570"/>
      <c r="AXV82" s="570"/>
      <c r="AXW82" s="570"/>
      <c r="AXX82" s="570"/>
      <c r="AXY82" s="570"/>
      <c r="AXZ82" s="570"/>
      <c r="AYA82" s="570"/>
      <c r="AYB82" s="570"/>
      <c r="AYC82" s="570"/>
      <c r="AYD82" s="570"/>
      <c r="AYE82" s="570"/>
      <c r="AYF82" s="570"/>
      <c r="AYG82" s="570"/>
      <c r="AYH82" s="570"/>
      <c r="AYI82" s="570"/>
      <c r="AYJ82" s="570"/>
      <c r="AYK82" s="570"/>
      <c r="AYL82" s="570"/>
      <c r="AYM82" s="570"/>
      <c r="AYN82" s="570"/>
      <c r="AYO82" s="570"/>
      <c r="AYP82" s="570"/>
      <c r="AYQ82" s="570"/>
      <c r="AYR82" s="570"/>
      <c r="AYS82" s="570"/>
      <c r="AYT82" s="570"/>
      <c r="AYU82" s="570"/>
      <c r="AYV82" s="570"/>
      <c r="AYW82" s="570"/>
      <c r="AYX82" s="570"/>
      <c r="AYY82" s="570"/>
      <c r="AYZ82" s="570"/>
      <c r="AZA82" s="570"/>
      <c r="AZB82" s="570"/>
      <c r="AZC82" s="570"/>
      <c r="AZD82" s="570"/>
      <c r="AZE82" s="570"/>
      <c r="AZF82" s="570"/>
      <c r="AZG82" s="570"/>
      <c r="AZH82" s="570"/>
      <c r="AZI82" s="570"/>
      <c r="AZJ82" s="570"/>
      <c r="AZK82" s="570"/>
      <c r="AZL82" s="570"/>
      <c r="AZM82" s="570"/>
      <c r="AZN82" s="570"/>
      <c r="AZO82" s="570"/>
      <c r="AZP82" s="570"/>
      <c r="AZQ82" s="570"/>
      <c r="AZR82" s="570"/>
      <c r="AZS82" s="570"/>
      <c r="AZT82" s="570"/>
      <c r="AZU82" s="570"/>
      <c r="AZV82" s="570"/>
      <c r="AZW82" s="570"/>
      <c r="AZX82" s="570"/>
      <c r="AZY82" s="570"/>
      <c r="AZZ82" s="570"/>
      <c r="BAA82" s="570"/>
      <c r="BAB82" s="570"/>
      <c r="BAC82" s="570"/>
      <c r="BAD82" s="570"/>
      <c r="BAE82" s="570"/>
      <c r="BAF82" s="570"/>
      <c r="BAG82" s="570"/>
      <c r="BAH82" s="570"/>
      <c r="BAI82" s="570"/>
      <c r="BAJ82" s="570"/>
      <c r="BAK82" s="570"/>
      <c r="BAL82" s="570"/>
      <c r="BAM82" s="570"/>
      <c r="BAN82" s="570"/>
      <c r="BAO82" s="570"/>
      <c r="BAP82" s="570"/>
      <c r="BAQ82" s="570"/>
      <c r="BAR82" s="570"/>
      <c r="BAS82" s="570"/>
      <c r="BAT82" s="570"/>
      <c r="BAU82" s="570"/>
      <c r="BAV82" s="570"/>
      <c r="BAW82" s="570"/>
      <c r="BAX82" s="570"/>
      <c r="BAY82" s="570"/>
      <c r="BAZ82" s="570"/>
      <c r="BBA82" s="570"/>
      <c r="BBB82" s="570"/>
      <c r="BBC82" s="570"/>
      <c r="BBD82" s="570"/>
      <c r="BBE82" s="570"/>
      <c r="BBF82" s="570"/>
      <c r="BBG82" s="570"/>
      <c r="BBH82" s="570"/>
      <c r="BBI82" s="570"/>
      <c r="BBJ82" s="570"/>
      <c r="BBK82" s="570"/>
      <c r="BBL82" s="570"/>
      <c r="BBM82" s="570"/>
      <c r="BBN82" s="570"/>
      <c r="BBO82" s="570"/>
      <c r="BBP82" s="570"/>
      <c r="BBQ82" s="570"/>
      <c r="BBR82" s="570"/>
      <c r="BBS82" s="570"/>
      <c r="BBT82" s="570"/>
      <c r="BBU82" s="570"/>
      <c r="BBV82" s="570"/>
      <c r="BBW82" s="570"/>
      <c r="BBX82" s="570"/>
      <c r="BBY82" s="570"/>
      <c r="BBZ82" s="570"/>
      <c r="BCA82" s="570"/>
      <c r="BCB82" s="570"/>
      <c r="BCC82" s="570"/>
      <c r="BCD82" s="570"/>
      <c r="BCE82" s="570"/>
      <c r="BCF82" s="570"/>
      <c r="BCG82" s="570"/>
      <c r="BCH82" s="570"/>
      <c r="BCI82" s="570"/>
      <c r="BCJ82" s="570"/>
      <c r="BCK82" s="570"/>
      <c r="BCL82" s="570"/>
      <c r="BCM82" s="570"/>
      <c r="BCN82" s="570"/>
      <c r="BCO82" s="570"/>
      <c r="BCP82" s="570"/>
      <c r="BCQ82" s="570"/>
      <c r="BCR82" s="570"/>
      <c r="BCS82" s="570"/>
      <c r="BCT82" s="570"/>
      <c r="BCU82" s="570"/>
      <c r="BCV82" s="570"/>
      <c r="BCW82" s="570"/>
      <c r="BCX82" s="570"/>
      <c r="BCY82" s="570"/>
      <c r="BCZ82" s="570"/>
      <c r="BDA82" s="570"/>
      <c r="BDB82" s="570"/>
      <c r="BDC82" s="570"/>
      <c r="BDD82" s="570"/>
      <c r="BDE82" s="570"/>
      <c r="BDF82" s="570"/>
      <c r="BDG82" s="570"/>
      <c r="BDH82" s="570"/>
      <c r="BDI82" s="570"/>
      <c r="BDJ82" s="570"/>
      <c r="BDK82" s="570"/>
      <c r="BDL82" s="570"/>
      <c r="BDM82" s="570"/>
      <c r="BDN82" s="570"/>
      <c r="BDO82" s="570"/>
      <c r="BDP82" s="570"/>
      <c r="BDQ82" s="570"/>
      <c r="BDR82" s="570"/>
      <c r="BDS82" s="570"/>
      <c r="BDT82" s="570"/>
      <c r="BDU82" s="570"/>
      <c r="BDV82" s="570"/>
      <c r="BDW82" s="570"/>
      <c r="BDX82" s="570"/>
      <c r="BDY82" s="570"/>
      <c r="BDZ82" s="570"/>
      <c r="BEA82" s="570"/>
      <c r="BEB82" s="570"/>
      <c r="BEC82" s="570"/>
      <c r="BED82" s="570"/>
      <c r="BEE82" s="570"/>
      <c r="BEF82" s="570"/>
      <c r="BEG82" s="570"/>
      <c r="BEH82" s="570"/>
      <c r="BEI82" s="570"/>
      <c r="BEJ82" s="570"/>
      <c r="BEK82" s="570"/>
      <c r="BEL82" s="570"/>
      <c r="BEM82" s="570"/>
      <c r="BEN82" s="570"/>
      <c r="BEO82" s="570"/>
      <c r="BEP82" s="570"/>
      <c r="BEQ82" s="570"/>
      <c r="BER82" s="570"/>
      <c r="BES82" s="570"/>
      <c r="BET82" s="570"/>
      <c r="BEU82" s="570"/>
      <c r="BEV82" s="570"/>
      <c r="BEW82" s="570"/>
      <c r="BEX82" s="570"/>
      <c r="BEY82" s="570"/>
      <c r="BEZ82" s="570"/>
      <c r="BFA82" s="570"/>
      <c r="BFB82" s="570"/>
      <c r="BFC82" s="570"/>
      <c r="BFD82" s="570"/>
      <c r="BFE82" s="570"/>
      <c r="BFF82" s="570"/>
      <c r="BFG82" s="570"/>
      <c r="BFH82" s="570"/>
      <c r="BFI82" s="570"/>
      <c r="BFJ82" s="570"/>
      <c r="BFK82" s="570"/>
      <c r="BFL82" s="570"/>
      <c r="BFM82" s="570"/>
      <c r="BFN82" s="570"/>
      <c r="BFO82" s="570"/>
      <c r="BFP82" s="570"/>
      <c r="BFQ82" s="570"/>
      <c r="BFR82" s="570"/>
      <c r="BFS82" s="570"/>
      <c r="BFT82" s="570"/>
      <c r="BFU82" s="570"/>
      <c r="BFV82" s="570"/>
      <c r="BFW82" s="570"/>
      <c r="BFX82" s="570"/>
      <c r="BFY82" s="570"/>
      <c r="BFZ82" s="570"/>
      <c r="BGA82" s="570"/>
      <c r="BGB82" s="570"/>
      <c r="BGC82" s="570"/>
      <c r="BGD82" s="570"/>
      <c r="BGE82" s="570"/>
      <c r="BGF82" s="570"/>
      <c r="BGG82" s="570"/>
      <c r="BGH82" s="570"/>
      <c r="BGI82" s="570"/>
      <c r="BGJ82" s="570"/>
      <c r="BGK82" s="570"/>
      <c r="BGL82" s="570"/>
      <c r="BGM82" s="570"/>
      <c r="BGN82" s="570"/>
      <c r="BGO82" s="570"/>
      <c r="BGP82" s="570"/>
      <c r="BGQ82" s="570"/>
      <c r="BGR82" s="570"/>
      <c r="BGS82" s="570"/>
      <c r="BGT82" s="570"/>
      <c r="BGU82" s="570"/>
      <c r="BGV82" s="570"/>
      <c r="BGW82" s="570"/>
      <c r="BGX82" s="570"/>
      <c r="BGY82" s="570"/>
      <c r="BGZ82" s="570"/>
      <c r="BHA82" s="570"/>
      <c r="BHB82" s="570"/>
      <c r="BHC82" s="570"/>
      <c r="BHD82" s="570"/>
      <c r="BHE82" s="570"/>
      <c r="BHF82" s="570"/>
      <c r="BHG82" s="570"/>
      <c r="BHH82" s="570"/>
      <c r="BHI82" s="570"/>
      <c r="BHJ82" s="570"/>
      <c r="BHK82" s="570"/>
      <c r="BHL82" s="570"/>
      <c r="BHM82" s="570"/>
      <c r="BHN82" s="570"/>
      <c r="BHO82" s="570"/>
      <c r="BHP82" s="570"/>
      <c r="BHQ82" s="570"/>
      <c r="BHR82" s="570"/>
      <c r="BHS82" s="570"/>
      <c r="BHT82" s="570"/>
      <c r="BHU82" s="570"/>
      <c r="BHV82" s="570"/>
      <c r="BHW82" s="570"/>
      <c r="BHX82" s="570"/>
      <c r="BHY82" s="570"/>
      <c r="BHZ82" s="570"/>
      <c r="BIA82" s="570"/>
      <c r="BIB82" s="570"/>
      <c r="BIC82" s="570"/>
      <c r="BID82" s="570"/>
      <c r="BIE82" s="570"/>
      <c r="BIF82" s="570"/>
      <c r="BIG82" s="570"/>
      <c r="BIH82" s="570"/>
      <c r="BII82" s="570"/>
      <c r="BIJ82" s="570"/>
      <c r="BIK82" s="570"/>
      <c r="BIL82" s="570"/>
      <c r="BIM82" s="570"/>
      <c r="BIN82" s="570"/>
      <c r="BIO82" s="570"/>
      <c r="BIP82" s="570"/>
      <c r="BIQ82" s="570"/>
      <c r="BIR82" s="570"/>
      <c r="BIS82" s="570"/>
      <c r="BIT82" s="570"/>
      <c r="BIU82" s="570"/>
      <c r="BIV82" s="570"/>
      <c r="BIW82" s="570"/>
      <c r="BIX82" s="570"/>
      <c r="BIY82" s="570"/>
      <c r="BIZ82" s="570"/>
      <c r="BJA82" s="570"/>
      <c r="BJB82" s="570"/>
      <c r="BJC82" s="570"/>
      <c r="BJD82" s="570"/>
      <c r="BJE82" s="570"/>
      <c r="BJF82" s="570"/>
      <c r="BJG82" s="570"/>
      <c r="BJH82" s="570"/>
      <c r="BJI82" s="570"/>
      <c r="BJJ82" s="570"/>
      <c r="BJK82" s="570"/>
      <c r="BJL82" s="570"/>
      <c r="BJM82" s="570"/>
      <c r="BJN82" s="570"/>
      <c r="BJO82" s="570"/>
      <c r="BJP82" s="570"/>
      <c r="BJQ82" s="570"/>
      <c r="BJR82" s="570"/>
      <c r="BJS82" s="570"/>
      <c r="BJT82" s="570"/>
      <c r="BJU82" s="570"/>
      <c r="BJV82" s="570"/>
      <c r="BJW82" s="570"/>
      <c r="BJX82" s="570"/>
      <c r="BJY82" s="570"/>
      <c r="BJZ82" s="570"/>
      <c r="BKA82" s="570"/>
      <c r="BKB82" s="570"/>
      <c r="BKC82" s="570"/>
      <c r="BKD82" s="570"/>
      <c r="BKE82" s="570"/>
      <c r="BKF82" s="570"/>
      <c r="BKG82" s="570"/>
      <c r="BKH82" s="570"/>
      <c r="BKI82" s="570"/>
      <c r="BKJ82" s="570"/>
      <c r="BKK82" s="570"/>
      <c r="BKL82" s="570"/>
      <c r="BKM82" s="570"/>
      <c r="BKN82" s="570"/>
      <c r="BKO82" s="570"/>
      <c r="BKP82" s="570"/>
      <c r="BKQ82" s="570"/>
      <c r="BKR82" s="570"/>
      <c r="BKS82" s="570"/>
      <c r="BKT82" s="570"/>
      <c r="BKU82" s="570"/>
      <c r="BKV82" s="570"/>
      <c r="BKW82" s="570"/>
      <c r="BKX82" s="570"/>
      <c r="BKY82" s="570"/>
      <c r="BKZ82" s="570"/>
      <c r="BLA82" s="570"/>
      <c r="BLB82" s="570"/>
      <c r="BLC82" s="570"/>
      <c r="BLD82" s="570"/>
      <c r="BLE82" s="570"/>
      <c r="BLF82" s="570"/>
      <c r="BLG82" s="570"/>
      <c r="BLH82" s="570"/>
      <c r="BLI82" s="570"/>
      <c r="BLJ82" s="570"/>
      <c r="BLK82" s="570"/>
      <c r="BLL82" s="570"/>
      <c r="BLM82" s="570"/>
      <c r="BLN82" s="570"/>
      <c r="BLO82" s="570"/>
      <c r="BLP82" s="570"/>
      <c r="BLQ82" s="570"/>
      <c r="BLR82" s="570"/>
      <c r="BLS82" s="570"/>
      <c r="BLT82" s="570"/>
      <c r="BLU82" s="570"/>
      <c r="BLV82" s="570"/>
      <c r="BLW82" s="570"/>
      <c r="BLX82" s="570"/>
      <c r="BLY82" s="570"/>
      <c r="BLZ82" s="570"/>
      <c r="BMA82" s="570"/>
      <c r="BMB82" s="570"/>
      <c r="BMC82" s="570"/>
      <c r="BMD82" s="570"/>
      <c r="BME82" s="570"/>
      <c r="BMF82" s="570"/>
      <c r="BMG82" s="570"/>
      <c r="BMH82" s="570"/>
      <c r="BMI82" s="570"/>
      <c r="BMJ82" s="570"/>
      <c r="BMK82" s="570"/>
      <c r="BML82" s="570"/>
      <c r="BMM82" s="570"/>
      <c r="BMN82" s="570"/>
      <c r="BMO82" s="570"/>
      <c r="BMP82" s="570"/>
      <c r="BMQ82" s="570"/>
      <c r="BMR82" s="570"/>
      <c r="BMS82" s="570"/>
      <c r="BMT82" s="570"/>
      <c r="BMU82" s="570"/>
      <c r="BMV82" s="570"/>
      <c r="BMW82" s="570"/>
      <c r="BMX82" s="570"/>
      <c r="BMY82" s="570"/>
      <c r="BMZ82" s="570"/>
      <c r="BNA82" s="570"/>
      <c r="BNB82" s="570"/>
      <c r="BNC82" s="570"/>
      <c r="BND82" s="570"/>
      <c r="BNE82" s="570"/>
      <c r="BNF82" s="570"/>
      <c r="BNG82" s="570"/>
      <c r="BNH82" s="570"/>
      <c r="BNI82" s="570"/>
      <c r="BNJ82" s="570"/>
      <c r="BNK82" s="570"/>
      <c r="BNL82" s="570"/>
      <c r="BNM82" s="570"/>
      <c r="BNN82" s="570"/>
      <c r="BNO82" s="570"/>
      <c r="BNP82" s="570"/>
      <c r="BNQ82" s="570"/>
      <c r="BNR82" s="570"/>
      <c r="BNS82" s="570"/>
      <c r="BNT82" s="570"/>
      <c r="BNU82" s="570"/>
      <c r="BNV82" s="570"/>
      <c r="BNW82" s="570"/>
      <c r="BNX82" s="570"/>
      <c r="BNY82" s="570"/>
      <c r="BNZ82" s="570"/>
      <c r="BOA82" s="570"/>
      <c r="BOB82" s="570"/>
      <c r="BOC82" s="570"/>
      <c r="BOD82" s="570"/>
      <c r="BOE82" s="570"/>
      <c r="BOF82" s="570"/>
      <c r="BOG82" s="570"/>
      <c r="BOH82" s="570"/>
      <c r="BOI82" s="570"/>
      <c r="BOJ82" s="570"/>
      <c r="BOK82" s="570"/>
      <c r="BOL82" s="570"/>
      <c r="BOM82" s="570"/>
      <c r="BON82" s="570"/>
      <c r="BOO82" s="570"/>
      <c r="BOP82" s="570"/>
      <c r="BOQ82" s="570"/>
      <c r="BOR82" s="570"/>
      <c r="BOS82" s="570"/>
      <c r="BOT82" s="570"/>
      <c r="BOU82" s="570"/>
      <c r="BOV82" s="570"/>
      <c r="BOW82" s="570"/>
      <c r="BOX82" s="570"/>
      <c r="BOY82" s="570"/>
      <c r="BOZ82" s="570"/>
      <c r="BPA82" s="570"/>
      <c r="BPB82" s="570"/>
      <c r="BPC82" s="570"/>
      <c r="BPD82" s="570"/>
      <c r="BPE82" s="570"/>
      <c r="BPF82" s="570"/>
      <c r="BPG82" s="570"/>
      <c r="BPH82" s="570"/>
      <c r="BPI82" s="570"/>
      <c r="BPJ82" s="570"/>
      <c r="BPK82" s="570"/>
      <c r="BPL82" s="570"/>
      <c r="BPM82" s="570"/>
      <c r="BPN82" s="570"/>
      <c r="BPO82" s="570"/>
      <c r="BPP82" s="570"/>
      <c r="BPQ82" s="570"/>
      <c r="BPR82" s="570"/>
      <c r="BPS82" s="570"/>
      <c r="BPT82" s="570"/>
      <c r="BPU82" s="570"/>
      <c r="BPV82" s="570"/>
      <c r="BPW82" s="570"/>
      <c r="BPX82" s="570"/>
      <c r="BPY82" s="570"/>
      <c r="BPZ82" s="570"/>
      <c r="BQA82" s="570"/>
      <c r="BQB82" s="570"/>
      <c r="BQC82" s="570"/>
      <c r="BQD82" s="570"/>
      <c r="BQE82" s="570"/>
      <c r="BQF82" s="570"/>
      <c r="BQG82" s="570"/>
      <c r="BQH82" s="570"/>
      <c r="BQI82" s="570"/>
      <c r="BQJ82" s="570"/>
      <c r="BQK82" s="570"/>
      <c r="BQL82" s="570"/>
      <c r="BQM82" s="570"/>
      <c r="BQN82" s="570"/>
      <c r="BQO82" s="570"/>
      <c r="BQP82" s="570"/>
      <c r="BQQ82" s="570"/>
      <c r="BQR82" s="570"/>
      <c r="BQS82" s="570"/>
      <c r="BQT82" s="570"/>
      <c r="BQU82" s="570"/>
      <c r="BQV82" s="570"/>
      <c r="BQW82" s="570"/>
      <c r="BQX82" s="570"/>
      <c r="BQY82" s="570"/>
      <c r="BQZ82" s="570"/>
      <c r="BRA82" s="570"/>
      <c r="BRB82" s="570"/>
      <c r="BRC82" s="570"/>
      <c r="BRD82" s="570"/>
      <c r="BRE82" s="570"/>
      <c r="BRF82" s="570"/>
      <c r="BRG82" s="570"/>
      <c r="BRH82" s="570"/>
      <c r="BRI82" s="570"/>
      <c r="BRJ82" s="570"/>
      <c r="BRK82" s="570"/>
      <c r="BRL82" s="570"/>
      <c r="BRM82" s="570"/>
      <c r="BRN82" s="570"/>
      <c r="BRO82" s="570"/>
      <c r="BRP82" s="570"/>
      <c r="BRQ82" s="570"/>
      <c r="BRR82" s="570"/>
      <c r="BRS82" s="570"/>
      <c r="BRT82" s="570"/>
      <c r="BRU82" s="570"/>
      <c r="BRV82" s="570"/>
      <c r="BRW82" s="570"/>
      <c r="BRX82" s="570"/>
      <c r="BRY82" s="570"/>
      <c r="BRZ82" s="570"/>
      <c r="BSA82" s="570"/>
      <c r="BSB82" s="570"/>
      <c r="BSC82" s="570"/>
      <c r="BSD82" s="570"/>
      <c r="BSE82" s="570"/>
      <c r="BSF82" s="570"/>
      <c r="BSG82" s="570"/>
      <c r="BSH82" s="570"/>
      <c r="BSI82" s="570"/>
      <c r="BSJ82" s="570"/>
      <c r="BSK82" s="570"/>
      <c r="BSL82" s="570"/>
      <c r="BSM82" s="570"/>
      <c r="BSN82" s="570"/>
      <c r="BSO82" s="570"/>
      <c r="BSP82" s="570"/>
      <c r="BSQ82" s="570"/>
      <c r="BSR82" s="570"/>
      <c r="BSS82" s="570"/>
      <c r="BST82" s="570"/>
      <c r="BSU82" s="570"/>
      <c r="BSV82" s="570"/>
      <c r="BSW82" s="570"/>
      <c r="BSX82" s="570"/>
      <c r="BSY82" s="570"/>
      <c r="BSZ82" s="570"/>
      <c r="BTA82" s="570"/>
      <c r="BTB82" s="570"/>
      <c r="BTC82" s="570"/>
      <c r="BTD82" s="570"/>
      <c r="BTE82" s="570"/>
      <c r="BTF82" s="570"/>
      <c r="BTG82" s="570"/>
      <c r="BTH82" s="570"/>
      <c r="BTI82" s="570"/>
      <c r="BTJ82" s="570"/>
      <c r="BTK82" s="570"/>
      <c r="BTL82" s="570"/>
      <c r="BTM82" s="570"/>
      <c r="BTN82" s="570"/>
      <c r="BTO82" s="570"/>
      <c r="BTP82" s="570"/>
      <c r="BTQ82" s="570"/>
      <c r="BTR82" s="570"/>
      <c r="BTS82" s="570"/>
      <c r="BTT82" s="570"/>
      <c r="BTU82" s="570"/>
      <c r="BTV82" s="570"/>
      <c r="BTW82" s="570"/>
      <c r="BTX82" s="570"/>
      <c r="BTY82" s="570"/>
      <c r="BTZ82" s="570"/>
      <c r="BUA82" s="570"/>
      <c r="BUB82" s="570"/>
      <c r="BUC82" s="570"/>
      <c r="BUD82" s="570"/>
      <c r="BUE82" s="570"/>
      <c r="BUF82" s="570"/>
      <c r="BUG82" s="570"/>
      <c r="BUH82" s="570"/>
      <c r="BUI82" s="570"/>
      <c r="BUJ82" s="570"/>
      <c r="BUK82" s="570"/>
      <c r="BUL82" s="570"/>
      <c r="BUM82" s="570"/>
      <c r="BUN82" s="570"/>
      <c r="BUO82" s="570"/>
      <c r="BUP82" s="570"/>
      <c r="BUQ82" s="570"/>
      <c r="BUR82" s="570"/>
      <c r="BUS82" s="570"/>
      <c r="BUT82" s="570"/>
      <c r="BUU82" s="570"/>
      <c r="BUV82" s="570"/>
      <c r="BUW82" s="570"/>
      <c r="BUX82" s="570"/>
      <c r="BUY82" s="570"/>
      <c r="BUZ82" s="570"/>
      <c r="BVA82" s="570"/>
      <c r="BVB82" s="570"/>
      <c r="BVC82" s="570"/>
      <c r="BVD82" s="570"/>
      <c r="BVE82" s="570"/>
      <c r="BVF82" s="570"/>
      <c r="BVG82" s="570"/>
      <c r="BVH82" s="570"/>
      <c r="BVI82" s="570"/>
      <c r="BVJ82" s="570"/>
      <c r="BVK82" s="570"/>
      <c r="BVL82" s="570"/>
      <c r="BVM82" s="570"/>
      <c r="BVN82" s="570"/>
      <c r="BVO82" s="570"/>
      <c r="BVP82" s="570"/>
      <c r="BVQ82" s="570"/>
      <c r="BVR82" s="570"/>
      <c r="BVS82" s="570"/>
      <c r="BVT82" s="570"/>
      <c r="BVU82" s="570"/>
      <c r="BVV82" s="570"/>
      <c r="BVW82" s="570"/>
      <c r="BVX82" s="570"/>
      <c r="BVY82" s="570"/>
      <c r="BVZ82" s="570"/>
      <c r="BWA82" s="570"/>
      <c r="BWB82" s="570"/>
      <c r="BWC82" s="570"/>
      <c r="BWD82" s="570"/>
      <c r="BWE82" s="570"/>
      <c r="BWF82" s="570"/>
      <c r="BWG82" s="570"/>
      <c r="BWH82" s="570"/>
      <c r="BWI82" s="570"/>
      <c r="BWJ82" s="570"/>
      <c r="BWK82" s="570"/>
      <c r="BWL82" s="570"/>
      <c r="BWM82" s="570"/>
      <c r="BWN82" s="570"/>
      <c r="BWO82" s="570"/>
      <c r="BWP82" s="570"/>
      <c r="BWQ82" s="570"/>
      <c r="BWR82" s="570"/>
      <c r="BWS82" s="570"/>
      <c r="BWT82" s="570"/>
      <c r="BWU82" s="570"/>
      <c r="BWV82" s="570"/>
      <c r="BWW82" s="570"/>
      <c r="BWX82" s="570"/>
      <c r="BWY82" s="570"/>
      <c r="BWZ82" s="570"/>
      <c r="BXA82" s="570"/>
      <c r="BXB82" s="570"/>
      <c r="BXC82" s="570"/>
      <c r="BXD82" s="570"/>
      <c r="BXE82" s="570"/>
      <c r="BXF82" s="570"/>
      <c r="BXG82" s="570"/>
      <c r="BXH82" s="570"/>
      <c r="BXI82" s="570"/>
      <c r="BXJ82" s="570"/>
      <c r="BXK82" s="570"/>
      <c r="BXL82" s="570"/>
      <c r="BXM82" s="570"/>
      <c r="BXN82" s="570"/>
      <c r="BXO82" s="570"/>
      <c r="BXP82" s="570"/>
      <c r="BXQ82" s="570"/>
      <c r="BXR82" s="570"/>
      <c r="BXS82" s="570"/>
      <c r="BXT82" s="570"/>
      <c r="BXU82" s="570"/>
      <c r="BXV82" s="570"/>
      <c r="BXW82" s="570"/>
      <c r="BXX82" s="570"/>
      <c r="BXY82" s="570"/>
      <c r="BXZ82" s="570"/>
      <c r="BYA82" s="570"/>
      <c r="BYB82" s="570"/>
      <c r="BYC82" s="570"/>
      <c r="BYD82" s="570"/>
      <c r="BYE82" s="570"/>
      <c r="BYF82" s="570"/>
      <c r="BYG82" s="570"/>
      <c r="BYH82" s="570"/>
      <c r="BYI82" s="570"/>
      <c r="BYJ82" s="570"/>
      <c r="BYK82" s="570"/>
      <c r="BYL82" s="570"/>
      <c r="BYM82" s="570"/>
      <c r="BYN82" s="570"/>
      <c r="BYO82" s="570"/>
      <c r="BYP82" s="570"/>
      <c r="BYQ82" s="570"/>
      <c r="BYR82" s="570"/>
      <c r="BYS82" s="570"/>
      <c r="BYT82" s="570"/>
      <c r="BYU82" s="570"/>
      <c r="BYV82" s="570"/>
      <c r="BYW82" s="570"/>
      <c r="BYX82" s="570"/>
      <c r="BYY82" s="570"/>
      <c r="BYZ82" s="570"/>
      <c r="BZA82" s="570"/>
      <c r="BZB82" s="570"/>
      <c r="BZC82" s="570"/>
      <c r="BZD82" s="570"/>
      <c r="BZE82" s="570"/>
      <c r="BZF82" s="570"/>
      <c r="BZG82" s="570"/>
      <c r="BZH82" s="570"/>
      <c r="BZI82" s="570"/>
      <c r="BZJ82" s="570"/>
      <c r="BZK82" s="570"/>
      <c r="BZL82" s="570"/>
      <c r="BZM82" s="570"/>
      <c r="BZN82" s="570"/>
      <c r="BZO82" s="570"/>
      <c r="BZP82" s="570"/>
      <c r="BZQ82" s="570"/>
      <c r="BZR82" s="570"/>
      <c r="BZS82" s="570"/>
      <c r="BZT82" s="570"/>
      <c r="BZU82" s="570"/>
      <c r="BZV82" s="570"/>
      <c r="BZW82" s="570"/>
      <c r="BZX82" s="570"/>
      <c r="BZY82" s="570"/>
      <c r="BZZ82" s="570"/>
      <c r="CAA82" s="570"/>
      <c r="CAB82" s="570"/>
      <c r="CAC82" s="570"/>
      <c r="CAD82" s="570"/>
      <c r="CAE82" s="570"/>
      <c r="CAF82" s="570"/>
      <c r="CAG82" s="570"/>
      <c r="CAH82" s="570"/>
      <c r="CAI82" s="570"/>
      <c r="CAJ82" s="570"/>
      <c r="CAK82" s="570"/>
      <c r="CAL82" s="570"/>
      <c r="CAM82" s="570"/>
      <c r="CAN82" s="570"/>
      <c r="CAO82" s="570"/>
      <c r="CAP82" s="570"/>
      <c r="CAQ82" s="570"/>
      <c r="CAR82" s="570"/>
      <c r="CAS82" s="570"/>
      <c r="CAT82" s="570"/>
      <c r="CAU82" s="570"/>
      <c r="CAV82" s="570"/>
      <c r="CAW82" s="570"/>
      <c r="CAX82" s="570"/>
      <c r="CAY82" s="570"/>
      <c r="CAZ82" s="570"/>
      <c r="CBA82" s="570"/>
      <c r="CBB82" s="570"/>
      <c r="CBC82" s="570"/>
      <c r="CBD82" s="570"/>
      <c r="CBE82" s="570"/>
      <c r="CBF82" s="570"/>
      <c r="CBG82" s="570"/>
      <c r="CBH82" s="570"/>
      <c r="CBI82" s="570"/>
      <c r="CBJ82" s="570"/>
      <c r="CBK82" s="570"/>
      <c r="CBL82" s="570"/>
      <c r="CBM82" s="570"/>
      <c r="CBN82" s="570"/>
      <c r="CBO82" s="570"/>
      <c r="CBP82" s="570"/>
      <c r="CBQ82" s="570"/>
      <c r="CBR82" s="570"/>
      <c r="CBS82" s="570"/>
      <c r="CBT82" s="570"/>
      <c r="CBU82" s="570"/>
      <c r="CBV82" s="570"/>
      <c r="CBW82" s="570"/>
      <c r="CBX82" s="570"/>
      <c r="CBY82" s="570"/>
      <c r="CBZ82" s="570"/>
      <c r="CCA82" s="570"/>
      <c r="CCB82" s="570"/>
      <c r="CCC82" s="570"/>
      <c r="CCD82" s="570"/>
      <c r="CCE82" s="570"/>
      <c r="CCF82" s="570"/>
      <c r="CCG82" s="570"/>
      <c r="CCH82" s="570"/>
      <c r="CCI82" s="570"/>
      <c r="CCJ82" s="570"/>
      <c r="CCK82" s="570"/>
      <c r="CCL82" s="570"/>
      <c r="CCM82" s="570"/>
      <c r="CCN82" s="570"/>
      <c r="CCO82" s="570"/>
      <c r="CCP82" s="570"/>
      <c r="CCQ82" s="570"/>
      <c r="CCR82" s="570"/>
      <c r="CCS82" s="570"/>
      <c r="CCT82" s="570"/>
      <c r="CCU82" s="570"/>
      <c r="CCV82" s="570"/>
      <c r="CCW82" s="570"/>
      <c r="CCX82" s="570"/>
      <c r="CCY82" s="570"/>
      <c r="CCZ82" s="570"/>
      <c r="CDA82" s="570"/>
      <c r="CDB82" s="570"/>
      <c r="CDC82" s="570"/>
      <c r="CDD82" s="570"/>
      <c r="CDE82" s="570"/>
      <c r="CDF82" s="570"/>
      <c r="CDG82" s="570"/>
      <c r="CDH82" s="570"/>
      <c r="CDI82" s="570"/>
      <c r="CDJ82" s="570"/>
      <c r="CDK82" s="570"/>
      <c r="CDL82" s="570"/>
      <c r="CDM82" s="570"/>
      <c r="CDN82" s="570"/>
      <c r="CDO82" s="570"/>
      <c r="CDP82" s="570"/>
      <c r="CDQ82" s="570"/>
      <c r="CDR82" s="570"/>
      <c r="CDS82" s="570"/>
      <c r="CDT82" s="570"/>
      <c r="CDU82" s="570"/>
      <c r="CDV82" s="570"/>
      <c r="CDW82" s="570"/>
      <c r="CDX82" s="570"/>
      <c r="CDY82" s="570"/>
      <c r="CDZ82" s="570"/>
      <c r="CEA82" s="570"/>
      <c r="CEB82" s="570"/>
      <c r="CEC82" s="570"/>
      <c r="CED82" s="570"/>
      <c r="CEE82" s="570"/>
      <c r="CEF82" s="570"/>
      <c r="CEG82" s="570"/>
      <c r="CEH82" s="570"/>
      <c r="CEI82" s="570"/>
      <c r="CEJ82" s="570"/>
      <c r="CEK82" s="570"/>
      <c r="CEL82" s="570"/>
      <c r="CEM82" s="570"/>
      <c r="CEN82" s="570"/>
      <c r="CEO82" s="570"/>
      <c r="CEP82" s="570"/>
      <c r="CEQ82" s="570"/>
      <c r="CER82" s="570"/>
      <c r="CES82" s="570"/>
      <c r="CET82" s="570"/>
      <c r="CEU82" s="570"/>
      <c r="CEV82" s="570"/>
      <c r="CEW82" s="570"/>
      <c r="CEX82" s="570"/>
      <c r="CEY82" s="570"/>
      <c r="CEZ82" s="570"/>
      <c r="CFA82" s="570"/>
      <c r="CFB82" s="570"/>
      <c r="CFC82" s="570"/>
      <c r="CFD82" s="570"/>
      <c r="CFE82" s="570"/>
      <c r="CFF82" s="570"/>
      <c r="CFG82" s="570"/>
      <c r="CFH82" s="570"/>
      <c r="CFI82" s="570"/>
      <c r="CFJ82" s="570"/>
      <c r="CFK82" s="570"/>
      <c r="CFL82" s="570"/>
      <c r="CFM82" s="570"/>
      <c r="CFN82" s="570"/>
      <c r="CFO82" s="570"/>
      <c r="CFP82" s="570"/>
      <c r="CFQ82" s="570"/>
      <c r="CFR82" s="570"/>
      <c r="CFS82" s="570"/>
      <c r="CFT82" s="570"/>
      <c r="CFU82" s="570"/>
      <c r="CFV82" s="570"/>
      <c r="CFW82" s="570"/>
      <c r="CFX82" s="570"/>
      <c r="CFY82" s="570"/>
      <c r="CFZ82" s="570"/>
      <c r="CGA82" s="570"/>
      <c r="CGB82" s="570"/>
      <c r="CGC82" s="570"/>
      <c r="CGD82" s="570"/>
      <c r="CGE82" s="570"/>
      <c r="CGF82" s="570"/>
      <c r="CGG82" s="570"/>
      <c r="CGH82" s="570"/>
      <c r="CGI82" s="570"/>
      <c r="CGJ82" s="570"/>
      <c r="CGK82" s="570"/>
      <c r="CGL82" s="570"/>
      <c r="CGM82" s="570"/>
      <c r="CGN82" s="570"/>
      <c r="CGO82" s="570"/>
      <c r="CGP82" s="570"/>
      <c r="CGQ82" s="570"/>
      <c r="CGR82" s="570"/>
      <c r="CGS82" s="570"/>
      <c r="CGT82" s="570"/>
      <c r="CGU82" s="570"/>
      <c r="CGV82" s="570"/>
      <c r="CGW82" s="570"/>
      <c r="CGX82" s="570"/>
      <c r="CGY82" s="570"/>
      <c r="CGZ82" s="570"/>
      <c r="CHA82" s="570"/>
      <c r="CHB82" s="570"/>
      <c r="CHC82" s="570"/>
      <c r="CHD82" s="570"/>
      <c r="CHE82" s="570"/>
      <c r="CHF82" s="570"/>
      <c r="CHG82" s="570"/>
      <c r="CHH82" s="570"/>
      <c r="CHI82" s="570"/>
      <c r="CHJ82" s="570"/>
      <c r="CHK82" s="570"/>
      <c r="CHL82" s="570"/>
      <c r="CHM82" s="570"/>
      <c r="CHN82" s="570"/>
      <c r="CHO82" s="570"/>
      <c r="CHP82" s="570"/>
      <c r="CHQ82" s="570"/>
      <c r="CHR82" s="570"/>
      <c r="CHS82" s="570"/>
      <c r="CHT82" s="570"/>
      <c r="CHU82" s="570"/>
      <c r="CHV82" s="570"/>
      <c r="CHW82" s="570"/>
      <c r="CHX82" s="570"/>
      <c r="CHY82" s="570"/>
      <c r="CHZ82" s="570"/>
      <c r="CIA82" s="570"/>
      <c r="CIB82" s="570"/>
      <c r="CIC82" s="570"/>
      <c r="CID82" s="570"/>
      <c r="CIE82" s="570"/>
      <c r="CIF82" s="570"/>
      <c r="CIG82" s="570"/>
      <c r="CIH82" s="570"/>
      <c r="CII82" s="570"/>
      <c r="CIJ82" s="570"/>
      <c r="CIK82" s="570"/>
      <c r="CIL82" s="570"/>
      <c r="CIM82" s="570"/>
      <c r="CIN82" s="570"/>
      <c r="CIO82" s="570"/>
      <c r="CIP82" s="570"/>
      <c r="CIQ82" s="570"/>
      <c r="CIR82" s="570"/>
      <c r="CIS82" s="570"/>
      <c r="CIT82" s="570"/>
      <c r="CIU82" s="570"/>
      <c r="CIV82" s="570"/>
      <c r="CIW82" s="570"/>
      <c r="CIX82" s="570"/>
      <c r="CIY82" s="570"/>
      <c r="CIZ82" s="570"/>
      <c r="CJA82" s="570"/>
      <c r="CJB82" s="570"/>
      <c r="CJC82" s="570"/>
      <c r="CJD82" s="570"/>
      <c r="CJE82" s="570"/>
      <c r="CJF82" s="570"/>
      <c r="CJG82" s="570"/>
      <c r="CJH82" s="570"/>
      <c r="CJI82" s="570"/>
      <c r="CJJ82" s="570"/>
      <c r="CJK82" s="570"/>
      <c r="CJL82" s="570"/>
      <c r="CJM82" s="570"/>
      <c r="CJN82" s="570"/>
      <c r="CJO82" s="570"/>
      <c r="CJP82" s="570"/>
      <c r="CJQ82" s="570"/>
      <c r="CJR82" s="570"/>
      <c r="CJS82" s="570"/>
      <c r="CJT82" s="570"/>
      <c r="CJU82" s="570"/>
      <c r="CJV82" s="570"/>
      <c r="CJW82" s="570"/>
      <c r="CJX82" s="570"/>
      <c r="CJY82" s="570"/>
      <c r="CJZ82" s="570"/>
      <c r="CKA82" s="570"/>
      <c r="CKB82" s="570"/>
      <c r="CKC82" s="570"/>
      <c r="CKD82" s="570"/>
      <c r="CKE82" s="570"/>
      <c r="CKF82" s="570"/>
      <c r="CKG82" s="570"/>
      <c r="CKH82" s="570"/>
      <c r="CKI82" s="570"/>
      <c r="CKJ82" s="570"/>
      <c r="CKK82" s="570"/>
      <c r="CKL82" s="570"/>
      <c r="CKM82" s="570"/>
      <c r="CKN82" s="570"/>
      <c r="CKO82" s="570"/>
      <c r="CKP82" s="570"/>
      <c r="CKQ82" s="570"/>
      <c r="CKR82" s="570"/>
      <c r="CKS82" s="570"/>
      <c r="CKT82" s="570"/>
      <c r="CKU82" s="570"/>
      <c r="CKV82" s="570"/>
      <c r="CKW82" s="570"/>
      <c r="CKX82" s="570"/>
      <c r="CKY82" s="570"/>
      <c r="CKZ82" s="570"/>
      <c r="CLA82" s="570"/>
      <c r="CLB82" s="570"/>
      <c r="CLC82" s="570"/>
      <c r="CLD82" s="570"/>
      <c r="CLE82" s="570"/>
      <c r="CLF82" s="570"/>
      <c r="CLG82" s="570"/>
      <c r="CLH82" s="570"/>
      <c r="CLI82" s="570"/>
      <c r="CLJ82" s="570"/>
      <c r="CLK82" s="570"/>
      <c r="CLL82" s="570"/>
      <c r="CLM82" s="570"/>
      <c r="CLN82" s="570"/>
      <c r="CLO82" s="570"/>
      <c r="CLP82" s="570"/>
      <c r="CLQ82" s="570"/>
      <c r="CLR82" s="570"/>
      <c r="CLS82" s="570"/>
      <c r="CLT82" s="570"/>
      <c r="CLU82" s="570"/>
      <c r="CLV82" s="570"/>
      <c r="CLW82" s="570"/>
      <c r="CLX82" s="570"/>
      <c r="CLY82" s="570"/>
      <c r="CLZ82" s="570"/>
      <c r="CMA82" s="570"/>
      <c r="CMB82" s="570"/>
      <c r="CMC82" s="570"/>
      <c r="CMD82" s="570"/>
      <c r="CME82" s="570"/>
      <c r="CMF82" s="570"/>
      <c r="CMG82" s="570"/>
      <c r="CMH82" s="570"/>
      <c r="CMI82" s="570"/>
      <c r="CMJ82" s="570"/>
      <c r="CMK82" s="570"/>
      <c r="CML82" s="570"/>
      <c r="CMM82" s="570"/>
      <c r="CMN82" s="570"/>
      <c r="CMO82" s="570"/>
      <c r="CMP82" s="570"/>
      <c r="CMQ82" s="570"/>
      <c r="CMR82" s="570"/>
      <c r="CMS82" s="570"/>
      <c r="CMT82" s="570"/>
      <c r="CMU82" s="570"/>
      <c r="CMV82" s="570"/>
      <c r="CMW82" s="570"/>
      <c r="CMX82" s="570"/>
      <c r="CMY82" s="570"/>
      <c r="CMZ82" s="570"/>
      <c r="CNA82" s="570"/>
      <c r="CNB82" s="570"/>
      <c r="CNC82" s="570"/>
      <c r="CND82" s="570"/>
      <c r="CNE82" s="570"/>
      <c r="CNF82" s="570"/>
      <c r="CNG82" s="570"/>
      <c r="CNH82" s="570"/>
      <c r="CNI82" s="570"/>
      <c r="CNJ82" s="570"/>
      <c r="CNK82" s="570"/>
      <c r="CNL82" s="570"/>
      <c r="CNM82" s="570"/>
      <c r="CNN82" s="570"/>
      <c r="CNO82" s="570"/>
      <c r="CNP82" s="570"/>
      <c r="CNQ82" s="570"/>
      <c r="CNR82" s="570"/>
      <c r="CNS82" s="570"/>
      <c r="CNT82" s="570"/>
      <c r="CNU82" s="570"/>
      <c r="CNV82" s="570"/>
      <c r="CNW82" s="570"/>
      <c r="CNX82" s="570"/>
      <c r="CNY82" s="570"/>
      <c r="CNZ82" s="570"/>
      <c r="COA82" s="570"/>
      <c r="COB82" s="570"/>
      <c r="COC82" s="570"/>
      <c r="COD82" s="570"/>
      <c r="COE82" s="570"/>
      <c r="COF82" s="570"/>
      <c r="COG82" s="570"/>
      <c r="COH82" s="570"/>
      <c r="COI82" s="570"/>
      <c r="COJ82" s="570"/>
      <c r="COK82" s="570"/>
      <c r="COL82" s="570"/>
      <c r="COM82" s="570"/>
      <c r="CON82" s="570"/>
      <c r="COO82" s="570"/>
      <c r="COP82" s="570"/>
      <c r="COQ82" s="570"/>
      <c r="COR82" s="570"/>
      <c r="COS82" s="570"/>
      <c r="COT82" s="570"/>
      <c r="COU82" s="570"/>
      <c r="COV82" s="570"/>
      <c r="COW82" s="570"/>
      <c r="COX82" s="570"/>
      <c r="COY82" s="570"/>
      <c r="COZ82" s="570"/>
      <c r="CPA82" s="570"/>
      <c r="CPB82" s="570"/>
      <c r="CPC82" s="570"/>
      <c r="CPD82" s="570"/>
      <c r="CPE82" s="570"/>
      <c r="CPF82" s="570"/>
      <c r="CPG82" s="570"/>
      <c r="CPH82" s="570"/>
      <c r="CPI82" s="570"/>
      <c r="CPJ82" s="570"/>
      <c r="CPK82" s="570"/>
      <c r="CPL82" s="570"/>
      <c r="CPM82" s="570"/>
      <c r="CPN82" s="570"/>
      <c r="CPO82" s="570"/>
      <c r="CPP82" s="570"/>
      <c r="CPQ82" s="570"/>
      <c r="CPR82" s="570"/>
      <c r="CPS82" s="570"/>
      <c r="CPT82" s="570"/>
      <c r="CPU82" s="570"/>
      <c r="CPV82" s="570"/>
      <c r="CPW82" s="570"/>
      <c r="CPX82" s="570"/>
      <c r="CPY82" s="570"/>
      <c r="CPZ82" s="570"/>
      <c r="CQA82" s="570"/>
      <c r="CQB82" s="570"/>
      <c r="CQC82" s="570"/>
      <c r="CQD82" s="570"/>
      <c r="CQE82" s="570"/>
      <c r="CQF82" s="570"/>
      <c r="CQG82" s="570"/>
      <c r="CQH82" s="570"/>
      <c r="CQI82" s="570"/>
      <c r="CQJ82" s="570"/>
      <c r="CQK82" s="570"/>
      <c r="CQL82" s="570"/>
      <c r="CQM82" s="570"/>
      <c r="CQN82" s="570"/>
      <c r="CQO82" s="570"/>
      <c r="CQP82" s="570"/>
      <c r="CQQ82" s="570"/>
      <c r="CQR82" s="570"/>
      <c r="CQS82" s="570"/>
      <c r="CQT82" s="570"/>
      <c r="CQU82" s="570"/>
      <c r="CQV82" s="570"/>
      <c r="CQW82" s="570"/>
      <c r="CQX82" s="570"/>
      <c r="CQY82" s="570"/>
      <c r="CQZ82" s="570"/>
      <c r="CRA82" s="570"/>
      <c r="CRB82" s="570"/>
      <c r="CRC82" s="570"/>
      <c r="CRD82" s="570"/>
      <c r="CRE82" s="570"/>
      <c r="CRF82" s="570"/>
      <c r="CRG82" s="570"/>
      <c r="CRH82" s="570"/>
      <c r="CRI82" s="570"/>
      <c r="CRJ82" s="570"/>
      <c r="CRK82" s="570"/>
      <c r="CRL82" s="570"/>
      <c r="CRM82" s="570"/>
      <c r="CRN82" s="570"/>
      <c r="CRO82" s="570"/>
      <c r="CRP82" s="570"/>
      <c r="CRQ82" s="570"/>
      <c r="CRR82" s="570"/>
      <c r="CRS82" s="570"/>
      <c r="CRT82" s="570"/>
      <c r="CRU82" s="570"/>
      <c r="CRV82" s="570"/>
      <c r="CRW82" s="570"/>
      <c r="CRX82" s="570"/>
      <c r="CRY82" s="570"/>
      <c r="CRZ82" s="570"/>
      <c r="CSA82" s="570"/>
      <c r="CSB82" s="570"/>
      <c r="CSC82" s="570"/>
      <c r="CSD82" s="570"/>
      <c r="CSE82" s="570"/>
      <c r="CSF82" s="570"/>
      <c r="CSG82" s="570"/>
      <c r="CSH82" s="570"/>
      <c r="CSI82" s="570"/>
      <c r="CSJ82" s="570"/>
      <c r="CSK82" s="570"/>
      <c r="CSL82" s="570"/>
      <c r="CSM82" s="570"/>
      <c r="CSN82" s="570"/>
      <c r="CSO82" s="570"/>
      <c r="CSP82" s="570"/>
      <c r="CSQ82" s="570"/>
      <c r="CSR82" s="570"/>
      <c r="CSS82" s="570"/>
      <c r="CST82" s="570"/>
      <c r="CSU82" s="570"/>
      <c r="CSV82" s="570"/>
      <c r="CSW82" s="570"/>
      <c r="CSX82" s="570"/>
      <c r="CSY82" s="570"/>
      <c r="CSZ82" s="570"/>
      <c r="CTA82" s="570"/>
      <c r="CTB82" s="570"/>
      <c r="CTC82" s="570"/>
      <c r="CTD82" s="570"/>
      <c r="CTE82" s="570"/>
      <c r="CTF82" s="570"/>
      <c r="CTG82" s="570"/>
      <c r="CTH82" s="570"/>
      <c r="CTI82" s="570"/>
      <c r="CTJ82" s="570"/>
      <c r="CTK82" s="570"/>
      <c r="CTL82" s="570"/>
      <c r="CTM82" s="570"/>
      <c r="CTN82" s="570"/>
      <c r="CTO82" s="570"/>
      <c r="CTP82" s="570"/>
      <c r="CTQ82" s="570"/>
      <c r="CTR82" s="570"/>
      <c r="CTS82" s="570"/>
      <c r="CTT82" s="570"/>
      <c r="CTU82" s="570"/>
      <c r="CTV82" s="570"/>
      <c r="CTW82" s="570"/>
      <c r="CTX82" s="570"/>
      <c r="CTY82" s="570"/>
      <c r="CTZ82" s="570"/>
      <c r="CUA82" s="570"/>
      <c r="CUB82" s="570"/>
      <c r="CUC82" s="570"/>
      <c r="CUD82" s="570"/>
      <c r="CUE82" s="570"/>
      <c r="CUF82" s="570"/>
      <c r="CUG82" s="570"/>
      <c r="CUH82" s="570"/>
      <c r="CUI82" s="570"/>
      <c r="CUJ82" s="570"/>
      <c r="CUK82" s="570"/>
      <c r="CUL82" s="570"/>
      <c r="CUM82" s="570"/>
      <c r="CUN82" s="570"/>
      <c r="CUO82" s="570"/>
      <c r="CUP82" s="570"/>
      <c r="CUQ82" s="570"/>
      <c r="CUR82" s="570"/>
      <c r="CUS82" s="570"/>
      <c r="CUT82" s="570"/>
      <c r="CUU82" s="570"/>
      <c r="CUV82" s="570"/>
      <c r="CUW82" s="570"/>
      <c r="CUX82" s="570"/>
      <c r="CUY82" s="570"/>
      <c r="CUZ82" s="570"/>
      <c r="CVA82" s="570"/>
      <c r="CVB82" s="570"/>
      <c r="CVC82" s="570"/>
      <c r="CVD82" s="570"/>
      <c r="CVE82" s="570"/>
      <c r="CVF82" s="570"/>
      <c r="CVG82" s="570"/>
      <c r="CVH82" s="570"/>
      <c r="CVI82" s="570"/>
      <c r="CVJ82" s="570"/>
      <c r="CVK82" s="570"/>
      <c r="CVL82" s="570"/>
      <c r="CVM82" s="570"/>
      <c r="CVN82" s="570"/>
      <c r="CVO82" s="570"/>
      <c r="CVP82" s="570"/>
      <c r="CVQ82" s="570"/>
      <c r="CVR82" s="570"/>
      <c r="CVS82" s="570"/>
      <c r="CVT82" s="570"/>
      <c r="CVU82" s="570"/>
      <c r="CVV82" s="570"/>
      <c r="CVW82" s="570"/>
      <c r="CVX82" s="570"/>
      <c r="CVY82" s="570"/>
      <c r="CVZ82" s="570"/>
      <c r="CWA82" s="570"/>
      <c r="CWB82" s="570"/>
      <c r="CWC82" s="570"/>
      <c r="CWD82" s="570"/>
      <c r="CWE82" s="570"/>
      <c r="CWF82" s="570"/>
      <c r="CWG82" s="570"/>
      <c r="CWH82" s="570"/>
      <c r="CWI82" s="570"/>
      <c r="CWJ82" s="570"/>
      <c r="CWK82" s="570"/>
      <c r="CWL82" s="570"/>
      <c r="CWM82" s="570"/>
      <c r="CWN82" s="570"/>
      <c r="CWO82" s="570"/>
      <c r="CWP82" s="570"/>
      <c r="CWQ82" s="570"/>
      <c r="CWR82" s="570"/>
      <c r="CWS82" s="570"/>
      <c r="CWT82" s="570"/>
      <c r="CWU82" s="570"/>
      <c r="CWV82" s="570"/>
      <c r="CWW82" s="570"/>
      <c r="CWX82" s="570"/>
      <c r="CWY82" s="570"/>
      <c r="CWZ82" s="570"/>
      <c r="CXA82" s="570"/>
      <c r="CXB82" s="570"/>
      <c r="CXC82" s="570"/>
      <c r="CXD82" s="570"/>
      <c r="CXE82" s="570"/>
      <c r="CXF82" s="570"/>
      <c r="CXG82" s="570"/>
      <c r="CXH82" s="570"/>
      <c r="CXI82" s="570"/>
      <c r="CXJ82" s="570"/>
      <c r="CXK82" s="570"/>
      <c r="CXL82" s="570"/>
      <c r="CXM82" s="570"/>
      <c r="CXN82" s="570"/>
      <c r="CXO82" s="570"/>
      <c r="CXP82" s="570"/>
      <c r="CXQ82" s="570"/>
      <c r="CXR82" s="570"/>
      <c r="CXS82" s="570"/>
      <c r="CXT82" s="570"/>
      <c r="CXU82" s="570"/>
      <c r="CXV82" s="570"/>
      <c r="CXW82" s="570"/>
      <c r="CXX82" s="570"/>
      <c r="CXY82" s="570"/>
      <c r="CXZ82" s="570"/>
      <c r="CYA82" s="570"/>
      <c r="CYB82" s="570"/>
      <c r="CYC82" s="570"/>
      <c r="CYD82" s="570"/>
      <c r="CYE82" s="570"/>
      <c r="CYF82" s="570"/>
      <c r="CYG82" s="570"/>
      <c r="CYH82" s="570"/>
      <c r="CYI82" s="570"/>
      <c r="CYJ82" s="570"/>
      <c r="CYK82" s="570"/>
      <c r="CYL82" s="570"/>
      <c r="CYM82" s="570"/>
      <c r="CYN82" s="570"/>
      <c r="CYO82" s="570"/>
      <c r="CYP82" s="570"/>
      <c r="CYQ82" s="570"/>
      <c r="CYR82" s="570"/>
      <c r="CYS82" s="570"/>
      <c r="CYT82" s="570"/>
      <c r="CYU82" s="570"/>
      <c r="CYV82" s="570"/>
      <c r="CYW82" s="570"/>
      <c r="CYX82" s="570"/>
      <c r="CYY82" s="570"/>
      <c r="CYZ82" s="570"/>
      <c r="CZA82" s="570"/>
      <c r="CZB82" s="570"/>
      <c r="CZC82" s="570"/>
      <c r="CZD82" s="570"/>
      <c r="CZE82" s="570"/>
      <c r="CZF82" s="570"/>
      <c r="CZG82" s="570"/>
      <c r="CZH82" s="570"/>
      <c r="CZI82" s="570"/>
      <c r="CZJ82" s="570"/>
      <c r="CZK82" s="570"/>
      <c r="CZL82" s="570"/>
      <c r="CZM82" s="570"/>
      <c r="CZN82" s="570"/>
      <c r="CZO82" s="570"/>
      <c r="CZP82" s="570"/>
      <c r="CZQ82" s="570"/>
      <c r="CZR82" s="570"/>
      <c r="CZS82" s="570"/>
      <c r="CZT82" s="570"/>
      <c r="CZU82" s="570"/>
      <c r="CZV82" s="570"/>
      <c r="CZW82" s="570"/>
      <c r="CZX82" s="570"/>
      <c r="CZY82" s="570"/>
      <c r="CZZ82" s="570"/>
      <c r="DAA82" s="570"/>
      <c r="DAB82" s="570"/>
      <c r="DAC82" s="570"/>
      <c r="DAD82" s="570"/>
      <c r="DAE82" s="570"/>
      <c r="DAF82" s="570"/>
      <c r="DAG82" s="570"/>
      <c r="DAH82" s="570"/>
      <c r="DAI82" s="570"/>
      <c r="DAJ82" s="570"/>
      <c r="DAK82" s="570"/>
      <c r="DAL82" s="570"/>
      <c r="DAM82" s="570"/>
      <c r="DAN82" s="570"/>
      <c r="DAO82" s="570"/>
      <c r="DAP82" s="570"/>
      <c r="DAQ82" s="570"/>
      <c r="DAR82" s="570"/>
      <c r="DAS82" s="570"/>
      <c r="DAT82" s="570"/>
      <c r="DAU82" s="570"/>
      <c r="DAV82" s="570"/>
      <c r="DAW82" s="570"/>
      <c r="DAX82" s="570"/>
      <c r="DAY82" s="570"/>
      <c r="DAZ82" s="570"/>
      <c r="DBA82" s="570"/>
      <c r="DBB82" s="570"/>
      <c r="DBC82" s="570"/>
      <c r="DBD82" s="570"/>
      <c r="DBE82" s="570"/>
      <c r="DBF82" s="570"/>
      <c r="DBG82" s="570"/>
      <c r="DBH82" s="570"/>
      <c r="DBI82" s="570"/>
      <c r="DBJ82" s="570"/>
      <c r="DBK82" s="570"/>
      <c r="DBL82" s="570"/>
      <c r="DBM82" s="570"/>
      <c r="DBN82" s="570"/>
      <c r="DBO82" s="570"/>
      <c r="DBP82" s="570"/>
      <c r="DBQ82" s="570"/>
      <c r="DBR82" s="570"/>
      <c r="DBS82" s="570"/>
      <c r="DBT82" s="570"/>
      <c r="DBU82" s="570"/>
      <c r="DBV82" s="570"/>
      <c r="DBW82" s="570"/>
      <c r="DBX82" s="570"/>
      <c r="DBY82" s="570"/>
      <c r="DBZ82" s="570"/>
      <c r="DCA82" s="570"/>
      <c r="DCB82" s="570"/>
      <c r="DCC82" s="570"/>
      <c r="DCD82" s="570"/>
      <c r="DCE82" s="570"/>
      <c r="DCF82" s="570"/>
      <c r="DCG82" s="570"/>
      <c r="DCH82" s="570"/>
      <c r="DCI82" s="570"/>
      <c r="DCJ82" s="570"/>
      <c r="DCK82" s="570"/>
      <c r="DCL82" s="570"/>
      <c r="DCM82" s="570"/>
      <c r="DCN82" s="570"/>
      <c r="DCO82" s="570"/>
      <c r="DCP82" s="570"/>
      <c r="DCQ82" s="570"/>
      <c r="DCR82" s="570"/>
      <c r="DCS82" s="570"/>
      <c r="DCT82" s="570"/>
      <c r="DCU82" s="570"/>
      <c r="DCV82" s="570"/>
      <c r="DCW82" s="570"/>
      <c r="DCX82" s="570"/>
      <c r="DCY82" s="570"/>
      <c r="DCZ82" s="570"/>
      <c r="DDA82" s="570"/>
      <c r="DDB82" s="570"/>
      <c r="DDC82" s="570"/>
      <c r="DDD82" s="570"/>
      <c r="DDE82" s="570"/>
      <c r="DDF82" s="570"/>
      <c r="DDG82" s="570"/>
      <c r="DDH82" s="570"/>
      <c r="DDI82" s="570"/>
      <c r="DDJ82" s="570"/>
      <c r="DDK82" s="570"/>
      <c r="DDL82" s="570"/>
      <c r="DDM82" s="570"/>
      <c r="DDN82" s="570"/>
      <c r="DDO82" s="570"/>
      <c r="DDP82" s="570"/>
      <c r="DDQ82" s="570"/>
      <c r="DDR82" s="570"/>
      <c r="DDS82" s="570"/>
      <c r="DDT82" s="570"/>
      <c r="DDU82" s="570"/>
      <c r="DDV82" s="570"/>
      <c r="DDW82" s="570"/>
      <c r="DDX82" s="570"/>
      <c r="DDY82" s="570"/>
      <c r="DDZ82" s="570"/>
      <c r="DEA82" s="570"/>
      <c r="DEB82" s="570"/>
      <c r="DEC82" s="570"/>
      <c r="DED82" s="570"/>
      <c r="DEE82" s="570"/>
      <c r="DEF82" s="570"/>
      <c r="DEG82" s="570"/>
      <c r="DEH82" s="570"/>
      <c r="DEI82" s="570"/>
      <c r="DEJ82" s="570"/>
      <c r="DEK82" s="570"/>
      <c r="DEL82" s="570"/>
      <c r="DEM82" s="570"/>
      <c r="DEN82" s="570"/>
      <c r="DEO82" s="570"/>
      <c r="DEP82" s="570"/>
      <c r="DEQ82" s="570"/>
      <c r="DER82" s="570"/>
      <c r="DES82" s="570"/>
      <c r="DET82" s="570"/>
      <c r="DEU82" s="570"/>
      <c r="DEV82" s="570"/>
      <c r="DEW82" s="570"/>
      <c r="DEX82" s="570"/>
      <c r="DEY82" s="570"/>
      <c r="DEZ82" s="570"/>
      <c r="DFA82" s="570"/>
      <c r="DFB82" s="570"/>
      <c r="DFC82" s="570"/>
      <c r="DFD82" s="570"/>
      <c r="DFE82" s="570"/>
      <c r="DFF82" s="570"/>
      <c r="DFG82" s="570"/>
      <c r="DFH82" s="570"/>
      <c r="DFI82" s="570"/>
      <c r="DFJ82" s="570"/>
      <c r="DFK82" s="570"/>
      <c r="DFL82" s="570"/>
      <c r="DFM82" s="570"/>
      <c r="DFN82" s="570"/>
      <c r="DFO82" s="570"/>
      <c r="DFP82" s="570"/>
      <c r="DFQ82" s="570"/>
      <c r="DFR82" s="570"/>
      <c r="DFS82" s="570"/>
      <c r="DFT82" s="570"/>
      <c r="DFU82" s="570"/>
      <c r="DFV82" s="570"/>
      <c r="DFW82" s="570"/>
      <c r="DFX82" s="570"/>
      <c r="DFY82" s="570"/>
      <c r="DFZ82" s="570"/>
      <c r="DGA82" s="570"/>
      <c r="DGB82" s="570"/>
      <c r="DGC82" s="570"/>
      <c r="DGD82" s="570"/>
      <c r="DGE82" s="570"/>
      <c r="DGF82" s="570"/>
      <c r="DGG82" s="570"/>
      <c r="DGH82" s="570"/>
      <c r="DGI82" s="570"/>
      <c r="DGJ82" s="570"/>
      <c r="DGK82" s="570"/>
      <c r="DGL82" s="570"/>
      <c r="DGM82" s="570"/>
      <c r="DGN82" s="570"/>
      <c r="DGO82" s="570"/>
      <c r="DGP82" s="570"/>
      <c r="DGQ82" s="570"/>
      <c r="DGR82" s="570"/>
      <c r="DGS82" s="570"/>
      <c r="DGT82" s="570"/>
      <c r="DGU82" s="570"/>
      <c r="DGV82" s="570"/>
      <c r="DGW82" s="570"/>
      <c r="DGX82" s="570"/>
      <c r="DGY82" s="570"/>
      <c r="DGZ82" s="570"/>
      <c r="DHA82" s="570"/>
      <c r="DHB82" s="570"/>
      <c r="DHC82" s="570"/>
      <c r="DHD82" s="570"/>
      <c r="DHE82" s="570"/>
      <c r="DHF82" s="570"/>
      <c r="DHG82" s="570"/>
      <c r="DHH82" s="570"/>
      <c r="DHI82" s="570"/>
      <c r="DHJ82" s="570"/>
      <c r="DHK82" s="570"/>
      <c r="DHL82" s="570"/>
      <c r="DHM82" s="570"/>
      <c r="DHN82" s="570"/>
      <c r="DHO82" s="570"/>
      <c r="DHP82" s="570"/>
      <c r="DHQ82" s="570"/>
      <c r="DHR82" s="570"/>
      <c r="DHS82" s="570"/>
      <c r="DHT82" s="570"/>
      <c r="DHU82" s="570"/>
      <c r="DHV82" s="570"/>
      <c r="DHW82" s="570"/>
      <c r="DHX82" s="570"/>
      <c r="DHY82" s="570"/>
      <c r="DHZ82" s="570"/>
      <c r="DIA82" s="570"/>
      <c r="DIB82" s="570"/>
      <c r="DIC82" s="570"/>
      <c r="DID82" s="570"/>
      <c r="DIE82" s="570"/>
      <c r="DIF82" s="570"/>
      <c r="DIG82" s="570"/>
      <c r="DIH82" s="570"/>
      <c r="DII82" s="570"/>
      <c r="DIJ82" s="570"/>
      <c r="DIK82" s="570"/>
      <c r="DIL82" s="570"/>
      <c r="DIM82" s="570"/>
      <c r="DIN82" s="570"/>
      <c r="DIO82" s="570"/>
      <c r="DIP82" s="570"/>
      <c r="DIQ82" s="570"/>
      <c r="DIR82" s="570"/>
      <c r="DIS82" s="570"/>
      <c r="DIT82" s="570"/>
      <c r="DIU82" s="570"/>
      <c r="DIV82" s="570"/>
      <c r="DIW82" s="570"/>
      <c r="DIX82" s="570"/>
      <c r="DIY82" s="570"/>
      <c r="DIZ82" s="570"/>
      <c r="DJA82" s="570"/>
      <c r="DJB82" s="570"/>
      <c r="DJC82" s="570"/>
      <c r="DJD82" s="570"/>
      <c r="DJE82" s="570"/>
      <c r="DJF82" s="570"/>
      <c r="DJG82" s="570"/>
      <c r="DJH82" s="570"/>
      <c r="DJI82" s="570"/>
      <c r="DJJ82" s="570"/>
      <c r="DJK82" s="570"/>
      <c r="DJL82" s="570"/>
      <c r="DJM82" s="570"/>
      <c r="DJN82" s="570"/>
      <c r="DJO82" s="570"/>
      <c r="DJP82" s="570"/>
      <c r="DJQ82" s="570"/>
      <c r="DJR82" s="570"/>
      <c r="DJS82" s="570"/>
      <c r="DJT82" s="570"/>
      <c r="DJU82" s="570"/>
      <c r="DJV82" s="570"/>
      <c r="DJW82" s="570"/>
      <c r="DJX82" s="570"/>
      <c r="DJY82" s="570"/>
      <c r="DJZ82" s="570"/>
      <c r="DKA82" s="570"/>
      <c r="DKB82" s="570"/>
      <c r="DKC82" s="570"/>
      <c r="DKD82" s="570"/>
      <c r="DKE82" s="570"/>
      <c r="DKF82" s="570"/>
      <c r="DKG82" s="570"/>
      <c r="DKH82" s="570"/>
      <c r="DKI82" s="570"/>
      <c r="DKJ82" s="570"/>
      <c r="DKK82" s="570"/>
      <c r="DKL82" s="570"/>
      <c r="DKM82" s="570"/>
      <c r="DKN82" s="570"/>
      <c r="DKO82" s="570"/>
      <c r="DKP82" s="570"/>
      <c r="DKQ82" s="570"/>
      <c r="DKR82" s="570"/>
      <c r="DKS82" s="570"/>
      <c r="DKT82" s="570"/>
      <c r="DKU82" s="570"/>
      <c r="DKV82" s="570"/>
      <c r="DKW82" s="570"/>
      <c r="DKX82" s="570"/>
      <c r="DKY82" s="570"/>
      <c r="DKZ82" s="570"/>
      <c r="DLA82" s="570"/>
      <c r="DLB82" s="570"/>
      <c r="DLC82" s="570"/>
      <c r="DLD82" s="570"/>
      <c r="DLE82" s="570"/>
      <c r="DLF82" s="570"/>
      <c r="DLG82" s="570"/>
      <c r="DLH82" s="570"/>
      <c r="DLI82" s="570"/>
      <c r="DLJ82" s="570"/>
      <c r="DLK82" s="570"/>
      <c r="DLL82" s="570"/>
      <c r="DLM82" s="570"/>
      <c r="DLN82" s="570"/>
      <c r="DLO82" s="570"/>
      <c r="DLP82" s="570"/>
      <c r="DLQ82" s="570"/>
      <c r="DLR82" s="570"/>
      <c r="DLS82" s="570"/>
      <c r="DLT82" s="570"/>
      <c r="DLU82" s="570"/>
      <c r="DLV82" s="570"/>
      <c r="DLW82" s="570"/>
      <c r="DLX82" s="570"/>
      <c r="DLY82" s="570"/>
      <c r="DLZ82" s="570"/>
      <c r="DMA82" s="570"/>
      <c r="DMB82" s="570"/>
      <c r="DMC82" s="570"/>
      <c r="DMD82" s="570"/>
      <c r="DME82" s="570"/>
      <c r="DMF82" s="570"/>
      <c r="DMG82" s="570"/>
      <c r="DMH82" s="570"/>
      <c r="DMI82" s="570"/>
      <c r="DMJ82" s="570"/>
      <c r="DMK82" s="570"/>
      <c r="DML82" s="570"/>
      <c r="DMM82" s="570"/>
      <c r="DMN82" s="570"/>
      <c r="DMO82" s="570"/>
      <c r="DMP82" s="570"/>
      <c r="DMQ82" s="570"/>
      <c r="DMR82" s="570"/>
      <c r="DMS82" s="570"/>
      <c r="DMT82" s="570"/>
      <c r="DMU82" s="570"/>
      <c r="DMV82" s="570"/>
      <c r="DMW82" s="570"/>
      <c r="DMX82" s="570"/>
      <c r="DMY82" s="570"/>
      <c r="DMZ82" s="570"/>
      <c r="DNA82" s="570"/>
      <c r="DNB82" s="570"/>
      <c r="DNC82" s="570"/>
      <c r="DND82" s="570"/>
      <c r="DNE82" s="570"/>
      <c r="DNF82" s="570"/>
      <c r="DNG82" s="570"/>
      <c r="DNH82" s="570"/>
      <c r="DNI82" s="570"/>
      <c r="DNJ82" s="570"/>
      <c r="DNK82" s="570"/>
      <c r="DNL82" s="570"/>
      <c r="DNM82" s="570"/>
      <c r="DNN82" s="570"/>
      <c r="DNO82" s="570"/>
      <c r="DNP82" s="570"/>
      <c r="DNQ82" s="570"/>
      <c r="DNR82" s="570"/>
      <c r="DNS82" s="570"/>
      <c r="DNT82" s="570"/>
      <c r="DNU82" s="570"/>
      <c r="DNV82" s="570"/>
      <c r="DNW82" s="570"/>
      <c r="DNX82" s="570"/>
      <c r="DNY82" s="570"/>
      <c r="DNZ82" s="570"/>
      <c r="DOA82" s="570"/>
      <c r="DOB82" s="570"/>
      <c r="DOC82" s="570"/>
      <c r="DOD82" s="570"/>
      <c r="DOE82" s="570"/>
      <c r="DOF82" s="570"/>
      <c r="DOG82" s="570"/>
      <c r="DOH82" s="570"/>
      <c r="DOI82" s="570"/>
      <c r="DOJ82" s="570"/>
      <c r="DOK82" s="570"/>
      <c r="DOL82" s="570"/>
      <c r="DOM82" s="570"/>
      <c r="DON82" s="570"/>
      <c r="DOO82" s="570"/>
      <c r="DOP82" s="570"/>
      <c r="DOQ82" s="570"/>
      <c r="DOR82" s="570"/>
      <c r="DOS82" s="570"/>
      <c r="DOT82" s="570"/>
      <c r="DOU82" s="570"/>
      <c r="DOV82" s="570"/>
      <c r="DOW82" s="570"/>
      <c r="DOX82" s="570"/>
      <c r="DOY82" s="570"/>
      <c r="DOZ82" s="570"/>
      <c r="DPA82" s="570"/>
      <c r="DPB82" s="570"/>
      <c r="DPC82" s="570"/>
      <c r="DPD82" s="570"/>
      <c r="DPE82" s="570"/>
      <c r="DPF82" s="570"/>
      <c r="DPG82" s="570"/>
      <c r="DPH82" s="570"/>
      <c r="DPI82" s="570"/>
      <c r="DPJ82" s="570"/>
      <c r="DPK82" s="570"/>
      <c r="DPL82" s="570"/>
      <c r="DPM82" s="570"/>
      <c r="DPN82" s="570"/>
      <c r="DPO82" s="570"/>
      <c r="DPP82" s="570"/>
      <c r="DPQ82" s="570"/>
      <c r="DPR82" s="570"/>
      <c r="DPS82" s="570"/>
      <c r="DPT82" s="570"/>
      <c r="DPU82" s="570"/>
      <c r="DPV82" s="570"/>
      <c r="DPW82" s="570"/>
      <c r="DPX82" s="570"/>
      <c r="DPY82" s="570"/>
      <c r="DPZ82" s="570"/>
      <c r="DQA82" s="570"/>
      <c r="DQB82" s="570"/>
      <c r="DQC82" s="570"/>
      <c r="DQD82" s="570"/>
      <c r="DQE82" s="570"/>
      <c r="DQF82" s="570"/>
      <c r="DQG82" s="570"/>
      <c r="DQH82" s="570"/>
      <c r="DQI82" s="570"/>
      <c r="DQJ82" s="570"/>
      <c r="DQK82" s="570"/>
      <c r="DQL82" s="570"/>
      <c r="DQM82" s="570"/>
      <c r="DQN82" s="570"/>
      <c r="DQO82" s="570"/>
      <c r="DQP82" s="570"/>
      <c r="DQQ82" s="570"/>
      <c r="DQR82" s="570"/>
      <c r="DQS82" s="570"/>
      <c r="DQT82" s="570"/>
      <c r="DQU82" s="570"/>
      <c r="DQV82" s="570"/>
      <c r="DQW82" s="570"/>
      <c r="DQX82" s="570"/>
      <c r="DQY82" s="570"/>
      <c r="DQZ82" s="570"/>
      <c r="DRA82" s="570"/>
      <c r="DRB82" s="570"/>
      <c r="DRC82" s="570"/>
      <c r="DRD82" s="570"/>
      <c r="DRE82" s="570"/>
      <c r="DRF82" s="570"/>
      <c r="DRG82" s="570"/>
      <c r="DRH82" s="570"/>
      <c r="DRI82" s="570"/>
      <c r="DRJ82" s="570"/>
      <c r="DRK82" s="570"/>
      <c r="DRL82" s="570"/>
      <c r="DRM82" s="570"/>
      <c r="DRN82" s="570"/>
      <c r="DRO82" s="570"/>
      <c r="DRP82" s="570"/>
      <c r="DRQ82" s="570"/>
      <c r="DRR82" s="570"/>
      <c r="DRS82" s="570"/>
      <c r="DRT82" s="570"/>
      <c r="DRU82" s="570"/>
      <c r="DRV82" s="570"/>
      <c r="DRW82" s="570"/>
      <c r="DRX82" s="570"/>
      <c r="DRY82" s="570"/>
      <c r="DRZ82" s="570"/>
      <c r="DSA82" s="570"/>
      <c r="DSB82" s="570"/>
      <c r="DSC82" s="570"/>
      <c r="DSD82" s="570"/>
      <c r="DSE82" s="570"/>
      <c r="DSF82" s="570"/>
      <c r="DSG82" s="570"/>
      <c r="DSH82" s="570"/>
      <c r="DSI82" s="570"/>
      <c r="DSJ82" s="570"/>
      <c r="DSK82" s="570"/>
      <c r="DSL82" s="570"/>
      <c r="DSM82" s="570"/>
      <c r="DSN82" s="570"/>
      <c r="DSO82" s="570"/>
      <c r="DSP82" s="570"/>
      <c r="DSQ82" s="570"/>
      <c r="DSR82" s="570"/>
      <c r="DSS82" s="570"/>
      <c r="DST82" s="570"/>
      <c r="DSU82" s="570"/>
      <c r="DSV82" s="570"/>
      <c r="DSW82" s="570"/>
      <c r="DSX82" s="570"/>
      <c r="DSY82" s="570"/>
      <c r="DSZ82" s="570"/>
      <c r="DTA82" s="570"/>
      <c r="DTB82" s="570"/>
      <c r="DTC82" s="570"/>
      <c r="DTD82" s="570"/>
      <c r="DTE82" s="570"/>
      <c r="DTF82" s="570"/>
      <c r="DTG82" s="570"/>
      <c r="DTH82" s="570"/>
      <c r="DTI82" s="570"/>
      <c r="DTJ82" s="570"/>
      <c r="DTK82" s="570"/>
      <c r="DTL82" s="570"/>
      <c r="DTM82" s="570"/>
      <c r="DTN82" s="570"/>
      <c r="DTO82" s="570"/>
      <c r="DTP82" s="570"/>
      <c r="DTQ82" s="570"/>
      <c r="DTR82" s="570"/>
      <c r="DTS82" s="570"/>
      <c r="DTT82" s="570"/>
      <c r="DTU82" s="570"/>
      <c r="DTV82" s="570"/>
      <c r="DTW82" s="570"/>
      <c r="DTX82" s="570"/>
      <c r="DTY82" s="570"/>
      <c r="DTZ82" s="570"/>
      <c r="DUA82" s="570"/>
      <c r="DUB82" s="570"/>
      <c r="DUC82" s="570"/>
      <c r="DUD82" s="570"/>
      <c r="DUE82" s="570"/>
      <c r="DUF82" s="570"/>
      <c r="DUG82" s="570"/>
      <c r="DUH82" s="570"/>
      <c r="DUI82" s="570"/>
      <c r="DUJ82" s="570"/>
      <c r="DUK82" s="570"/>
      <c r="DUL82" s="570"/>
      <c r="DUM82" s="570"/>
      <c r="DUN82" s="570"/>
      <c r="DUO82" s="570"/>
      <c r="DUP82" s="570"/>
      <c r="DUQ82" s="570"/>
      <c r="DUR82" s="570"/>
      <c r="DUS82" s="570"/>
      <c r="DUT82" s="570"/>
      <c r="DUU82" s="570"/>
      <c r="DUV82" s="570"/>
      <c r="DUW82" s="570"/>
      <c r="DUX82" s="570"/>
      <c r="DUY82" s="570"/>
      <c r="DUZ82" s="570"/>
      <c r="DVA82" s="570"/>
      <c r="DVB82" s="570"/>
      <c r="DVC82" s="570"/>
      <c r="DVD82" s="570"/>
      <c r="DVE82" s="570"/>
      <c r="DVF82" s="570"/>
      <c r="DVG82" s="570"/>
      <c r="DVH82" s="570"/>
      <c r="DVI82" s="570"/>
      <c r="DVJ82" s="570"/>
      <c r="DVK82" s="570"/>
      <c r="DVL82" s="570"/>
      <c r="DVM82" s="570"/>
      <c r="DVN82" s="570"/>
      <c r="DVO82" s="570"/>
      <c r="DVP82" s="570"/>
      <c r="DVQ82" s="570"/>
      <c r="DVR82" s="570"/>
      <c r="DVS82" s="570"/>
      <c r="DVT82" s="570"/>
      <c r="DVU82" s="570"/>
      <c r="DVV82" s="570"/>
      <c r="DVW82" s="570"/>
      <c r="DVX82" s="570"/>
      <c r="DVY82" s="570"/>
      <c r="DVZ82" s="570"/>
      <c r="DWA82" s="570"/>
      <c r="DWB82" s="570"/>
      <c r="DWC82" s="570"/>
      <c r="DWD82" s="570"/>
      <c r="DWE82" s="570"/>
      <c r="DWF82" s="570"/>
      <c r="DWG82" s="570"/>
      <c r="DWH82" s="570"/>
      <c r="DWI82" s="570"/>
      <c r="DWJ82" s="570"/>
      <c r="DWK82" s="570"/>
      <c r="DWL82" s="570"/>
      <c r="DWM82" s="570"/>
      <c r="DWN82" s="570"/>
      <c r="DWO82" s="570"/>
      <c r="DWP82" s="570"/>
      <c r="DWQ82" s="570"/>
      <c r="DWR82" s="570"/>
      <c r="DWS82" s="570"/>
      <c r="DWT82" s="570"/>
      <c r="DWU82" s="570"/>
      <c r="DWV82" s="570"/>
      <c r="DWW82" s="570"/>
      <c r="DWX82" s="570"/>
      <c r="DWY82" s="570"/>
      <c r="DWZ82" s="570"/>
      <c r="DXA82" s="570"/>
      <c r="DXB82" s="570"/>
      <c r="DXC82" s="570"/>
      <c r="DXD82" s="570"/>
      <c r="DXE82" s="570"/>
      <c r="DXF82" s="570"/>
      <c r="DXG82" s="570"/>
      <c r="DXH82" s="570"/>
      <c r="DXI82" s="570"/>
      <c r="DXJ82" s="570"/>
      <c r="DXK82" s="570"/>
      <c r="DXL82" s="570"/>
      <c r="DXM82" s="570"/>
      <c r="DXN82" s="570"/>
      <c r="DXO82" s="570"/>
      <c r="DXP82" s="570"/>
      <c r="DXQ82" s="570"/>
      <c r="DXR82" s="570"/>
      <c r="DXS82" s="570"/>
      <c r="DXT82" s="570"/>
      <c r="DXU82" s="570"/>
      <c r="DXV82" s="570"/>
      <c r="DXW82" s="570"/>
      <c r="DXX82" s="570"/>
      <c r="DXY82" s="570"/>
      <c r="DXZ82" s="570"/>
      <c r="DYA82" s="570"/>
      <c r="DYB82" s="570"/>
      <c r="DYC82" s="570"/>
      <c r="DYD82" s="570"/>
      <c r="DYE82" s="570"/>
      <c r="DYF82" s="570"/>
      <c r="DYG82" s="570"/>
      <c r="DYH82" s="570"/>
      <c r="DYI82" s="570"/>
      <c r="DYJ82" s="570"/>
      <c r="DYK82" s="570"/>
      <c r="DYL82" s="570"/>
      <c r="DYM82" s="570"/>
      <c r="DYN82" s="570"/>
      <c r="DYO82" s="570"/>
      <c r="DYP82" s="570"/>
      <c r="DYQ82" s="570"/>
      <c r="DYR82" s="570"/>
      <c r="DYS82" s="570"/>
      <c r="DYT82" s="570"/>
      <c r="DYU82" s="570"/>
      <c r="DYV82" s="570"/>
      <c r="DYW82" s="570"/>
      <c r="DYX82" s="570"/>
      <c r="DYY82" s="570"/>
      <c r="DYZ82" s="570"/>
      <c r="DZA82" s="570"/>
      <c r="DZB82" s="570"/>
      <c r="DZC82" s="570"/>
      <c r="DZD82" s="570"/>
      <c r="DZE82" s="570"/>
      <c r="DZF82" s="570"/>
      <c r="DZG82" s="570"/>
      <c r="DZH82" s="570"/>
      <c r="DZI82" s="570"/>
      <c r="DZJ82" s="570"/>
      <c r="DZK82" s="570"/>
      <c r="DZL82" s="570"/>
      <c r="DZM82" s="570"/>
      <c r="DZN82" s="570"/>
      <c r="DZO82" s="570"/>
      <c r="DZP82" s="570"/>
      <c r="DZQ82" s="570"/>
      <c r="DZR82" s="570"/>
      <c r="DZS82" s="570"/>
      <c r="DZT82" s="570"/>
      <c r="DZU82" s="570"/>
      <c r="DZV82" s="570"/>
      <c r="DZW82" s="570"/>
      <c r="DZX82" s="570"/>
      <c r="DZY82" s="570"/>
      <c r="DZZ82" s="570"/>
      <c r="EAA82" s="570"/>
      <c r="EAB82" s="570"/>
      <c r="EAC82" s="570"/>
      <c r="EAD82" s="570"/>
      <c r="EAE82" s="570"/>
      <c r="EAF82" s="570"/>
      <c r="EAG82" s="570"/>
      <c r="EAH82" s="570"/>
      <c r="EAI82" s="570"/>
      <c r="EAJ82" s="570"/>
      <c r="EAK82" s="570"/>
      <c r="EAL82" s="570"/>
      <c r="EAM82" s="570"/>
      <c r="EAN82" s="570"/>
      <c r="EAO82" s="570"/>
      <c r="EAP82" s="570"/>
      <c r="EAQ82" s="570"/>
      <c r="EAR82" s="570"/>
      <c r="EAS82" s="570"/>
      <c r="EAT82" s="570"/>
      <c r="EAU82" s="570"/>
      <c r="EAV82" s="570"/>
      <c r="EAW82" s="570"/>
      <c r="EAX82" s="570"/>
      <c r="EAY82" s="570"/>
      <c r="EAZ82" s="570"/>
      <c r="EBA82" s="570"/>
      <c r="EBB82" s="570"/>
      <c r="EBC82" s="570"/>
      <c r="EBD82" s="570"/>
      <c r="EBE82" s="570"/>
      <c r="EBF82" s="570"/>
      <c r="EBG82" s="570"/>
      <c r="EBH82" s="570"/>
      <c r="EBI82" s="570"/>
      <c r="EBJ82" s="570"/>
      <c r="EBK82" s="570"/>
      <c r="EBL82" s="570"/>
      <c r="EBM82" s="570"/>
      <c r="EBN82" s="570"/>
      <c r="EBO82" s="570"/>
      <c r="EBP82" s="570"/>
      <c r="EBQ82" s="570"/>
      <c r="EBR82" s="570"/>
      <c r="EBS82" s="570"/>
      <c r="EBT82" s="570"/>
      <c r="EBU82" s="570"/>
      <c r="EBV82" s="570"/>
      <c r="EBW82" s="570"/>
      <c r="EBX82" s="570"/>
      <c r="EBY82" s="570"/>
      <c r="EBZ82" s="570"/>
      <c r="ECA82" s="570"/>
      <c r="ECB82" s="570"/>
      <c r="ECC82" s="570"/>
      <c r="ECD82" s="570"/>
      <c r="ECE82" s="570"/>
      <c r="ECF82" s="570"/>
      <c r="ECG82" s="570"/>
      <c r="ECH82" s="570"/>
      <c r="ECI82" s="570"/>
      <c r="ECJ82" s="570"/>
      <c r="ECK82" s="570"/>
      <c r="ECL82" s="570"/>
      <c r="ECM82" s="570"/>
      <c r="ECN82" s="570"/>
      <c r="ECO82" s="570"/>
      <c r="ECP82" s="570"/>
      <c r="ECQ82" s="570"/>
      <c r="ECR82" s="570"/>
      <c r="ECS82" s="570"/>
      <c r="ECT82" s="570"/>
      <c r="ECU82" s="570"/>
      <c r="ECV82" s="570"/>
      <c r="ECW82" s="570"/>
      <c r="ECX82" s="570"/>
      <c r="ECY82" s="570"/>
      <c r="ECZ82" s="570"/>
      <c r="EDA82" s="570"/>
      <c r="EDB82" s="570"/>
      <c r="EDC82" s="570"/>
      <c r="EDD82" s="570"/>
      <c r="EDE82" s="570"/>
      <c r="EDF82" s="570"/>
      <c r="EDG82" s="570"/>
      <c r="EDH82" s="570"/>
      <c r="EDI82" s="570"/>
      <c r="EDJ82" s="570"/>
      <c r="EDK82" s="570"/>
      <c r="EDL82" s="570"/>
      <c r="EDM82" s="570"/>
      <c r="EDN82" s="570"/>
      <c r="EDO82" s="570"/>
      <c r="EDP82" s="570"/>
      <c r="EDQ82" s="570"/>
      <c r="EDR82" s="570"/>
      <c r="EDS82" s="570"/>
      <c r="EDT82" s="570"/>
      <c r="EDU82" s="570"/>
      <c r="EDV82" s="570"/>
      <c r="EDW82" s="570"/>
      <c r="EDX82" s="570"/>
      <c r="EDY82" s="570"/>
      <c r="EDZ82" s="570"/>
      <c r="EEA82" s="570"/>
      <c r="EEB82" s="570"/>
      <c r="EEC82" s="570"/>
      <c r="EED82" s="570"/>
      <c r="EEE82" s="570"/>
      <c r="EEF82" s="570"/>
      <c r="EEG82" s="570"/>
      <c r="EEH82" s="570"/>
      <c r="EEI82" s="570"/>
      <c r="EEJ82" s="570"/>
      <c r="EEK82" s="570"/>
      <c r="EEL82" s="570"/>
      <c r="EEM82" s="570"/>
      <c r="EEN82" s="570"/>
      <c r="EEO82" s="570"/>
      <c r="EEP82" s="570"/>
      <c r="EEQ82" s="570"/>
      <c r="EER82" s="570"/>
      <c r="EES82" s="570"/>
      <c r="EET82" s="570"/>
      <c r="EEU82" s="570"/>
      <c r="EEV82" s="570"/>
      <c r="EEW82" s="570"/>
      <c r="EEX82" s="570"/>
      <c r="EEY82" s="570"/>
      <c r="EEZ82" s="570"/>
      <c r="EFA82" s="570"/>
      <c r="EFB82" s="570"/>
      <c r="EFC82" s="570"/>
      <c r="EFD82" s="570"/>
      <c r="EFE82" s="570"/>
      <c r="EFF82" s="570"/>
      <c r="EFG82" s="570"/>
      <c r="EFH82" s="570"/>
      <c r="EFI82" s="570"/>
      <c r="EFJ82" s="570"/>
      <c r="EFK82" s="570"/>
      <c r="EFL82" s="570"/>
      <c r="EFM82" s="570"/>
      <c r="EFN82" s="570"/>
      <c r="EFO82" s="570"/>
      <c r="EFP82" s="570"/>
      <c r="EFQ82" s="570"/>
      <c r="EFR82" s="570"/>
      <c r="EFS82" s="570"/>
      <c r="EFT82" s="570"/>
      <c r="EFU82" s="570"/>
      <c r="EFV82" s="570"/>
      <c r="EFW82" s="570"/>
      <c r="EFX82" s="570"/>
      <c r="EFY82" s="570"/>
      <c r="EFZ82" s="570"/>
      <c r="EGA82" s="570"/>
      <c r="EGB82" s="570"/>
      <c r="EGC82" s="570"/>
      <c r="EGD82" s="570"/>
      <c r="EGE82" s="570"/>
      <c r="EGF82" s="570"/>
      <c r="EGG82" s="570"/>
      <c r="EGH82" s="570"/>
      <c r="EGI82" s="570"/>
      <c r="EGJ82" s="570"/>
      <c r="EGK82" s="570"/>
      <c r="EGL82" s="570"/>
      <c r="EGM82" s="570"/>
      <c r="EGN82" s="570"/>
      <c r="EGO82" s="570"/>
      <c r="EGP82" s="570"/>
      <c r="EGQ82" s="570"/>
      <c r="EGR82" s="570"/>
      <c r="EGS82" s="570"/>
      <c r="EGT82" s="570"/>
      <c r="EGU82" s="570"/>
      <c r="EGV82" s="570"/>
      <c r="EGW82" s="570"/>
      <c r="EGX82" s="570"/>
      <c r="EGY82" s="570"/>
      <c r="EGZ82" s="570"/>
      <c r="EHA82" s="570"/>
      <c r="EHB82" s="570"/>
      <c r="EHC82" s="570"/>
      <c r="EHD82" s="570"/>
      <c r="EHE82" s="570"/>
      <c r="EHF82" s="570"/>
      <c r="EHG82" s="570"/>
      <c r="EHH82" s="570"/>
      <c r="EHI82" s="570"/>
      <c r="EHJ82" s="570"/>
      <c r="EHK82" s="570"/>
      <c r="EHL82" s="570"/>
      <c r="EHM82" s="570"/>
      <c r="EHN82" s="570"/>
      <c r="EHO82" s="570"/>
      <c r="EHP82" s="570"/>
      <c r="EHQ82" s="570"/>
      <c r="EHR82" s="570"/>
      <c r="EHS82" s="570"/>
      <c r="EHT82" s="570"/>
      <c r="EHU82" s="570"/>
      <c r="EHV82" s="570"/>
      <c r="EHW82" s="570"/>
      <c r="EHX82" s="570"/>
      <c r="EHY82" s="570"/>
      <c r="EHZ82" s="570"/>
      <c r="EIA82" s="570"/>
      <c r="EIB82" s="570"/>
      <c r="EIC82" s="570"/>
      <c r="EID82" s="570"/>
      <c r="EIE82" s="570"/>
      <c r="EIF82" s="570"/>
      <c r="EIG82" s="570"/>
      <c r="EIH82" s="570"/>
      <c r="EII82" s="570"/>
      <c r="EIJ82" s="570"/>
      <c r="EIK82" s="570"/>
      <c r="EIL82" s="570"/>
      <c r="EIM82" s="570"/>
      <c r="EIN82" s="570"/>
      <c r="EIO82" s="570"/>
      <c r="EIP82" s="570"/>
      <c r="EIQ82" s="570"/>
      <c r="EIR82" s="570"/>
      <c r="EIS82" s="570"/>
      <c r="EIT82" s="570"/>
      <c r="EIU82" s="570"/>
      <c r="EIV82" s="570"/>
      <c r="EIW82" s="570"/>
      <c r="EIX82" s="570"/>
      <c r="EIY82" s="570"/>
      <c r="EIZ82" s="570"/>
      <c r="EJA82" s="570"/>
      <c r="EJB82" s="570"/>
      <c r="EJC82" s="570"/>
      <c r="EJD82" s="570"/>
      <c r="EJE82" s="570"/>
      <c r="EJF82" s="570"/>
      <c r="EJG82" s="570"/>
      <c r="EJH82" s="570"/>
      <c r="EJI82" s="570"/>
      <c r="EJJ82" s="570"/>
      <c r="EJK82" s="570"/>
      <c r="EJL82" s="570"/>
      <c r="EJM82" s="570"/>
      <c r="EJN82" s="570"/>
      <c r="EJO82" s="570"/>
      <c r="EJP82" s="570"/>
      <c r="EJQ82" s="570"/>
      <c r="EJR82" s="570"/>
      <c r="EJS82" s="570"/>
      <c r="EJT82" s="570"/>
      <c r="EJU82" s="570"/>
      <c r="EJV82" s="570"/>
      <c r="EJW82" s="570"/>
      <c r="EJX82" s="570"/>
      <c r="EJY82" s="570"/>
      <c r="EJZ82" s="570"/>
      <c r="EKA82" s="570"/>
      <c r="EKB82" s="570"/>
      <c r="EKC82" s="570"/>
      <c r="EKD82" s="570"/>
      <c r="EKE82" s="570"/>
      <c r="EKF82" s="570"/>
      <c r="EKG82" s="570"/>
      <c r="EKH82" s="570"/>
      <c r="EKI82" s="570"/>
      <c r="EKJ82" s="570"/>
      <c r="EKK82" s="570"/>
      <c r="EKL82" s="570"/>
      <c r="EKM82" s="570"/>
      <c r="EKN82" s="570"/>
      <c r="EKO82" s="570"/>
      <c r="EKP82" s="570"/>
      <c r="EKQ82" s="570"/>
      <c r="EKR82" s="570"/>
      <c r="EKS82" s="570"/>
      <c r="EKT82" s="570"/>
      <c r="EKU82" s="570"/>
      <c r="EKV82" s="570"/>
      <c r="EKW82" s="570"/>
      <c r="EKX82" s="570"/>
      <c r="EKY82" s="570"/>
      <c r="EKZ82" s="570"/>
      <c r="ELA82" s="570"/>
      <c r="ELB82" s="570"/>
      <c r="ELC82" s="570"/>
      <c r="ELD82" s="570"/>
      <c r="ELE82" s="570"/>
      <c r="ELF82" s="570"/>
      <c r="ELG82" s="570"/>
      <c r="ELH82" s="570"/>
      <c r="ELI82" s="570"/>
      <c r="ELJ82" s="570"/>
      <c r="ELK82" s="570"/>
      <c r="ELL82" s="570"/>
      <c r="ELM82" s="570"/>
      <c r="ELN82" s="570"/>
      <c r="ELO82" s="570"/>
      <c r="ELP82" s="570"/>
      <c r="ELQ82" s="570"/>
      <c r="ELR82" s="570"/>
      <c r="ELS82" s="570"/>
      <c r="ELT82" s="570"/>
      <c r="ELU82" s="570"/>
      <c r="ELV82" s="570"/>
      <c r="ELW82" s="570"/>
      <c r="ELX82" s="570"/>
      <c r="ELY82" s="570"/>
      <c r="ELZ82" s="570"/>
      <c r="EMA82" s="570"/>
      <c r="EMB82" s="570"/>
      <c r="EMC82" s="570"/>
      <c r="EMD82" s="570"/>
      <c r="EME82" s="570"/>
      <c r="EMF82" s="570"/>
      <c r="EMG82" s="570"/>
      <c r="EMH82" s="570"/>
      <c r="EMI82" s="570"/>
      <c r="EMJ82" s="570"/>
      <c r="EMK82" s="570"/>
      <c r="EML82" s="570"/>
      <c r="EMM82" s="570"/>
      <c r="EMN82" s="570"/>
      <c r="EMO82" s="570"/>
      <c r="EMP82" s="570"/>
      <c r="EMQ82" s="570"/>
      <c r="EMR82" s="570"/>
      <c r="EMS82" s="570"/>
      <c r="EMT82" s="570"/>
      <c r="EMU82" s="570"/>
      <c r="EMV82" s="570"/>
      <c r="EMW82" s="570"/>
      <c r="EMX82" s="570"/>
      <c r="EMY82" s="570"/>
      <c r="EMZ82" s="570"/>
      <c r="ENA82" s="570"/>
      <c r="ENB82" s="570"/>
      <c r="ENC82" s="570"/>
      <c r="END82" s="570"/>
      <c r="ENE82" s="570"/>
      <c r="ENF82" s="570"/>
      <c r="ENG82" s="570"/>
      <c r="ENH82" s="570"/>
      <c r="ENI82" s="570"/>
      <c r="ENJ82" s="570"/>
      <c r="ENK82" s="570"/>
      <c r="ENL82" s="570"/>
      <c r="ENM82" s="570"/>
      <c r="ENN82" s="570"/>
      <c r="ENO82" s="570"/>
      <c r="ENP82" s="570"/>
      <c r="ENQ82" s="570"/>
      <c r="ENR82" s="570"/>
      <c r="ENS82" s="570"/>
      <c r="ENT82" s="570"/>
      <c r="ENU82" s="570"/>
      <c r="ENV82" s="570"/>
      <c r="ENW82" s="570"/>
      <c r="ENX82" s="570"/>
      <c r="ENY82" s="570"/>
      <c r="ENZ82" s="570"/>
      <c r="EOA82" s="570"/>
      <c r="EOB82" s="570"/>
      <c r="EOC82" s="570"/>
      <c r="EOD82" s="570"/>
      <c r="EOE82" s="570"/>
      <c r="EOF82" s="570"/>
      <c r="EOG82" s="570"/>
      <c r="EOH82" s="570"/>
      <c r="EOI82" s="570"/>
      <c r="EOJ82" s="570"/>
      <c r="EOK82" s="570"/>
      <c r="EOL82" s="570"/>
      <c r="EOM82" s="570"/>
      <c r="EON82" s="570"/>
      <c r="EOO82" s="570"/>
      <c r="EOP82" s="570"/>
      <c r="EOQ82" s="570"/>
      <c r="EOR82" s="570"/>
      <c r="EOS82" s="570"/>
      <c r="EOT82" s="570"/>
      <c r="EOU82" s="570"/>
      <c r="EOV82" s="570"/>
      <c r="EOW82" s="570"/>
      <c r="EOX82" s="570"/>
      <c r="EOY82" s="570"/>
      <c r="EOZ82" s="570"/>
      <c r="EPA82" s="570"/>
      <c r="EPB82" s="570"/>
      <c r="EPC82" s="570"/>
      <c r="EPD82" s="570"/>
      <c r="EPE82" s="570"/>
      <c r="EPF82" s="570"/>
      <c r="EPG82" s="570"/>
      <c r="EPH82" s="570"/>
      <c r="EPI82" s="570"/>
      <c r="EPJ82" s="570"/>
      <c r="EPK82" s="570"/>
      <c r="EPL82" s="570"/>
      <c r="EPM82" s="570"/>
      <c r="EPN82" s="570"/>
      <c r="EPO82" s="570"/>
      <c r="EPP82" s="570"/>
      <c r="EPQ82" s="570"/>
      <c r="EPR82" s="570"/>
      <c r="EPS82" s="570"/>
      <c r="EPT82" s="570"/>
      <c r="EPU82" s="570"/>
      <c r="EPV82" s="570"/>
      <c r="EPW82" s="570"/>
      <c r="EPX82" s="570"/>
      <c r="EPY82" s="570"/>
      <c r="EPZ82" s="570"/>
      <c r="EQA82" s="570"/>
      <c r="EQB82" s="570"/>
      <c r="EQC82" s="570"/>
      <c r="EQD82" s="570"/>
      <c r="EQE82" s="570"/>
      <c r="EQF82" s="570"/>
      <c r="EQG82" s="570"/>
      <c r="EQH82" s="570"/>
      <c r="EQI82" s="570"/>
      <c r="EQJ82" s="570"/>
      <c r="EQK82" s="570"/>
      <c r="EQL82" s="570"/>
      <c r="EQM82" s="570"/>
      <c r="EQN82" s="570"/>
      <c r="EQO82" s="570"/>
      <c r="EQP82" s="570"/>
      <c r="EQQ82" s="570"/>
      <c r="EQR82" s="570"/>
      <c r="EQS82" s="570"/>
      <c r="EQT82" s="570"/>
      <c r="EQU82" s="570"/>
      <c r="EQV82" s="570"/>
      <c r="EQW82" s="570"/>
      <c r="EQX82" s="570"/>
      <c r="EQY82" s="570"/>
      <c r="EQZ82" s="570"/>
      <c r="ERA82" s="570"/>
      <c r="ERB82" s="570"/>
      <c r="ERC82" s="570"/>
      <c r="ERD82" s="570"/>
      <c r="ERE82" s="570"/>
      <c r="ERF82" s="570"/>
      <c r="ERG82" s="570"/>
      <c r="ERH82" s="570"/>
      <c r="ERI82" s="570"/>
      <c r="ERJ82" s="570"/>
      <c r="ERK82" s="570"/>
      <c r="ERL82" s="570"/>
      <c r="ERM82" s="570"/>
      <c r="ERN82" s="570"/>
      <c r="ERO82" s="570"/>
      <c r="ERP82" s="570"/>
      <c r="ERQ82" s="570"/>
      <c r="ERR82" s="570"/>
      <c r="ERS82" s="570"/>
      <c r="ERT82" s="570"/>
      <c r="ERU82" s="570"/>
      <c r="ERV82" s="570"/>
      <c r="ERW82" s="570"/>
      <c r="ERX82" s="570"/>
      <c r="ERY82" s="570"/>
      <c r="ERZ82" s="570"/>
      <c r="ESA82" s="570"/>
      <c r="ESB82" s="570"/>
      <c r="ESC82" s="570"/>
      <c r="ESD82" s="570"/>
      <c r="ESE82" s="570"/>
      <c r="ESF82" s="570"/>
      <c r="ESG82" s="570"/>
      <c r="ESH82" s="570"/>
      <c r="ESI82" s="570"/>
      <c r="ESJ82" s="570"/>
      <c r="ESK82" s="570"/>
      <c r="ESL82" s="570"/>
      <c r="ESM82" s="570"/>
      <c r="ESN82" s="570"/>
      <c r="ESO82" s="570"/>
      <c r="ESP82" s="570"/>
      <c r="ESQ82" s="570"/>
      <c r="ESR82" s="570"/>
      <c r="ESS82" s="570"/>
      <c r="EST82" s="570"/>
      <c r="ESU82" s="570"/>
      <c r="ESV82" s="570"/>
      <c r="ESW82" s="570"/>
      <c r="ESX82" s="570"/>
      <c r="ESY82" s="570"/>
      <c r="ESZ82" s="570"/>
      <c r="ETA82" s="570"/>
      <c r="ETB82" s="570"/>
      <c r="ETC82" s="570"/>
      <c r="ETD82" s="570"/>
      <c r="ETE82" s="570"/>
      <c r="ETF82" s="570"/>
      <c r="ETG82" s="570"/>
      <c r="ETH82" s="570"/>
      <c r="ETI82" s="570"/>
      <c r="ETJ82" s="570"/>
      <c r="ETK82" s="570"/>
      <c r="ETL82" s="570"/>
      <c r="ETM82" s="570"/>
      <c r="ETN82" s="570"/>
      <c r="ETO82" s="570"/>
      <c r="ETP82" s="570"/>
      <c r="ETQ82" s="570"/>
      <c r="ETR82" s="570"/>
      <c r="ETS82" s="570"/>
      <c r="ETT82" s="570"/>
      <c r="ETU82" s="570"/>
      <c r="ETV82" s="570"/>
      <c r="ETW82" s="570"/>
      <c r="ETX82" s="570"/>
      <c r="ETY82" s="570"/>
      <c r="ETZ82" s="570"/>
      <c r="EUA82" s="570"/>
      <c r="EUB82" s="570"/>
      <c r="EUC82" s="570"/>
      <c r="EUD82" s="570"/>
      <c r="EUE82" s="570"/>
      <c r="EUF82" s="570"/>
      <c r="EUG82" s="570"/>
      <c r="EUH82" s="570"/>
      <c r="EUI82" s="570"/>
      <c r="EUJ82" s="570"/>
      <c r="EUK82" s="570"/>
      <c r="EUL82" s="570"/>
      <c r="EUM82" s="570"/>
      <c r="EUN82" s="570"/>
      <c r="EUO82" s="570"/>
      <c r="EUP82" s="570"/>
      <c r="EUQ82" s="570"/>
      <c r="EUR82" s="570"/>
      <c r="EUS82" s="570"/>
      <c r="EUT82" s="570"/>
      <c r="EUU82" s="570"/>
      <c r="EUV82" s="570"/>
      <c r="EUW82" s="570"/>
      <c r="EUX82" s="570"/>
      <c r="EUY82" s="570"/>
      <c r="EUZ82" s="570"/>
      <c r="EVA82" s="570"/>
      <c r="EVB82" s="570"/>
      <c r="EVC82" s="570"/>
      <c r="EVD82" s="570"/>
      <c r="EVE82" s="570"/>
      <c r="EVF82" s="570"/>
      <c r="EVG82" s="570"/>
      <c r="EVH82" s="570"/>
      <c r="EVI82" s="570"/>
      <c r="EVJ82" s="570"/>
      <c r="EVK82" s="570"/>
      <c r="EVL82" s="570"/>
      <c r="EVM82" s="570"/>
      <c r="EVN82" s="570"/>
      <c r="EVO82" s="570"/>
      <c r="EVP82" s="570"/>
      <c r="EVQ82" s="570"/>
      <c r="EVR82" s="570"/>
      <c r="EVS82" s="570"/>
      <c r="EVT82" s="570"/>
      <c r="EVU82" s="570"/>
      <c r="EVV82" s="570"/>
      <c r="EVW82" s="570"/>
      <c r="EVX82" s="570"/>
      <c r="EVY82" s="570"/>
      <c r="EVZ82" s="570"/>
      <c r="EWA82" s="570"/>
      <c r="EWB82" s="570"/>
      <c r="EWC82" s="570"/>
      <c r="EWD82" s="570"/>
      <c r="EWE82" s="570"/>
      <c r="EWF82" s="570"/>
      <c r="EWG82" s="570"/>
      <c r="EWH82" s="570"/>
      <c r="EWI82" s="570"/>
      <c r="EWJ82" s="570"/>
      <c r="EWK82" s="570"/>
      <c r="EWL82" s="570"/>
      <c r="EWM82" s="570"/>
      <c r="EWN82" s="570"/>
      <c r="EWO82" s="570"/>
      <c r="EWP82" s="570"/>
      <c r="EWQ82" s="570"/>
      <c r="EWR82" s="570"/>
      <c r="EWS82" s="570"/>
      <c r="EWT82" s="570"/>
      <c r="EWU82" s="570"/>
      <c r="EWV82" s="570"/>
      <c r="EWW82" s="570"/>
      <c r="EWX82" s="570"/>
      <c r="EWY82" s="570"/>
      <c r="EWZ82" s="570"/>
      <c r="EXA82" s="570"/>
      <c r="EXB82" s="570"/>
      <c r="EXC82" s="570"/>
      <c r="EXD82" s="570"/>
      <c r="EXE82" s="570"/>
      <c r="EXF82" s="570"/>
      <c r="EXG82" s="570"/>
      <c r="EXH82" s="570"/>
      <c r="EXI82" s="570"/>
      <c r="EXJ82" s="570"/>
      <c r="EXK82" s="570"/>
      <c r="EXL82" s="570"/>
      <c r="EXM82" s="570"/>
      <c r="EXN82" s="570"/>
      <c r="EXO82" s="570"/>
      <c r="EXP82" s="570"/>
      <c r="EXQ82" s="570"/>
      <c r="EXR82" s="570"/>
      <c r="EXS82" s="570"/>
      <c r="EXT82" s="570"/>
      <c r="EXU82" s="570"/>
      <c r="EXV82" s="570"/>
      <c r="EXW82" s="570"/>
      <c r="EXX82" s="570"/>
      <c r="EXY82" s="570"/>
      <c r="EXZ82" s="570"/>
      <c r="EYA82" s="570"/>
      <c r="EYB82" s="570"/>
      <c r="EYC82" s="570"/>
      <c r="EYD82" s="570"/>
      <c r="EYE82" s="570"/>
      <c r="EYF82" s="570"/>
      <c r="EYG82" s="570"/>
      <c r="EYH82" s="570"/>
      <c r="EYI82" s="570"/>
      <c r="EYJ82" s="570"/>
      <c r="EYK82" s="570"/>
      <c r="EYL82" s="570"/>
      <c r="EYM82" s="570"/>
      <c r="EYN82" s="570"/>
      <c r="EYO82" s="570"/>
      <c r="EYP82" s="570"/>
      <c r="EYQ82" s="570"/>
      <c r="EYR82" s="570"/>
      <c r="EYS82" s="570"/>
      <c r="EYT82" s="570"/>
      <c r="EYU82" s="570"/>
      <c r="EYV82" s="570"/>
      <c r="EYW82" s="570"/>
      <c r="EYX82" s="570"/>
      <c r="EYY82" s="570"/>
      <c r="EYZ82" s="570"/>
      <c r="EZA82" s="570"/>
      <c r="EZB82" s="570"/>
      <c r="EZC82" s="570"/>
      <c r="EZD82" s="570"/>
      <c r="EZE82" s="570"/>
      <c r="EZF82" s="570"/>
      <c r="EZG82" s="570"/>
      <c r="EZH82" s="570"/>
      <c r="EZI82" s="570"/>
      <c r="EZJ82" s="570"/>
      <c r="EZK82" s="570"/>
      <c r="EZL82" s="570"/>
      <c r="EZM82" s="570"/>
      <c r="EZN82" s="570"/>
      <c r="EZO82" s="570"/>
      <c r="EZP82" s="570"/>
      <c r="EZQ82" s="570"/>
      <c r="EZR82" s="570"/>
      <c r="EZS82" s="570"/>
      <c r="EZT82" s="570"/>
      <c r="EZU82" s="570"/>
      <c r="EZV82" s="570"/>
      <c r="EZW82" s="570"/>
      <c r="EZX82" s="570"/>
      <c r="EZY82" s="570"/>
      <c r="EZZ82" s="570"/>
      <c r="FAA82" s="570"/>
      <c r="FAB82" s="570"/>
      <c r="FAC82" s="570"/>
      <c r="FAD82" s="570"/>
      <c r="FAE82" s="570"/>
      <c r="FAF82" s="570"/>
      <c r="FAG82" s="570"/>
      <c r="FAH82" s="570"/>
      <c r="FAI82" s="570"/>
      <c r="FAJ82" s="570"/>
      <c r="FAK82" s="570"/>
      <c r="FAL82" s="570"/>
      <c r="FAM82" s="570"/>
      <c r="FAN82" s="570"/>
      <c r="FAO82" s="570"/>
      <c r="FAP82" s="570"/>
      <c r="FAQ82" s="570"/>
      <c r="FAR82" s="570"/>
      <c r="FAS82" s="570"/>
      <c r="FAT82" s="570"/>
      <c r="FAU82" s="570"/>
      <c r="FAV82" s="570"/>
      <c r="FAW82" s="570"/>
      <c r="FAX82" s="570"/>
      <c r="FAY82" s="570"/>
      <c r="FAZ82" s="570"/>
      <c r="FBA82" s="570"/>
      <c r="FBB82" s="570"/>
      <c r="FBC82" s="570"/>
      <c r="FBD82" s="570"/>
      <c r="FBE82" s="570"/>
      <c r="FBF82" s="570"/>
      <c r="FBG82" s="570"/>
      <c r="FBH82" s="570"/>
      <c r="FBI82" s="570"/>
      <c r="FBJ82" s="570"/>
      <c r="FBK82" s="570"/>
      <c r="FBL82" s="570"/>
      <c r="FBM82" s="570"/>
      <c r="FBN82" s="570"/>
      <c r="FBO82" s="570"/>
      <c r="FBP82" s="570"/>
      <c r="FBQ82" s="570"/>
      <c r="FBR82" s="570"/>
      <c r="FBS82" s="570"/>
      <c r="FBT82" s="570"/>
      <c r="FBU82" s="570"/>
      <c r="FBV82" s="570"/>
      <c r="FBW82" s="570"/>
      <c r="FBX82" s="570"/>
      <c r="FBY82" s="570"/>
      <c r="FBZ82" s="570"/>
      <c r="FCA82" s="570"/>
      <c r="FCB82" s="570"/>
      <c r="FCC82" s="570"/>
      <c r="FCD82" s="570"/>
      <c r="FCE82" s="570"/>
      <c r="FCF82" s="570"/>
      <c r="FCG82" s="570"/>
      <c r="FCH82" s="570"/>
      <c r="FCI82" s="570"/>
      <c r="FCJ82" s="570"/>
      <c r="FCK82" s="570"/>
      <c r="FCL82" s="570"/>
      <c r="FCM82" s="570"/>
      <c r="FCN82" s="570"/>
      <c r="FCO82" s="570"/>
      <c r="FCP82" s="570"/>
      <c r="FCQ82" s="570"/>
      <c r="FCR82" s="570"/>
      <c r="FCS82" s="570"/>
      <c r="FCT82" s="570"/>
      <c r="FCU82" s="570"/>
      <c r="FCV82" s="570"/>
      <c r="FCW82" s="570"/>
      <c r="FCX82" s="570"/>
      <c r="FCY82" s="570"/>
      <c r="FCZ82" s="570"/>
      <c r="FDA82" s="570"/>
      <c r="FDB82" s="570"/>
      <c r="FDC82" s="570"/>
      <c r="FDD82" s="570"/>
      <c r="FDE82" s="570"/>
      <c r="FDF82" s="570"/>
      <c r="FDG82" s="570"/>
      <c r="FDH82" s="570"/>
      <c r="FDI82" s="570"/>
      <c r="FDJ82" s="570"/>
      <c r="FDK82" s="570"/>
      <c r="FDL82" s="570"/>
      <c r="FDM82" s="570"/>
      <c r="FDN82" s="570"/>
      <c r="FDO82" s="570"/>
      <c r="FDP82" s="570"/>
      <c r="FDQ82" s="570"/>
      <c r="FDR82" s="570"/>
      <c r="FDS82" s="570"/>
      <c r="FDT82" s="570"/>
      <c r="FDU82" s="570"/>
      <c r="FDV82" s="570"/>
      <c r="FDW82" s="570"/>
      <c r="FDX82" s="570"/>
      <c r="FDY82" s="570"/>
      <c r="FDZ82" s="570"/>
      <c r="FEA82" s="570"/>
      <c r="FEB82" s="570"/>
      <c r="FEC82" s="570"/>
      <c r="FED82" s="570"/>
      <c r="FEE82" s="570"/>
      <c r="FEF82" s="570"/>
      <c r="FEG82" s="570"/>
      <c r="FEH82" s="570"/>
      <c r="FEI82" s="570"/>
      <c r="FEJ82" s="570"/>
      <c r="FEK82" s="570"/>
      <c r="FEL82" s="570"/>
      <c r="FEM82" s="570"/>
      <c r="FEN82" s="570"/>
      <c r="FEO82" s="570"/>
      <c r="FEP82" s="570"/>
      <c r="FEQ82" s="570"/>
      <c r="FER82" s="570"/>
      <c r="FES82" s="570"/>
      <c r="FET82" s="570"/>
      <c r="FEU82" s="570"/>
      <c r="FEV82" s="570"/>
      <c r="FEW82" s="570"/>
      <c r="FEX82" s="570"/>
      <c r="FEY82" s="570"/>
      <c r="FEZ82" s="570"/>
      <c r="FFA82" s="570"/>
      <c r="FFB82" s="570"/>
      <c r="FFC82" s="570"/>
      <c r="FFD82" s="570"/>
      <c r="FFE82" s="570"/>
      <c r="FFF82" s="570"/>
      <c r="FFG82" s="570"/>
      <c r="FFH82" s="570"/>
      <c r="FFI82" s="570"/>
      <c r="FFJ82" s="570"/>
      <c r="FFK82" s="570"/>
      <c r="FFL82" s="570"/>
      <c r="FFM82" s="570"/>
      <c r="FFN82" s="570"/>
      <c r="FFO82" s="570"/>
      <c r="FFP82" s="570"/>
      <c r="FFQ82" s="570"/>
      <c r="FFR82" s="570"/>
      <c r="FFS82" s="570"/>
      <c r="FFT82" s="570"/>
      <c r="FFU82" s="570"/>
      <c r="FFV82" s="570"/>
      <c r="FFW82" s="570"/>
      <c r="FFX82" s="570"/>
      <c r="FFY82" s="570"/>
      <c r="FFZ82" s="570"/>
      <c r="FGA82" s="570"/>
      <c r="FGB82" s="570"/>
      <c r="FGC82" s="570"/>
      <c r="FGD82" s="570"/>
      <c r="FGE82" s="570"/>
      <c r="FGF82" s="570"/>
      <c r="FGG82" s="570"/>
      <c r="FGH82" s="570"/>
      <c r="FGI82" s="570"/>
      <c r="FGJ82" s="570"/>
      <c r="FGK82" s="570"/>
      <c r="FGL82" s="570"/>
      <c r="FGM82" s="570"/>
      <c r="FGN82" s="570"/>
      <c r="FGO82" s="570"/>
      <c r="FGP82" s="570"/>
      <c r="FGQ82" s="570"/>
      <c r="FGR82" s="570"/>
      <c r="FGS82" s="570"/>
      <c r="FGT82" s="570"/>
      <c r="FGU82" s="570"/>
      <c r="FGV82" s="570"/>
      <c r="FGW82" s="570"/>
      <c r="FGX82" s="570"/>
      <c r="FGY82" s="570"/>
      <c r="FGZ82" s="570"/>
      <c r="FHA82" s="570"/>
      <c r="FHB82" s="570"/>
      <c r="FHC82" s="570"/>
      <c r="FHD82" s="570"/>
      <c r="FHE82" s="570"/>
      <c r="FHF82" s="570"/>
      <c r="FHG82" s="570"/>
      <c r="FHH82" s="570"/>
      <c r="FHI82" s="570"/>
      <c r="FHJ82" s="570"/>
      <c r="FHK82" s="570"/>
      <c r="FHL82" s="570"/>
      <c r="FHM82" s="570"/>
      <c r="FHN82" s="570"/>
      <c r="FHO82" s="570"/>
      <c r="FHP82" s="570"/>
      <c r="FHQ82" s="570"/>
      <c r="FHR82" s="570"/>
      <c r="FHS82" s="570"/>
      <c r="FHT82" s="570"/>
      <c r="FHU82" s="570"/>
      <c r="FHV82" s="570"/>
      <c r="FHW82" s="570"/>
      <c r="FHX82" s="570"/>
      <c r="FHY82" s="570"/>
      <c r="FHZ82" s="570"/>
      <c r="FIA82" s="570"/>
      <c r="FIB82" s="570"/>
      <c r="FIC82" s="570"/>
      <c r="FID82" s="570"/>
      <c r="FIE82" s="570"/>
      <c r="FIF82" s="570"/>
      <c r="FIG82" s="570"/>
      <c r="FIH82" s="570"/>
      <c r="FII82" s="570"/>
      <c r="FIJ82" s="570"/>
      <c r="FIK82" s="570"/>
      <c r="FIL82" s="570"/>
      <c r="FIM82" s="570"/>
      <c r="FIN82" s="570"/>
      <c r="FIO82" s="570"/>
      <c r="FIP82" s="570"/>
      <c r="FIQ82" s="570"/>
      <c r="FIR82" s="570"/>
      <c r="FIS82" s="570"/>
      <c r="FIT82" s="570"/>
      <c r="FIU82" s="570"/>
      <c r="FIV82" s="570"/>
      <c r="FIW82" s="570"/>
      <c r="FIX82" s="570"/>
      <c r="FIY82" s="570"/>
      <c r="FIZ82" s="570"/>
      <c r="FJA82" s="570"/>
      <c r="FJB82" s="570"/>
      <c r="FJC82" s="570"/>
      <c r="FJD82" s="570"/>
      <c r="FJE82" s="570"/>
      <c r="FJF82" s="570"/>
      <c r="FJG82" s="570"/>
      <c r="FJH82" s="570"/>
      <c r="FJI82" s="570"/>
      <c r="FJJ82" s="570"/>
      <c r="FJK82" s="570"/>
      <c r="FJL82" s="570"/>
      <c r="FJM82" s="570"/>
      <c r="FJN82" s="570"/>
      <c r="FJO82" s="570"/>
      <c r="FJP82" s="570"/>
      <c r="FJQ82" s="570"/>
      <c r="FJR82" s="570"/>
      <c r="FJS82" s="570"/>
      <c r="FJT82" s="570"/>
      <c r="FJU82" s="570"/>
      <c r="FJV82" s="570"/>
      <c r="FJW82" s="570"/>
      <c r="FJX82" s="570"/>
      <c r="FJY82" s="570"/>
      <c r="FJZ82" s="570"/>
      <c r="FKA82" s="570"/>
      <c r="FKB82" s="570"/>
      <c r="FKC82" s="570"/>
      <c r="FKD82" s="570"/>
      <c r="FKE82" s="570"/>
      <c r="FKF82" s="570"/>
      <c r="FKG82" s="570"/>
      <c r="FKH82" s="570"/>
      <c r="FKI82" s="570"/>
      <c r="FKJ82" s="570"/>
      <c r="FKK82" s="570"/>
      <c r="FKL82" s="570"/>
      <c r="FKM82" s="570"/>
      <c r="FKN82" s="570"/>
      <c r="FKO82" s="570"/>
      <c r="FKP82" s="570"/>
      <c r="FKQ82" s="570"/>
      <c r="FKR82" s="570"/>
      <c r="FKS82" s="570"/>
      <c r="FKT82" s="570"/>
      <c r="FKU82" s="570"/>
      <c r="FKV82" s="570"/>
      <c r="FKW82" s="570"/>
      <c r="FKX82" s="570"/>
      <c r="FKY82" s="570"/>
      <c r="FKZ82" s="570"/>
      <c r="FLA82" s="570"/>
      <c r="FLB82" s="570"/>
      <c r="FLC82" s="570"/>
      <c r="FLD82" s="570"/>
      <c r="FLE82" s="570"/>
      <c r="FLF82" s="570"/>
      <c r="FLG82" s="570"/>
      <c r="FLH82" s="570"/>
      <c r="FLI82" s="570"/>
      <c r="FLJ82" s="570"/>
      <c r="FLK82" s="570"/>
      <c r="FLL82" s="570"/>
      <c r="FLM82" s="570"/>
      <c r="FLN82" s="570"/>
      <c r="FLO82" s="570"/>
      <c r="FLP82" s="570"/>
      <c r="FLQ82" s="570"/>
      <c r="FLR82" s="570"/>
      <c r="FLS82" s="570"/>
      <c r="FLT82" s="570"/>
      <c r="FLU82" s="570"/>
      <c r="FLV82" s="570"/>
      <c r="FLW82" s="570"/>
      <c r="FLX82" s="570"/>
      <c r="FLY82" s="570"/>
      <c r="FLZ82" s="570"/>
      <c r="FMA82" s="570"/>
      <c r="FMB82" s="570"/>
      <c r="FMC82" s="570"/>
      <c r="FMD82" s="570"/>
      <c r="FME82" s="570"/>
      <c r="FMF82" s="570"/>
      <c r="FMG82" s="570"/>
      <c r="FMH82" s="570"/>
      <c r="FMI82" s="570"/>
      <c r="FMJ82" s="570"/>
      <c r="FMK82" s="570"/>
      <c r="FML82" s="570"/>
      <c r="FMM82" s="570"/>
      <c r="FMN82" s="570"/>
      <c r="FMO82" s="570"/>
      <c r="FMP82" s="570"/>
      <c r="FMQ82" s="570"/>
      <c r="FMR82" s="570"/>
      <c r="FMS82" s="570"/>
      <c r="FMT82" s="570"/>
      <c r="FMU82" s="570"/>
      <c r="FMV82" s="570"/>
      <c r="FMW82" s="570"/>
      <c r="FMX82" s="570"/>
      <c r="FMY82" s="570"/>
      <c r="FMZ82" s="570"/>
      <c r="FNA82" s="570"/>
      <c r="FNB82" s="570"/>
      <c r="FNC82" s="570"/>
      <c r="FND82" s="570"/>
      <c r="FNE82" s="570"/>
      <c r="FNF82" s="570"/>
      <c r="FNG82" s="570"/>
      <c r="FNH82" s="570"/>
      <c r="FNI82" s="570"/>
      <c r="FNJ82" s="570"/>
      <c r="FNK82" s="570"/>
      <c r="FNL82" s="570"/>
      <c r="FNM82" s="570"/>
      <c r="FNN82" s="570"/>
      <c r="FNO82" s="570"/>
      <c r="FNP82" s="570"/>
      <c r="FNQ82" s="570"/>
      <c r="FNR82" s="570"/>
      <c r="FNS82" s="570"/>
      <c r="FNT82" s="570"/>
      <c r="FNU82" s="570"/>
      <c r="FNV82" s="570"/>
      <c r="FNW82" s="570"/>
      <c r="FNX82" s="570"/>
      <c r="FNY82" s="570"/>
      <c r="FNZ82" s="570"/>
      <c r="FOA82" s="570"/>
      <c r="FOB82" s="570"/>
      <c r="FOC82" s="570"/>
      <c r="FOD82" s="570"/>
      <c r="FOE82" s="570"/>
      <c r="FOF82" s="570"/>
      <c r="FOG82" s="570"/>
      <c r="FOH82" s="570"/>
      <c r="FOI82" s="570"/>
      <c r="FOJ82" s="570"/>
      <c r="FOK82" s="570"/>
      <c r="FOL82" s="570"/>
      <c r="FOM82" s="570"/>
      <c r="FON82" s="570"/>
      <c r="FOO82" s="570"/>
      <c r="FOP82" s="570"/>
      <c r="FOQ82" s="570"/>
      <c r="FOR82" s="570"/>
      <c r="FOS82" s="570"/>
      <c r="FOT82" s="570"/>
      <c r="FOU82" s="570"/>
      <c r="FOV82" s="570"/>
      <c r="FOW82" s="570"/>
      <c r="FOX82" s="570"/>
      <c r="FOY82" s="570"/>
      <c r="FOZ82" s="570"/>
      <c r="FPA82" s="570"/>
      <c r="FPB82" s="570"/>
      <c r="FPC82" s="570"/>
      <c r="FPD82" s="570"/>
      <c r="FPE82" s="570"/>
      <c r="FPF82" s="570"/>
      <c r="FPG82" s="570"/>
      <c r="FPH82" s="570"/>
      <c r="FPI82" s="570"/>
      <c r="FPJ82" s="570"/>
      <c r="FPK82" s="570"/>
      <c r="FPL82" s="570"/>
      <c r="FPM82" s="570"/>
      <c r="FPN82" s="570"/>
      <c r="FPO82" s="570"/>
      <c r="FPP82" s="570"/>
      <c r="FPQ82" s="570"/>
      <c r="FPR82" s="570"/>
      <c r="FPS82" s="570"/>
      <c r="FPT82" s="570"/>
      <c r="FPU82" s="570"/>
      <c r="FPV82" s="570"/>
      <c r="FPW82" s="570"/>
      <c r="FPX82" s="570"/>
      <c r="FPY82" s="570"/>
      <c r="FPZ82" s="570"/>
      <c r="FQA82" s="570"/>
      <c r="FQB82" s="570"/>
      <c r="FQC82" s="570"/>
      <c r="FQD82" s="570"/>
      <c r="FQE82" s="570"/>
      <c r="FQF82" s="570"/>
      <c r="FQG82" s="570"/>
      <c r="FQH82" s="570"/>
      <c r="FQI82" s="570"/>
      <c r="FQJ82" s="570"/>
      <c r="FQK82" s="570"/>
      <c r="FQL82" s="570"/>
      <c r="FQM82" s="570"/>
      <c r="FQN82" s="570"/>
      <c r="FQO82" s="570"/>
      <c r="FQP82" s="570"/>
      <c r="FQQ82" s="570"/>
      <c r="FQR82" s="570"/>
      <c r="FQS82" s="570"/>
      <c r="FQT82" s="570"/>
      <c r="FQU82" s="570"/>
      <c r="FQV82" s="570"/>
      <c r="FQW82" s="570"/>
      <c r="FQX82" s="570"/>
      <c r="FQY82" s="570"/>
      <c r="FQZ82" s="570"/>
      <c r="FRA82" s="570"/>
      <c r="FRB82" s="570"/>
      <c r="FRC82" s="570"/>
      <c r="FRD82" s="570"/>
      <c r="FRE82" s="570"/>
      <c r="FRF82" s="570"/>
      <c r="FRG82" s="570"/>
      <c r="FRH82" s="570"/>
      <c r="FRI82" s="570"/>
      <c r="FRJ82" s="570"/>
      <c r="FRK82" s="570"/>
      <c r="FRL82" s="570"/>
      <c r="FRM82" s="570"/>
      <c r="FRN82" s="570"/>
      <c r="FRO82" s="570"/>
      <c r="FRP82" s="570"/>
      <c r="FRQ82" s="570"/>
      <c r="FRR82" s="570"/>
      <c r="FRS82" s="570"/>
      <c r="FRT82" s="570"/>
      <c r="FRU82" s="570"/>
      <c r="FRV82" s="570"/>
      <c r="FRW82" s="570"/>
      <c r="FRX82" s="570"/>
      <c r="FRY82" s="570"/>
      <c r="FRZ82" s="570"/>
      <c r="FSA82" s="570"/>
      <c r="FSB82" s="570"/>
      <c r="FSC82" s="570"/>
      <c r="FSD82" s="570"/>
      <c r="FSE82" s="570"/>
      <c r="FSF82" s="570"/>
      <c r="FSG82" s="570"/>
      <c r="FSH82" s="570"/>
      <c r="FSI82" s="570"/>
      <c r="FSJ82" s="570"/>
      <c r="FSK82" s="570"/>
      <c r="FSL82" s="570"/>
      <c r="FSM82" s="570"/>
      <c r="FSN82" s="570"/>
      <c r="FSO82" s="570"/>
      <c r="FSP82" s="570"/>
      <c r="FSQ82" s="570"/>
      <c r="FSR82" s="570"/>
      <c r="FSS82" s="570"/>
      <c r="FST82" s="570"/>
      <c r="FSU82" s="570"/>
      <c r="FSV82" s="570"/>
      <c r="FSW82" s="570"/>
      <c r="FSX82" s="570"/>
      <c r="FSY82" s="570"/>
      <c r="FSZ82" s="570"/>
      <c r="FTA82" s="570"/>
      <c r="FTB82" s="570"/>
      <c r="FTC82" s="570"/>
      <c r="FTD82" s="570"/>
      <c r="FTE82" s="570"/>
      <c r="FTF82" s="570"/>
      <c r="FTG82" s="570"/>
      <c r="FTH82" s="570"/>
      <c r="FTI82" s="570"/>
      <c r="FTJ82" s="570"/>
      <c r="FTK82" s="570"/>
      <c r="FTL82" s="570"/>
      <c r="FTM82" s="570"/>
      <c r="FTN82" s="570"/>
      <c r="FTO82" s="570"/>
      <c r="FTP82" s="570"/>
      <c r="FTQ82" s="570"/>
      <c r="FTR82" s="570"/>
      <c r="FTS82" s="570"/>
      <c r="FTT82" s="570"/>
      <c r="FTU82" s="570"/>
      <c r="FTV82" s="570"/>
      <c r="FTW82" s="570"/>
      <c r="FTX82" s="570"/>
      <c r="FTY82" s="570"/>
      <c r="FTZ82" s="570"/>
      <c r="FUA82" s="570"/>
      <c r="FUB82" s="570"/>
      <c r="FUC82" s="570"/>
      <c r="FUD82" s="570"/>
      <c r="FUE82" s="570"/>
      <c r="FUF82" s="570"/>
      <c r="FUG82" s="570"/>
      <c r="FUH82" s="570"/>
      <c r="FUI82" s="570"/>
      <c r="FUJ82" s="570"/>
      <c r="FUK82" s="570"/>
      <c r="FUL82" s="570"/>
      <c r="FUM82" s="570"/>
      <c r="FUN82" s="570"/>
      <c r="FUO82" s="570"/>
      <c r="FUP82" s="570"/>
      <c r="FUQ82" s="570"/>
      <c r="FUR82" s="570"/>
      <c r="FUS82" s="570"/>
      <c r="FUT82" s="570"/>
      <c r="FUU82" s="570"/>
      <c r="FUV82" s="570"/>
      <c r="FUW82" s="570"/>
      <c r="FUX82" s="570"/>
      <c r="FUY82" s="570"/>
      <c r="FUZ82" s="570"/>
      <c r="FVA82" s="570"/>
      <c r="FVB82" s="570"/>
      <c r="FVC82" s="570"/>
      <c r="FVD82" s="570"/>
      <c r="FVE82" s="570"/>
      <c r="FVF82" s="570"/>
      <c r="FVG82" s="570"/>
      <c r="FVH82" s="570"/>
      <c r="FVI82" s="570"/>
      <c r="FVJ82" s="570"/>
      <c r="FVK82" s="570"/>
      <c r="FVL82" s="570"/>
      <c r="FVM82" s="570"/>
      <c r="FVN82" s="570"/>
      <c r="FVO82" s="570"/>
      <c r="FVP82" s="570"/>
      <c r="FVQ82" s="570"/>
      <c r="FVR82" s="570"/>
      <c r="FVS82" s="570"/>
      <c r="FVT82" s="570"/>
      <c r="FVU82" s="570"/>
      <c r="FVV82" s="570"/>
      <c r="FVW82" s="570"/>
      <c r="FVX82" s="570"/>
      <c r="FVY82" s="570"/>
      <c r="FVZ82" s="570"/>
      <c r="FWA82" s="570"/>
      <c r="FWB82" s="570"/>
      <c r="FWC82" s="570"/>
      <c r="FWD82" s="570"/>
      <c r="FWE82" s="570"/>
      <c r="FWF82" s="570"/>
      <c r="FWG82" s="570"/>
      <c r="FWH82" s="570"/>
      <c r="FWI82" s="570"/>
      <c r="FWJ82" s="570"/>
      <c r="FWK82" s="570"/>
      <c r="FWL82" s="570"/>
      <c r="FWM82" s="570"/>
      <c r="FWN82" s="570"/>
      <c r="FWO82" s="570"/>
      <c r="FWP82" s="570"/>
      <c r="FWQ82" s="570"/>
      <c r="FWR82" s="570"/>
      <c r="FWS82" s="570"/>
      <c r="FWT82" s="570"/>
      <c r="FWU82" s="570"/>
      <c r="FWV82" s="570"/>
      <c r="FWW82" s="570"/>
      <c r="FWX82" s="570"/>
      <c r="FWY82" s="570"/>
      <c r="FWZ82" s="570"/>
      <c r="FXA82" s="570"/>
      <c r="FXB82" s="570"/>
      <c r="FXC82" s="570"/>
      <c r="FXD82" s="570"/>
      <c r="FXE82" s="570"/>
      <c r="FXF82" s="570"/>
      <c r="FXG82" s="570"/>
      <c r="FXH82" s="570"/>
      <c r="FXI82" s="570"/>
      <c r="FXJ82" s="570"/>
      <c r="FXK82" s="570"/>
      <c r="FXL82" s="570"/>
      <c r="FXM82" s="570"/>
      <c r="FXN82" s="570"/>
      <c r="FXO82" s="570"/>
      <c r="FXP82" s="570"/>
      <c r="FXQ82" s="570"/>
      <c r="FXR82" s="570"/>
      <c r="FXS82" s="570"/>
      <c r="FXT82" s="570"/>
      <c r="FXU82" s="570"/>
      <c r="FXV82" s="570"/>
      <c r="FXW82" s="570"/>
      <c r="FXX82" s="570"/>
      <c r="FXY82" s="570"/>
      <c r="FXZ82" s="570"/>
      <c r="FYA82" s="570"/>
      <c r="FYB82" s="570"/>
      <c r="FYC82" s="570"/>
      <c r="FYD82" s="570"/>
      <c r="FYE82" s="570"/>
      <c r="FYF82" s="570"/>
      <c r="FYG82" s="570"/>
      <c r="FYH82" s="570"/>
      <c r="FYI82" s="570"/>
      <c r="FYJ82" s="570"/>
      <c r="FYK82" s="570"/>
      <c r="FYL82" s="570"/>
      <c r="FYM82" s="570"/>
      <c r="FYN82" s="570"/>
      <c r="FYO82" s="570"/>
      <c r="FYP82" s="570"/>
      <c r="FYQ82" s="570"/>
      <c r="FYR82" s="570"/>
      <c r="FYS82" s="570"/>
      <c r="FYT82" s="570"/>
      <c r="FYU82" s="570"/>
      <c r="FYV82" s="570"/>
      <c r="FYW82" s="570"/>
      <c r="FYX82" s="570"/>
      <c r="FYY82" s="570"/>
      <c r="FYZ82" s="570"/>
      <c r="FZA82" s="570"/>
      <c r="FZB82" s="570"/>
      <c r="FZC82" s="570"/>
      <c r="FZD82" s="570"/>
      <c r="FZE82" s="570"/>
      <c r="FZF82" s="570"/>
      <c r="FZG82" s="570"/>
      <c r="FZH82" s="570"/>
      <c r="FZI82" s="570"/>
      <c r="FZJ82" s="570"/>
      <c r="FZK82" s="570"/>
      <c r="FZL82" s="570"/>
      <c r="FZM82" s="570"/>
      <c r="FZN82" s="570"/>
      <c r="FZO82" s="570"/>
      <c r="FZP82" s="570"/>
      <c r="FZQ82" s="570"/>
      <c r="FZR82" s="570"/>
      <c r="FZS82" s="570"/>
      <c r="FZT82" s="570"/>
      <c r="FZU82" s="570"/>
      <c r="FZV82" s="570"/>
      <c r="FZW82" s="570"/>
      <c r="FZX82" s="570"/>
      <c r="FZY82" s="570"/>
      <c r="FZZ82" s="570"/>
      <c r="GAA82" s="570"/>
      <c r="GAB82" s="570"/>
      <c r="GAC82" s="570"/>
      <c r="GAD82" s="570"/>
      <c r="GAE82" s="570"/>
      <c r="GAF82" s="570"/>
      <c r="GAG82" s="570"/>
      <c r="GAH82" s="570"/>
      <c r="GAI82" s="570"/>
      <c r="GAJ82" s="570"/>
      <c r="GAK82" s="570"/>
      <c r="GAL82" s="570"/>
      <c r="GAM82" s="570"/>
      <c r="GAN82" s="570"/>
      <c r="GAO82" s="570"/>
      <c r="GAP82" s="570"/>
      <c r="GAQ82" s="570"/>
      <c r="GAR82" s="570"/>
      <c r="GAS82" s="570"/>
      <c r="GAT82" s="570"/>
      <c r="GAU82" s="570"/>
      <c r="GAV82" s="570"/>
      <c r="GAW82" s="570"/>
      <c r="GAX82" s="570"/>
      <c r="GAY82" s="570"/>
      <c r="GAZ82" s="570"/>
      <c r="GBA82" s="570"/>
      <c r="GBB82" s="570"/>
      <c r="GBC82" s="570"/>
      <c r="GBD82" s="570"/>
      <c r="GBE82" s="570"/>
      <c r="GBF82" s="570"/>
      <c r="GBG82" s="570"/>
      <c r="GBH82" s="570"/>
      <c r="GBI82" s="570"/>
      <c r="GBJ82" s="570"/>
      <c r="GBK82" s="570"/>
      <c r="GBL82" s="570"/>
      <c r="GBM82" s="570"/>
      <c r="GBN82" s="570"/>
      <c r="GBO82" s="570"/>
      <c r="GBP82" s="570"/>
      <c r="GBQ82" s="570"/>
      <c r="GBR82" s="570"/>
      <c r="GBS82" s="570"/>
      <c r="GBT82" s="570"/>
      <c r="GBU82" s="570"/>
      <c r="GBV82" s="570"/>
      <c r="GBW82" s="570"/>
      <c r="GBX82" s="570"/>
      <c r="GBY82" s="570"/>
      <c r="GBZ82" s="570"/>
      <c r="GCA82" s="570"/>
      <c r="GCB82" s="570"/>
      <c r="GCC82" s="570"/>
      <c r="GCD82" s="570"/>
      <c r="GCE82" s="570"/>
      <c r="GCF82" s="570"/>
      <c r="GCG82" s="570"/>
      <c r="GCH82" s="570"/>
      <c r="GCI82" s="570"/>
      <c r="GCJ82" s="570"/>
      <c r="GCK82" s="570"/>
      <c r="GCL82" s="570"/>
      <c r="GCM82" s="570"/>
      <c r="GCN82" s="570"/>
      <c r="GCO82" s="570"/>
      <c r="GCP82" s="570"/>
      <c r="GCQ82" s="570"/>
      <c r="GCR82" s="570"/>
      <c r="GCS82" s="570"/>
      <c r="GCT82" s="570"/>
      <c r="GCU82" s="570"/>
      <c r="GCV82" s="570"/>
      <c r="GCW82" s="570"/>
      <c r="GCX82" s="570"/>
      <c r="GCY82" s="570"/>
      <c r="GCZ82" s="570"/>
      <c r="GDA82" s="570"/>
      <c r="GDB82" s="570"/>
      <c r="GDC82" s="570"/>
      <c r="GDD82" s="570"/>
      <c r="GDE82" s="570"/>
      <c r="GDF82" s="570"/>
      <c r="GDG82" s="570"/>
      <c r="GDH82" s="570"/>
      <c r="GDI82" s="570"/>
      <c r="GDJ82" s="570"/>
      <c r="GDK82" s="570"/>
      <c r="GDL82" s="570"/>
      <c r="GDM82" s="570"/>
      <c r="GDN82" s="570"/>
      <c r="GDO82" s="570"/>
      <c r="GDP82" s="570"/>
      <c r="GDQ82" s="570"/>
      <c r="GDR82" s="570"/>
      <c r="GDS82" s="570"/>
      <c r="GDT82" s="570"/>
      <c r="GDU82" s="570"/>
      <c r="GDV82" s="570"/>
      <c r="GDW82" s="570"/>
      <c r="GDX82" s="570"/>
      <c r="GDY82" s="570"/>
      <c r="GDZ82" s="570"/>
      <c r="GEA82" s="570"/>
      <c r="GEB82" s="570"/>
      <c r="GEC82" s="570"/>
      <c r="GED82" s="570"/>
      <c r="GEE82" s="570"/>
      <c r="GEF82" s="570"/>
      <c r="GEG82" s="570"/>
      <c r="GEH82" s="570"/>
      <c r="GEI82" s="570"/>
      <c r="GEJ82" s="570"/>
      <c r="GEK82" s="570"/>
      <c r="GEL82" s="570"/>
      <c r="GEM82" s="570"/>
      <c r="GEN82" s="570"/>
      <c r="GEO82" s="570"/>
      <c r="GEP82" s="570"/>
      <c r="GEQ82" s="570"/>
      <c r="GER82" s="570"/>
      <c r="GES82" s="570"/>
      <c r="GET82" s="570"/>
      <c r="GEU82" s="570"/>
      <c r="GEV82" s="570"/>
      <c r="GEW82" s="570"/>
      <c r="GEX82" s="570"/>
      <c r="GEY82" s="570"/>
      <c r="GEZ82" s="570"/>
      <c r="GFA82" s="570"/>
      <c r="GFB82" s="570"/>
      <c r="GFC82" s="570"/>
      <c r="GFD82" s="570"/>
      <c r="GFE82" s="570"/>
      <c r="GFF82" s="570"/>
      <c r="GFG82" s="570"/>
      <c r="GFH82" s="570"/>
      <c r="GFI82" s="570"/>
      <c r="GFJ82" s="570"/>
      <c r="GFK82" s="570"/>
      <c r="GFL82" s="570"/>
      <c r="GFM82" s="570"/>
      <c r="GFN82" s="570"/>
      <c r="GFO82" s="570"/>
      <c r="GFP82" s="570"/>
      <c r="GFQ82" s="570"/>
      <c r="GFR82" s="570"/>
      <c r="GFS82" s="570"/>
      <c r="GFT82" s="570"/>
      <c r="GFU82" s="570"/>
      <c r="GFV82" s="570"/>
      <c r="GFW82" s="570"/>
      <c r="GFX82" s="570"/>
      <c r="GFY82" s="570"/>
      <c r="GFZ82" s="570"/>
      <c r="GGA82" s="570"/>
      <c r="GGB82" s="570"/>
      <c r="GGC82" s="570"/>
      <c r="GGD82" s="570"/>
      <c r="GGE82" s="570"/>
      <c r="GGF82" s="570"/>
      <c r="GGG82" s="570"/>
      <c r="GGH82" s="570"/>
      <c r="GGI82" s="570"/>
      <c r="GGJ82" s="570"/>
      <c r="GGK82" s="570"/>
      <c r="GGL82" s="570"/>
      <c r="GGM82" s="570"/>
      <c r="GGN82" s="570"/>
      <c r="GGO82" s="570"/>
      <c r="GGP82" s="570"/>
      <c r="GGQ82" s="570"/>
      <c r="GGR82" s="570"/>
      <c r="GGS82" s="570"/>
      <c r="GGT82" s="570"/>
      <c r="GGU82" s="570"/>
      <c r="GGV82" s="570"/>
      <c r="GGW82" s="570"/>
      <c r="GGX82" s="570"/>
      <c r="GGY82" s="570"/>
      <c r="GGZ82" s="570"/>
      <c r="GHA82" s="570"/>
      <c r="GHB82" s="570"/>
      <c r="GHC82" s="570"/>
      <c r="GHD82" s="570"/>
      <c r="GHE82" s="570"/>
      <c r="GHF82" s="570"/>
      <c r="GHG82" s="570"/>
      <c r="GHH82" s="570"/>
      <c r="GHI82" s="570"/>
      <c r="GHJ82" s="570"/>
      <c r="GHK82" s="570"/>
      <c r="GHL82" s="570"/>
      <c r="GHM82" s="570"/>
      <c r="GHN82" s="570"/>
      <c r="GHO82" s="570"/>
      <c r="GHP82" s="570"/>
      <c r="GHQ82" s="570"/>
      <c r="GHR82" s="570"/>
      <c r="GHS82" s="570"/>
      <c r="GHT82" s="570"/>
      <c r="GHU82" s="570"/>
      <c r="GHV82" s="570"/>
      <c r="GHW82" s="570"/>
      <c r="GHX82" s="570"/>
      <c r="GHY82" s="570"/>
      <c r="GHZ82" s="570"/>
      <c r="GIA82" s="570"/>
      <c r="GIB82" s="570"/>
      <c r="GIC82" s="570"/>
      <c r="GID82" s="570"/>
      <c r="GIE82" s="570"/>
      <c r="GIF82" s="570"/>
      <c r="GIG82" s="570"/>
      <c r="GIH82" s="570"/>
      <c r="GII82" s="570"/>
      <c r="GIJ82" s="570"/>
      <c r="GIK82" s="570"/>
      <c r="GIL82" s="570"/>
      <c r="GIM82" s="570"/>
      <c r="GIN82" s="570"/>
      <c r="GIO82" s="570"/>
      <c r="GIP82" s="570"/>
      <c r="GIQ82" s="570"/>
      <c r="GIR82" s="570"/>
      <c r="GIS82" s="570"/>
      <c r="GIT82" s="570"/>
      <c r="GIU82" s="570"/>
      <c r="GIV82" s="570"/>
      <c r="GIW82" s="570"/>
      <c r="GIX82" s="570"/>
      <c r="GIY82" s="570"/>
      <c r="GIZ82" s="570"/>
      <c r="GJA82" s="570"/>
      <c r="GJB82" s="570"/>
      <c r="GJC82" s="570"/>
      <c r="GJD82" s="570"/>
      <c r="GJE82" s="570"/>
      <c r="GJF82" s="570"/>
      <c r="GJG82" s="570"/>
      <c r="GJH82" s="570"/>
      <c r="GJI82" s="570"/>
      <c r="GJJ82" s="570"/>
      <c r="GJK82" s="570"/>
      <c r="GJL82" s="570"/>
      <c r="GJM82" s="570"/>
      <c r="GJN82" s="570"/>
      <c r="GJO82" s="570"/>
      <c r="GJP82" s="570"/>
      <c r="GJQ82" s="570"/>
      <c r="GJR82" s="570"/>
      <c r="GJS82" s="570"/>
      <c r="GJT82" s="570"/>
      <c r="GJU82" s="570"/>
      <c r="GJV82" s="570"/>
      <c r="GJW82" s="570"/>
      <c r="GJX82" s="570"/>
      <c r="GJY82" s="570"/>
      <c r="GJZ82" s="570"/>
      <c r="GKA82" s="570"/>
      <c r="GKB82" s="570"/>
      <c r="GKC82" s="570"/>
      <c r="GKD82" s="570"/>
      <c r="GKE82" s="570"/>
      <c r="GKF82" s="570"/>
      <c r="GKG82" s="570"/>
      <c r="GKH82" s="570"/>
      <c r="GKI82" s="570"/>
      <c r="GKJ82" s="570"/>
      <c r="GKK82" s="570"/>
      <c r="GKL82" s="570"/>
      <c r="GKM82" s="570"/>
      <c r="GKN82" s="570"/>
      <c r="GKO82" s="570"/>
      <c r="GKP82" s="570"/>
      <c r="GKQ82" s="570"/>
      <c r="GKR82" s="570"/>
      <c r="GKS82" s="570"/>
      <c r="GKT82" s="570"/>
      <c r="GKU82" s="570"/>
      <c r="GKV82" s="570"/>
      <c r="GKW82" s="570"/>
      <c r="GKX82" s="570"/>
      <c r="GKY82" s="570"/>
      <c r="GKZ82" s="570"/>
      <c r="GLA82" s="570"/>
      <c r="GLB82" s="570"/>
      <c r="GLC82" s="570"/>
      <c r="GLD82" s="570"/>
      <c r="GLE82" s="570"/>
      <c r="GLF82" s="570"/>
      <c r="GLG82" s="570"/>
      <c r="GLH82" s="570"/>
      <c r="GLI82" s="570"/>
      <c r="GLJ82" s="570"/>
      <c r="GLK82" s="570"/>
      <c r="GLL82" s="570"/>
      <c r="GLM82" s="570"/>
      <c r="GLN82" s="570"/>
      <c r="GLO82" s="570"/>
      <c r="GLP82" s="570"/>
      <c r="GLQ82" s="570"/>
      <c r="GLR82" s="570"/>
      <c r="GLS82" s="570"/>
      <c r="GLT82" s="570"/>
      <c r="GLU82" s="570"/>
      <c r="GLV82" s="570"/>
      <c r="GLW82" s="570"/>
      <c r="GLX82" s="570"/>
      <c r="GLY82" s="570"/>
      <c r="GLZ82" s="570"/>
      <c r="GMA82" s="570"/>
      <c r="GMB82" s="570"/>
      <c r="GMC82" s="570"/>
      <c r="GMD82" s="570"/>
      <c r="GME82" s="570"/>
      <c r="GMF82" s="570"/>
      <c r="GMG82" s="570"/>
      <c r="GMH82" s="570"/>
      <c r="GMI82" s="570"/>
      <c r="GMJ82" s="570"/>
      <c r="GMK82" s="570"/>
      <c r="GML82" s="570"/>
      <c r="GMM82" s="570"/>
      <c r="GMN82" s="570"/>
      <c r="GMO82" s="570"/>
      <c r="GMP82" s="570"/>
      <c r="GMQ82" s="570"/>
      <c r="GMR82" s="570"/>
      <c r="GMS82" s="570"/>
      <c r="GMT82" s="570"/>
      <c r="GMU82" s="570"/>
      <c r="GMV82" s="570"/>
      <c r="GMW82" s="570"/>
      <c r="GMX82" s="570"/>
      <c r="GMY82" s="570"/>
      <c r="GMZ82" s="570"/>
      <c r="GNA82" s="570"/>
      <c r="GNB82" s="570"/>
      <c r="GNC82" s="570"/>
      <c r="GND82" s="570"/>
      <c r="GNE82" s="570"/>
      <c r="GNF82" s="570"/>
      <c r="GNG82" s="570"/>
      <c r="GNH82" s="570"/>
      <c r="GNI82" s="570"/>
      <c r="GNJ82" s="570"/>
      <c r="GNK82" s="570"/>
      <c r="GNL82" s="570"/>
      <c r="GNM82" s="570"/>
      <c r="GNN82" s="570"/>
      <c r="GNO82" s="570"/>
      <c r="GNP82" s="570"/>
      <c r="GNQ82" s="570"/>
      <c r="GNR82" s="570"/>
      <c r="GNS82" s="570"/>
      <c r="GNT82" s="570"/>
      <c r="GNU82" s="570"/>
      <c r="GNV82" s="570"/>
      <c r="GNW82" s="570"/>
      <c r="GNX82" s="570"/>
      <c r="GNY82" s="570"/>
      <c r="GNZ82" s="570"/>
      <c r="GOA82" s="570"/>
      <c r="GOB82" s="570"/>
      <c r="GOC82" s="570"/>
      <c r="GOD82" s="570"/>
      <c r="GOE82" s="570"/>
      <c r="GOF82" s="570"/>
      <c r="GOG82" s="570"/>
      <c r="GOH82" s="570"/>
      <c r="GOI82" s="570"/>
      <c r="GOJ82" s="570"/>
      <c r="GOK82" s="570"/>
      <c r="GOL82" s="570"/>
      <c r="GOM82" s="570"/>
      <c r="GON82" s="570"/>
      <c r="GOO82" s="570"/>
      <c r="GOP82" s="570"/>
      <c r="GOQ82" s="570"/>
      <c r="GOR82" s="570"/>
      <c r="GOS82" s="570"/>
      <c r="GOT82" s="570"/>
      <c r="GOU82" s="570"/>
      <c r="GOV82" s="570"/>
      <c r="GOW82" s="570"/>
      <c r="GOX82" s="570"/>
      <c r="GOY82" s="570"/>
      <c r="GOZ82" s="570"/>
      <c r="GPA82" s="570"/>
      <c r="GPB82" s="570"/>
      <c r="GPC82" s="570"/>
      <c r="GPD82" s="570"/>
      <c r="GPE82" s="570"/>
      <c r="GPF82" s="570"/>
      <c r="GPG82" s="570"/>
      <c r="GPH82" s="570"/>
      <c r="GPI82" s="570"/>
      <c r="GPJ82" s="570"/>
      <c r="GPK82" s="570"/>
      <c r="GPL82" s="570"/>
      <c r="GPM82" s="570"/>
      <c r="GPN82" s="570"/>
      <c r="GPO82" s="570"/>
      <c r="GPP82" s="570"/>
      <c r="GPQ82" s="570"/>
      <c r="GPR82" s="570"/>
      <c r="GPS82" s="570"/>
      <c r="GPT82" s="570"/>
      <c r="GPU82" s="570"/>
      <c r="GPV82" s="570"/>
      <c r="GPW82" s="570"/>
      <c r="GPX82" s="570"/>
      <c r="GPY82" s="570"/>
      <c r="GPZ82" s="570"/>
      <c r="GQA82" s="570"/>
      <c r="GQB82" s="570"/>
      <c r="GQC82" s="570"/>
      <c r="GQD82" s="570"/>
      <c r="GQE82" s="570"/>
      <c r="GQF82" s="570"/>
      <c r="GQG82" s="570"/>
      <c r="GQH82" s="570"/>
      <c r="GQI82" s="570"/>
      <c r="GQJ82" s="570"/>
      <c r="GQK82" s="570"/>
      <c r="GQL82" s="570"/>
      <c r="GQM82" s="570"/>
      <c r="GQN82" s="570"/>
      <c r="GQO82" s="570"/>
      <c r="GQP82" s="570"/>
      <c r="GQQ82" s="570"/>
      <c r="GQR82" s="570"/>
      <c r="GQS82" s="570"/>
      <c r="GQT82" s="570"/>
      <c r="GQU82" s="570"/>
      <c r="GQV82" s="570"/>
      <c r="GQW82" s="570"/>
      <c r="GQX82" s="570"/>
      <c r="GQY82" s="570"/>
      <c r="GQZ82" s="570"/>
      <c r="GRA82" s="570"/>
      <c r="GRB82" s="570"/>
      <c r="GRC82" s="570"/>
      <c r="GRD82" s="570"/>
      <c r="GRE82" s="570"/>
      <c r="GRF82" s="570"/>
      <c r="GRG82" s="570"/>
      <c r="GRH82" s="570"/>
      <c r="GRI82" s="570"/>
      <c r="GRJ82" s="570"/>
      <c r="GRK82" s="570"/>
      <c r="GRL82" s="570"/>
      <c r="GRM82" s="570"/>
      <c r="GRN82" s="570"/>
      <c r="GRO82" s="570"/>
      <c r="GRP82" s="570"/>
      <c r="GRQ82" s="570"/>
      <c r="GRR82" s="570"/>
      <c r="GRS82" s="570"/>
      <c r="GRT82" s="570"/>
      <c r="GRU82" s="570"/>
      <c r="GRV82" s="570"/>
      <c r="GRW82" s="570"/>
      <c r="GRX82" s="570"/>
      <c r="GRY82" s="570"/>
      <c r="GRZ82" s="570"/>
      <c r="GSA82" s="570"/>
      <c r="GSB82" s="570"/>
      <c r="GSC82" s="570"/>
      <c r="GSD82" s="570"/>
      <c r="GSE82" s="570"/>
      <c r="GSF82" s="570"/>
      <c r="GSG82" s="570"/>
      <c r="GSH82" s="570"/>
      <c r="GSI82" s="570"/>
      <c r="GSJ82" s="570"/>
      <c r="GSK82" s="570"/>
      <c r="GSL82" s="570"/>
      <c r="GSM82" s="570"/>
      <c r="GSN82" s="570"/>
      <c r="GSO82" s="570"/>
      <c r="GSP82" s="570"/>
      <c r="GSQ82" s="570"/>
      <c r="GSR82" s="570"/>
      <c r="GSS82" s="570"/>
      <c r="GST82" s="570"/>
      <c r="GSU82" s="570"/>
      <c r="GSV82" s="570"/>
      <c r="GSW82" s="570"/>
      <c r="GSX82" s="570"/>
      <c r="GSY82" s="570"/>
      <c r="GSZ82" s="570"/>
      <c r="GTA82" s="570"/>
      <c r="GTB82" s="570"/>
      <c r="GTC82" s="570"/>
      <c r="GTD82" s="570"/>
      <c r="GTE82" s="570"/>
      <c r="GTF82" s="570"/>
      <c r="GTG82" s="570"/>
      <c r="GTH82" s="570"/>
      <c r="GTI82" s="570"/>
      <c r="GTJ82" s="570"/>
      <c r="GTK82" s="570"/>
      <c r="GTL82" s="570"/>
      <c r="GTM82" s="570"/>
      <c r="GTN82" s="570"/>
      <c r="GTO82" s="570"/>
      <c r="GTP82" s="570"/>
      <c r="GTQ82" s="570"/>
      <c r="GTR82" s="570"/>
      <c r="GTS82" s="570"/>
      <c r="GTT82" s="570"/>
      <c r="GTU82" s="570"/>
      <c r="GTV82" s="570"/>
      <c r="GTW82" s="570"/>
      <c r="GTX82" s="570"/>
      <c r="GTY82" s="570"/>
      <c r="GTZ82" s="570"/>
      <c r="GUA82" s="570"/>
      <c r="GUB82" s="570"/>
      <c r="GUC82" s="570"/>
      <c r="GUD82" s="570"/>
      <c r="GUE82" s="570"/>
      <c r="GUF82" s="570"/>
      <c r="GUG82" s="570"/>
      <c r="GUH82" s="570"/>
      <c r="GUI82" s="570"/>
      <c r="GUJ82" s="570"/>
      <c r="GUK82" s="570"/>
      <c r="GUL82" s="570"/>
      <c r="GUM82" s="570"/>
      <c r="GUN82" s="570"/>
      <c r="GUO82" s="570"/>
      <c r="GUP82" s="570"/>
      <c r="GUQ82" s="570"/>
      <c r="GUR82" s="570"/>
      <c r="GUS82" s="570"/>
      <c r="GUT82" s="570"/>
      <c r="GUU82" s="570"/>
      <c r="GUV82" s="570"/>
      <c r="GUW82" s="570"/>
      <c r="GUX82" s="570"/>
      <c r="GUY82" s="570"/>
      <c r="GUZ82" s="570"/>
      <c r="GVA82" s="570"/>
      <c r="GVB82" s="570"/>
      <c r="GVC82" s="570"/>
      <c r="GVD82" s="570"/>
      <c r="GVE82" s="570"/>
      <c r="GVF82" s="570"/>
      <c r="GVG82" s="570"/>
      <c r="GVH82" s="570"/>
      <c r="GVI82" s="570"/>
      <c r="GVJ82" s="570"/>
      <c r="GVK82" s="570"/>
      <c r="GVL82" s="570"/>
      <c r="GVM82" s="570"/>
      <c r="GVN82" s="570"/>
      <c r="GVO82" s="570"/>
      <c r="GVP82" s="570"/>
      <c r="GVQ82" s="570"/>
      <c r="GVR82" s="570"/>
      <c r="GVS82" s="570"/>
      <c r="GVT82" s="570"/>
      <c r="GVU82" s="570"/>
      <c r="GVV82" s="570"/>
      <c r="GVW82" s="570"/>
      <c r="GVX82" s="570"/>
      <c r="GVY82" s="570"/>
      <c r="GVZ82" s="570"/>
      <c r="GWA82" s="570"/>
      <c r="GWB82" s="570"/>
      <c r="GWC82" s="570"/>
      <c r="GWD82" s="570"/>
      <c r="GWE82" s="570"/>
      <c r="GWF82" s="570"/>
      <c r="GWG82" s="570"/>
      <c r="GWH82" s="570"/>
      <c r="GWI82" s="570"/>
      <c r="GWJ82" s="570"/>
      <c r="GWK82" s="570"/>
      <c r="GWL82" s="570"/>
      <c r="GWM82" s="570"/>
      <c r="GWN82" s="570"/>
      <c r="GWO82" s="570"/>
      <c r="GWP82" s="570"/>
      <c r="GWQ82" s="570"/>
      <c r="GWR82" s="570"/>
      <c r="GWS82" s="570"/>
      <c r="GWT82" s="570"/>
      <c r="GWU82" s="570"/>
      <c r="GWV82" s="570"/>
      <c r="GWW82" s="570"/>
      <c r="GWX82" s="570"/>
      <c r="GWY82" s="570"/>
      <c r="GWZ82" s="570"/>
      <c r="GXA82" s="570"/>
      <c r="GXB82" s="570"/>
      <c r="GXC82" s="570"/>
      <c r="GXD82" s="570"/>
      <c r="GXE82" s="570"/>
      <c r="GXF82" s="570"/>
      <c r="GXG82" s="570"/>
      <c r="GXH82" s="570"/>
      <c r="GXI82" s="570"/>
      <c r="GXJ82" s="570"/>
      <c r="GXK82" s="570"/>
      <c r="GXL82" s="570"/>
      <c r="GXM82" s="570"/>
      <c r="GXN82" s="570"/>
      <c r="GXO82" s="570"/>
      <c r="GXP82" s="570"/>
      <c r="GXQ82" s="570"/>
      <c r="GXR82" s="570"/>
      <c r="GXS82" s="570"/>
      <c r="GXT82" s="570"/>
      <c r="GXU82" s="570"/>
      <c r="GXV82" s="570"/>
      <c r="GXW82" s="570"/>
      <c r="GXX82" s="570"/>
      <c r="GXY82" s="570"/>
      <c r="GXZ82" s="570"/>
      <c r="GYA82" s="570"/>
      <c r="GYB82" s="570"/>
      <c r="GYC82" s="570"/>
      <c r="GYD82" s="570"/>
      <c r="GYE82" s="570"/>
      <c r="GYF82" s="570"/>
      <c r="GYG82" s="570"/>
      <c r="GYH82" s="570"/>
      <c r="GYI82" s="570"/>
      <c r="GYJ82" s="570"/>
      <c r="GYK82" s="570"/>
      <c r="GYL82" s="570"/>
      <c r="GYM82" s="570"/>
      <c r="GYN82" s="570"/>
      <c r="GYO82" s="570"/>
      <c r="GYP82" s="570"/>
      <c r="GYQ82" s="570"/>
      <c r="GYR82" s="570"/>
      <c r="GYS82" s="570"/>
      <c r="GYT82" s="570"/>
      <c r="GYU82" s="570"/>
      <c r="GYV82" s="570"/>
      <c r="GYW82" s="570"/>
      <c r="GYX82" s="570"/>
      <c r="GYY82" s="570"/>
      <c r="GYZ82" s="570"/>
      <c r="GZA82" s="570"/>
      <c r="GZB82" s="570"/>
      <c r="GZC82" s="570"/>
      <c r="GZD82" s="570"/>
      <c r="GZE82" s="570"/>
      <c r="GZF82" s="570"/>
      <c r="GZG82" s="570"/>
      <c r="GZH82" s="570"/>
      <c r="GZI82" s="570"/>
      <c r="GZJ82" s="570"/>
      <c r="GZK82" s="570"/>
      <c r="GZL82" s="570"/>
      <c r="GZM82" s="570"/>
      <c r="GZN82" s="570"/>
      <c r="GZO82" s="570"/>
      <c r="GZP82" s="570"/>
      <c r="GZQ82" s="570"/>
      <c r="GZR82" s="570"/>
      <c r="GZS82" s="570"/>
      <c r="GZT82" s="570"/>
      <c r="GZU82" s="570"/>
      <c r="GZV82" s="570"/>
      <c r="GZW82" s="570"/>
      <c r="GZX82" s="570"/>
      <c r="GZY82" s="570"/>
      <c r="GZZ82" s="570"/>
      <c r="HAA82" s="570"/>
      <c r="HAB82" s="570"/>
      <c r="HAC82" s="570"/>
      <c r="HAD82" s="570"/>
      <c r="HAE82" s="570"/>
      <c r="HAF82" s="570"/>
      <c r="HAG82" s="570"/>
      <c r="HAH82" s="570"/>
      <c r="HAI82" s="570"/>
      <c r="HAJ82" s="570"/>
      <c r="HAK82" s="570"/>
      <c r="HAL82" s="570"/>
      <c r="HAM82" s="570"/>
      <c r="HAN82" s="570"/>
      <c r="HAO82" s="570"/>
      <c r="HAP82" s="570"/>
      <c r="HAQ82" s="570"/>
      <c r="HAR82" s="570"/>
      <c r="HAS82" s="570"/>
      <c r="HAT82" s="570"/>
      <c r="HAU82" s="570"/>
      <c r="HAV82" s="570"/>
      <c r="HAW82" s="570"/>
      <c r="HAX82" s="570"/>
      <c r="HAY82" s="570"/>
      <c r="HAZ82" s="570"/>
      <c r="HBA82" s="570"/>
      <c r="HBB82" s="570"/>
      <c r="HBC82" s="570"/>
      <c r="HBD82" s="570"/>
      <c r="HBE82" s="570"/>
      <c r="HBF82" s="570"/>
      <c r="HBG82" s="570"/>
      <c r="HBH82" s="570"/>
      <c r="HBI82" s="570"/>
      <c r="HBJ82" s="570"/>
      <c r="HBK82" s="570"/>
      <c r="HBL82" s="570"/>
      <c r="HBM82" s="570"/>
      <c r="HBN82" s="570"/>
      <c r="HBO82" s="570"/>
      <c r="HBP82" s="570"/>
      <c r="HBQ82" s="570"/>
      <c r="HBR82" s="570"/>
      <c r="HBS82" s="570"/>
      <c r="HBT82" s="570"/>
      <c r="HBU82" s="570"/>
      <c r="HBV82" s="570"/>
      <c r="HBW82" s="570"/>
      <c r="HBX82" s="570"/>
      <c r="HBY82" s="570"/>
      <c r="HBZ82" s="570"/>
      <c r="HCA82" s="570"/>
      <c r="HCB82" s="570"/>
      <c r="HCC82" s="570"/>
      <c r="HCD82" s="570"/>
      <c r="HCE82" s="570"/>
      <c r="HCF82" s="570"/>
      <c r="HCG82" s="570"/>
      <c r="HCH82" s="570"/>
      <c r="HCI82" s="570"/>
      <c r="HCJ82" s="570"/>
      <c r="HCK82" s="570"/>
      <c r="HCL82" s="570"/>
      <c r="HCM82" s="570"/>
      <c r="HCN82" s="570"/>
      <c r="HCO82" s="570"/>
      <c r="HCP82" s="570"/>
      <c r="HCQ82" s="570"/>
      <c r="HCR82" s="570"/>
      <c r="HCS82" s="570"/>
      <c r="HCT82" s="570"/>
      <c r="HCU82" s="570"/>
      <c r="HCV82" s="570"/>
      <c r="HCW82" s="570"/>
      <c r="HCX82" s="570"/>
      <c r="HCY82" s="570"/>
      <c r="HCZ82" s="570"/>
      <c r="HDA82" s="570"/>
      <c r="HDB82" s="570"/>
      <c r="HDC82" s="570"/>
      <c r="HDD82" s="570"/>
      <c r="HDE82" s="570"/>
      <c r="HDF82" s="570"/>
      <c r="HDG82" s="570"/>
      <c r="HDH82" s="570"/>
      <c r="HDI82" s="570"/>
      <c r="HDJ82" s="570"/>
      <c r="HDK82" s="570"/>
      <c r="HDL82" s="570"/>
      <c r="HDM82" s="570"/>
      <c r="HDN82" s="570"/>
      <c r="HDO82" s="570"/>
      <c r="HDP82" s="570"/>
      <c r="HDQ82" s="570"/>
      <c r="HDR82" s="570"/>
      <c r="HDS82" s="570"/>
      <c r="HDT82" s="570"/>
      <c r="HDU82" s="570"/>
      <c r="HDV82" s="570"/>
      <c r="HDW82" s="570"/>
      <c r="HDX82" s="570"/>
      <c r="HDY82" s="570"/>
      <c r="HDZ82" s="570"/>
      <c r="HEA82" s="570"/>
      <c r="HEB82" s="570"/>
      <c r="HEC82" s="570"/>
      <c r="HED82" s="570"/>
      <c r="HEE82" s="570"/>
      <c r="HEF82" s="570"/>
      <c r="HEG82" s="570"/>
      <c r="HEH82" s="570"/>
      <c r="HEI82" s="570"/>
      <c r="HEJ82" s="570"/>
      <c r="HEK82" s="570"/>
      <c r="HEL82" s="570"/>
      <c r="HEM82" s="570"/>
      <c r="HEN82" s="570"/>
      <c r="HEO82" s="570"/>
      <c r="HEP82" s="570"/>
      <c r="HEQ82" s="570"/>
      <c r="HER82" s="570"/>
      <c r="HES82" s="570"/>
      <c r="HET82" s="570"/>
      <c r="HEU82" s="570"/>
      <c r="HEV82" s="570"/>
      <c r="HEW82" s="570"/>
      <c r="HEX82" s="570"/>
      <c r="HEY82" s="570"/>
      <c r="HEZ82" s="570"/>
      <c r="HFA82" s="570"/>
      <c r="HFB82" s="570"/>
      <c r="HFC82" s="570"/>
      <c r="HFD82" s="570"/>
      <c r="HFE82" s="570"/>
      <c r="HFF82" s="570"/>
      <c r="HFG82" s="570"/>
      <c r="HFH82" s="570"/>
      <c r="HFI82" s="570"/>
      <c r="HFJ82" s="570"/>
      <c r="HFK82" s="570"/>
      <c r="HFL82" s="570"/>
      <c r="HFM82" s="570"/>
      <c r="HFN82" s="570"/>
      <c r="HFO82" s="570"/>
      <c r="HFP82" s="570"/>
      <c r="HFQ82" s="570"/>
      <c r="HFR82" s="570"/>
      <c r="HFS82" s="570"/>
      <c r="HFT82" s="570"/>
      <c r="HFU82" s="570"/>
      <c r="HFV82" s="570"/>
      <c r="HFW82" s="570"/>
      <c r="HFX82" s="570"/>
      <c r="HFY82" s="570"/>
      <c r="HFZ82" s="570"/>
      <c r="HGA82" s="570"/>
      <c r="HGB82" s="570"/>
      <c r="HGC82" s="570"/>
      <c r="HGD82" s="570"/>
      <c r="HGE82" s="570"/>
      <c r="HGF82" s="570"/>
      <c r="HGG82" s="570"/>
      <c r="HGH82" s="570"/>
      <c r="HGI82" s="570"/>
      <c r="HGJ82" s="570"/>
      <c r="HGK82" s="570"/>
      <c r="HGL82" s="570"/>
      <c r="HGM82" s="570"/>
      <c r="HGN82" s="570"/>
      <c r="HGO82" s="570"/>
      <c r="HGP82" s="570"/>
      <c r="HGQ82" s="570"/>
      <c r="HGR82" s="570"/>
      <c r="HGS82" s="570"/>
      <c r="HGT82" s="570"/>
      <c r="HGU82" s="570"/>
      <c r="HGV82" s="570"/>
      <c r="HGW82" s="570"/>
      <c r="HGX82" s="570"/>
      <c r="HGY82" s="570"/>
      <c r="HGZ82" s="570"/>
      <c r="HHA82" s="570"/>
      <c r="HHB82" s="570"/>
      <c r="HHC82" s="570"/>
      <c r="HHD82" s="570"/>
      <c r="HHE82" s="570"/>
      <c r="HHF82" s="570"/>
      <c r="HHG82" s="570"/>
      <c r="HHH82" s="570"/>
      <c r="HHI82" s="570"/>
      <c r="HHJ82" s="570"/>
      <c r="HHK82" s="570"/>
      <c r="HHL82" s="570"/>
      <c r="HHM82" s="570"/>
      <c r="HHN82" s="570"/>
      <c r="HHO82" s="570"/>
      <c r="HHP82" s="570"/>
      <c r="HHQ82" s="570"/>
      <c r="HHR82" s="570"/>
      <c r="HHS82" s="570"/>
      <c r="HHT82" s="570"/>
      <c r="HHU82" s="570"/>
      <c r="HHV82" s="570"/>
      <c r="HHW82" s="570"/>
      <c r="HHX82" s="570"/>
      <c r="HHY82" s="570"/>
      <c r="HHZ82" s="570"/>
      <c r="HIA82" s="570"/>
      <c r="HIB82" s="570"/>
      <c r="HIC82" s="570"/>
      <c r="HID82" s="570"/>
      <c r="HIE82" s="570"/>
      <c r="HIF82" s="570"/>
      <c r="HIG82" s="570"/>
      <c r="HIH82" s="570"/>
      <c r="HII82" s="570"/>
      <c r="HIJ82" s="570"/>
      <c r="HIK82" s="570"/>
      <c r="HIL82" s="570"/>
      <c r="HIM82" s="570"/>
      <c r="HIN82" s="570"/>
      <c r="HIO82" s="570"/>
      <c r="HIP82" s="570"/>
      <c r="HIQ82" s="570"/>
      <c r="HIR82" s="570"/>
      <c r="HIS82" s="570"/>
      <c r="HIT82" s="570"/>
      <c r="HIU82" s="570"/>
      <c r="HIV82" s="570"/>
      <c r="HIW82" s="570"/>
      <c r="HIX82" s="570"/>
      <c r="HIY82" s="570"/>
      <c r="HIZ82" s="570"/>
      <c r="HJA82" s="570"/>
      <c r="HJB82" s="570"/>
      <c r="HJC82" s="570"/>
      <c r="HJD82" s="570"/>
      <c r="HJE82" s="570"/>
      <c r="HJF82" s="570"/>
      <c r="HJG82" s="570"/>
      <c r="HJH82" s="570"/>
      <c r="HJI82" s="570"/>
      <c r="HJJ82" s="570"/>
      <c r="HJK82" s="570"/>
      <c r="HJL82" s="570"/>
      <c r="HJM82" s="570"/>
      <c r="HJN82" s="570"/>
      <c r="HJO82" s="570"/>
      <c r="HJP82" s="570"/>
      <c r="HJQ82" s="570"/>
      <c r="HJR82" s="570"/>
      <c r="HJS82" s="570"/>
      <c r="HJT82" s="570"/>
      <c r="HJU82" s="570"/>
      <c r="HJV82" s="570"/>
      <c r="HJW82" s="570"/>
      <c r="HJX82" s="570"/>
      <c r="HJY82" s="570"/>
      <c r="HJZ82" s="570"/>
      <c r="HKA82" s="570"/>
      <c r="HKB82" s="570"/>
      <c r="HKC82" s="570"/>
      <c r="HKD82" s="570"/>
      <c r="HKE82" s="570"/>
      <c r="HKF82" s="570"/>
      <c r="HKG82" s="570"/>
      <c r="HKH82" s="570"/>
      <c r="HKI82" s="570"/>
      <c r="HKJ82" s="570"/>
      <c r="HKK82" s="570"/>
      <c r="HKL82" s="570"/>
      <c r="HKM82" s="570"/>
      <c r="HKN82" s="570"/>
      <c r="HKO82" s="570"/>
      <c r="HKP82" s="570"/>
      <c r="HKQ82" s="570"/>
      <c r="HKR82" s="570"/>
      <c r="HKS82" s="570"/>
      <c r="HKT82" s="570"/>
      <c r="HKU82" s="570"/>
      <c r="HKV82" s="570"/>
      <c r="HKW82" s="570"/>
      <c r="HKX82" s="570"/>
      <c r="HKY82" s="570"/>
      <c r="HKZ82" s="570"/>
      <c r="HLA82" s="570"/>
      <c r="HLB82" s="570"/>
      <c r="HLC82" s="570"/>
      <c r="HLD82" s="570"/>
      <c r="HLE82" s="570"/>
      <c r="HLF82" s="570"/>
      <c r="HLG82" s="570"/>
      <c r="HLH82" s="570"/>
      <c r="HLI82" s="570"/>
      <c r="HLJ82" s="570"/>
      <c r="HLK82" s="570"/>
      <c r="HLL82" s="570"/>
      <c r="HLM82" s="570"/>
      <c r="HLN82" s="570"/>
      <c r="HLO82" s="570"/>
      <c r="HLP82" s="570"/>
      <c r="HLQ82" s="570"/>
      <c r="HLR82" s="570"/>
      <c r="HLS82" s="570"/>
      <c r="HLT82" s="570"/>
      <c r="HLU82" s="570"/>
      <c r="HLV82" s="570"/>
      <c r="HLW82" s="570"/>
      <c r="HLX82" s="570"/>
      <c r="HLY82" s="570"/>
      <c r="HLZ82" s="570"/>
      <c r="HMA82" s="570"/>
      <c r="HMB82" s="570"/>
      <c r="HMC82" s="570"/>
      <c r="HMD82" s="570"/>
      <c r="HME82" s="570"/>
      <c r="HMF82" s="570"/>
      <c r="HMG82" s="570"/>
      <c r="HMH82" s="570"/>
      <c r="HMI82" s="570"/>
      <c r="HMJ82" s="570"/>
      <c r="HMK82" s="570"/>
      <c r="HML82" s="570"/>
      <c r="HMM82" s="570"/>
      <c r="HMN82" s="570"/>
      <c r="HMO82" s="570"/>
      <c r="HMP82" s="570"/>
      <c r="HMQ82" s="570"/>
      <c r="HMR82" s="570"/>
      <c r="HMS82" s="570"/>
      <c r="HMT82" s="570"/>
      <c r="HMU82" s="570"/>
      <c r="HMV82" s="570"/>
      <c r="HMW82" s="570"/>
      <c r="HMX82" s="570"/>
      <c r="HMY82" s="570"/>
      <c r="HMZ82" s="570"/>
      <c r="HNA82" s="570"/>
      <c r="HNB82" s="570"/>
      <c r="HNC82" s="570"/>
      <c r="HND82" s="570"/>
      <c r="HNE82" s="570"/>
      <c r="HNF82" s="570"/>
      <c r="HNG82" s="570"/>
      <c r="HNH82" s="570"/>
      <c r="HNI82" s="570"/>
      <c r="HNJ82" s="570"/>
      <c r="HNK82" s="570"/>
      <c r="HNL82" s="570"/>
      <c r="HNM82" s="570"/>
      <c r="HNN82" s="570"/>
      <c r="HNO82" s="570"/>
      <c r="HNP82" s="570"/>
      <c r="HNQ82" s="570"/>
      <c r="HNR82" s="570"/>
      <c r="HNS82" s="570"/>
      <c r="HNT82" s="570"/>
      <c r="HNU82" s="570"/>
      <c r="HNV82" s="570"/>
      <c r="HNW82" s="570"/>
      <c r="HNX82" s="570"/>
      <c r="HNY82" s="570"/>
      <c r="HNZ82" s="570"/>
      <c r="HOA82" s="570"/>
      <c r="HOB82" s="570"/>
      <c r="HOC82" s="570"/>
      <c r="HOD82" s="570"/>
      <c r="HOE82" s="570"/>
      <c r="HOF82" s="570"/>
      <c r="HOG82" s="570"/>
      <c r="HOH82" s="570"/>
      <c r="HOI82" s="570"/>
      <c r="HOJ82" s="570"/>
      <c r="HOK82" s="570"/>
      <c r="HOL82" s="570"/>
      <c r="HOM82" s="570"/>
      <c r="HON82" s="570"/>
      <c r="HOO82" s="570"/>
      <c r="HOP82" s="570"/>
      <c r="HOQ82" s="570"/>
      <c r="HOR82" s="570"/>
      <c r="HOS82" s="570"/>
      <c r="HOT82" s="570"/>
      <c r="HOU82" s="570"/>
      <c r="HOV82" s="570"/>
      <c r="HOW82" s="570"/>
      <c r="HOX82" s="570"/>
      <c r="HOY82" s="570"/>
      <c r="HOZ82" s="570"/>
      <c r="HPA82" s="570"/>
      <c r="HPB82" s="570"/>
      <c r="HPC82" s="570"/>
      <c r="HPD82" s="570"/>
      <c r="HPE82" s="570"/>
      <c r="HPF82" s="570"/>
      <c r="HPG82" s="570"/>
      <c r="HPH82" s="570"/>
      <c r="HPI82" s="570"/>
      <c r="HPJ82" s="570"/>
      <c r="HPK82" s="570"/>
      <c r="HPL82" s="570"/>
      <c r="HPM82" s="570"/>
      <c r="HPN82" s="570"/>
      <c r="HPO82" s="570"/>
      <c r="HPP82" s="570"/>
      <c r="HPQ82" s="570"/>
      <c r="HPR82" s="570"/>
      <c r="HPS82" s="570"/>
      <c r="HPT82" s="570"/>
      <c r="HPU82" s="570"/>
      <c r="HPV82" s="570"/>
      <c r="HPW82" s="570"/>
      <c r="HPX82" s="570"/>
      <c r="HPY82" s="570"/>
      <c r="HPZ82" s="570"/>
      <c r="HQA82" s="570"/>
      <c r="HQB82" s="570"/>
      <c r="HQC82" s="570"/>
      <c r="HQD82" s="570"/>
      <c r="HQE82" s="570"/>
      <c r="HQF82" s="570"/>
      <c r="HQG82" s="570"/>
      <c r="HQH82" s="570"/>
      <c r="HQI82" s="570"/>
      <c r="HQJ82" s="570"/>
      <c r="HQK82" s="570"/>
      <c r="HQL82" s="570"/>
      <c r="HQM82" s="570"/>
      <c r="HQN82" s="570"/>
      <c r="HQO82" s="570"/>
      <c r="HQP82" s="570"/>
      <c r="HQQ82" s="570"/>
      <c r="HQR82" s="570"/>
      <c r="HQS82" s="570"/>
      <c r="HQT82" s="570"/>
      <c r="HQU82" s="570"/>
      <c r="HQV82" s="570"/>
      <c r="HQW82" s="570"/>
      <c r="HQX82" s="570"/>
      <c r="HQY82" s="570"/>
      <c r="HQZ82" s="570"/>
      <c r="HRA82" s="570"/>
      <c r="HRB82" s="570"/>
      <c r="HRC82" s="570"/>
      <c r="HRD82" s="570"/>
      <c r="HRE82" s="570"/>
      <c r="HRF82" s="570"/>
      <c r="HRG82" s="570"/>
      <c r="HRH82" s="570"/>
      <c r="HRI82" s="570"/>
      <c r="HRJ82" s="570"/>
      <c r="HRK82" s="570"/>
      <c r="HRL82" s="570"/>
      <c r="HRM82" s="570"/>
      <c r="HRN82" s="570"/>
      <c r="HRO82" s="570"/>
      <c r="HRP82" s="570"/>
      <c r="HRQ82" s="570"/>
      <c r="HRR82" s="570"/>
      <c r="HRS82" s="570"/>
      <c r="HRT82" s="570"/>
      <c r="HRU82" s="570"/>
      <c r="HRV82" s="570"/>
      <c r="HRW82" s="570"/>
      <c r="HRX82" s="570"/>
      <c r="HRY82" s="570"/>
      <c r="HRZ82" s="570"/>
      <c r="HSA82" s="570"/>
      <c r="HSB82" s="570"/>
      <c r="HSC82" s="570"/>
      <c r="HSD82" s="570"/>
      <c r="HSE82" s="570"/>
      <c r="HSF82" s="570"/>
      <c r="HSG82" s="570"/>
      <c r="HSH82" s="570"/>
      <c r="HSI82" s="570"/>
      <c r="HSJ82" s="570"/>
      <c r="HSK82" s="570"/>
      <c r="HSL82" s="570"/>
      <c r="HSM82" s="570"/>
      <c r="HSN82" s="570"/>
      <c r="HSO82" s="570"/>
      <c r="HSP82" s="570"/>
      <c r="HSQ82" s="570"/>
      <c r="HSR82" s="570"/>
      <c r="HSS82" s="570"/>
      <c r="HST82" s="570"/>
      <c r="HSU82" s="570"/>
      <c r="HSV82" s="570"/>
      <c r="HSW82" s="570"/>
      <c r="HSX82" s="570"/>
      <c r="HSY82" s="570"/>
      <c r="HSZ82" s="570"/>
      <c r="HTA82" s="570"/>
      <c r="HTB82" s="570"/>
      <c r="HTC82" s="570"/>
      <c r="HTD82" s="570"/>
      <c r="HTE82" s="570"/>
      <c r="HTF82" s="570"/>
      <c r="HTG82" s="570"/>
      <c r="HTH82" s="570"/>
      <c r="HTI82" s="570"/>
      <c r="HTJ82" s="570"/>
      <c r="HTK82" s="570"/>
      <c r="HTL82" s="570"/>
      <c r="HTM82" s="570"/>
      <c r="HTN82" s="570"/>
      <c r="HTO82" s="570"/>
      <c r="HTP82" s="570"/>
      <c r="HTQ82" s="570"/>
      <c r="HTR82" s="570"/>
      <c r="HTS82" s="570"/>
      <c r="HTT82" s="570"/>
      <c r="HTU82" s="570"/>
      <c r="HTV82" s="570"/>
      <c r="HTW82" s="570"/>
      <c r="HTX82" s="570"/>
      <c r="HTY82" s="570"/>
      <c r="HTZ82" s="570"/>
      <c r="HUA82" s="570"/>
      <c r="HUB82" s="570"/>
      <c r="HUC82" s="570"/>
      <c r="HUD82" s="570"/>
      <c r="HUE82" s="570"/>
      <c r="HUF82" s="570"/>
      <c r="HUG82" s="570"/>
      <c r="HUH82" s="570"/>
      <c r="HUI82" s="570"/>
      <c r="HUJ82" s="570"/>
      <c r="HUK82" s="570"/>
      <c r="HUL82" s="570"/>
      <c r="HUM82" s="570"/>
      <c r="HUN82" s="570"/>
      <c r="HUO82" s="570"/>
      <c r="HUP82" s="570"/>
      <c r="HUQ82" s="570"/>
      <c r="HUR82" s="570"/>
      <c r="HUS82" s="570"/>
      <c r="HUT82" s="570"/>
      <c r="HUU82" s="570"/>
      <c r="HUV82" s="570"/>
      <c r="HUW82" s="570"/>
      <c r="HUX82" s="570"/>
      <c r="HUY82" s="570"/>
      <c r="HUZ82" s="570"/>
      <c r="HVA82" s="570"/>
      <c r="HVB82" s="570"/>
      <c r="HVC82" s="570"/>
      <c r="HVD82" s="570"/>
      <c r="HVE82" s="570"/>
      <c r="HVF82" s="570"/>
      <c r="HVG82" s="570"/>
      <c r="HVH82" s="570"/>
      <c r="HVI82" s="570"/>
      <c r="HVJ82" s="570"/>
      <c r="HVK82" s="570"/>
      <c r="HVL82" s="570"/>
      <c r="HVM82" s="570"/>
      <c r="HVN82" s="570"/>
      <c r="HVO82" s="570"/>
      <c r="HVP82" s="570"/>
      <c r="HVQ82" s="570"/>
      <c r="HVR82" s="570"/>
      <c r="HVS82" s="570"/>
      <c r="HVT82" s="570"/>
      <c r="HVU82" s="570"/>
      <c r="HVV82" s="570"/>
      <c r="HVW82" s="570"/>
      <c r="HVX82" s="570"/>
      <c r="HVY82" s="570"/>
      <c r="HVZ82" s="570"/>
      <c r="HWA82" s="570"/>
      <c r="HWB82" s="570"/>
      <c r="HWC82" s="570"/>
      <c r="HWD82" s="570"/>
      <c r="HWE82" s="570"/>
      <c r="HWF82" s="570"/>
      <c r="HWG82" s="570"/>
      <c r="HWH82" s="570"/>
      <c r="HWI82" s="570"/>
      <c r="HWJ82" s="570"/>
      <c r="HWK82" s="570"/>
      <c r="HWL82" s="570"/>
      <c r="HWM82" s="570"/>
      <c r="HWN82" s="570"/>
      <c r="HWO82" s="570"/>
      <c r="HWP82" s="570"/>
      <c r="HWQ82" s="570"/>
      <c r="HWR82" s="570"/>
      <c r="HWS82" s="570"/>
      <c r="HWT82" s="570"/>
      <c r="HWU82" s="570"/>
      <c r="HWV82" s="570"/>
      <c r="HWW82" s="570"/>
      <c r="HWX82" s="570"/>
      <c r="HWY82" s="570"/>
      <c r="HWZ82" s="570"/>
      <c r="HXA82" s="570"/>
      <c r="HXB82" s="570"/>
      <c r="HXC82" s="570"/>
      <c r="HXD82" s="570"/>
      <c r="HXE82" s="570"/>
      <c r="HXF82" s="570"/>
      <c r="HXG82" s="570"/>
      <c r="HXH82" s="570"/>
      <c r="HXI82" s="570"/>
      <c r="HXJ82" s="570"/>
      <c r="HXK82" s="570"/>
      <c r="HXL82" s="570"/>
      <c r="HXM82" s="570"/>
      <c r="HXN82" s="570"/>
      <c r="HXO82" s="570"/>
      <c r="HXP82" s="570"/>
      <c r="HXQ82" s="570"/>
      <c r="HXR82" s="570"/>
      <c r="HXS82" s="570"/>
      <c r="HXT82" s="570"/>
      <c r="HXU82" s="570"/>
      <c r="HXV82" s="570"/>
      <c r="HXW82" s="570"/>
      <c r="HXX82" s="570"/>
      <c r="HXY82" s="570"/>
      <c r="HXZ82" s="570"/>
      <c r="HYA82" s="570"/>
      <c r="HYB82" s="570"/>
      <c r="HYC82" s="570"/>
      <c r="HYD82" s="570"/>
      <c r="HYE82" s="570"/>
      <c r="HYF82" s="570"/>
      <c r="HYG82" s="570"/>
      <c r="HYH82" s="570"/>
      <c r="HYI82" s="570"/>
      <c r="HYJ82" s="570"/>
      <c r="HYK82" s="570"/>
      <c r="HYL82" s="570"/>
      <c r="HYM82" s="570"/>
      <c r="HYN82" s="570"/>
      <c r="HYO82" s="570"/>
      <c r="HYP82" s="570"/>
      <c r="HYQ82" s="570"/>
      <c r="HYR82" s="570"/>
      <c r="HYS82" s="570"/>
      <c r="HYT82" s="570"/>
      <c r="HYU82" s="570"/>
      <c r="HYV82" s="570"/>
      <c r="HYW82" s="570"/>
      <c r="HYX82" s="570"/>
      <c r="HYY82" s="570"/>
      <c r="HYZ82" s="570"/>
      <c r="HZA82" s="570"/>
      <c r="HZB82" s="570"/>
      <c r="HZC82" s="570"/>
      <c r="HZD82" s="570"/>
      <c r="HZE82" s="570"/>
      <c r="HZF82" s="570"/>
      <c r="HZG82" s="570"/>
      <c r="HZH82" s="570"/>
      <c r="HZI82" s="570"/>
      <c r="HZJ82" s="570"/>
      <c r="HZK82" s="570"/>
      <c r="HZL82" s="570"/>
      <c r="HZM82" s="570"/>
      <c r="HZN82" s="570"/>
      <c r="HZO82" s="570"/>
      <c r="HZP82" s="570"/>
      <c r="HZQ82" s="570"/>
      <c r="HZR82" s="570"/>
      <c r="HZS82" s="570"/>
      <c r="HZT82" s="570"/>
      <c r="HZU82" s="570"/>
      <c r="HZV82" s="570"/>
      <c r="HZW82" s="570"/>
      <c r="HZX82" s="570"/>
      <c r="HZY82" s="570"/>
      <c r="HZZ82" s="570"/>
      <c r="IAA82" s="570"/>
      <c r="IAB82" s="570"/>
      <c r="IAC82" s="570"/>
      <c r="IAD82" s="570"/>
      <c r="IAE82" s="570"/>
      <c r="IAF82" s="570"/>
      <c r="IAG82" s="570"/>
      <c r="IAH82" s="570"/>
      <c r="IAI82" s="570"/>
      <c r="IAJ82" s="570"/>
      <c r="IAK82" s="570"/>
      <c r="IAL82" s="570"/>
      <c r="IAM82" s="570"/>
      <c r="IAN82" s="570"/>
      <c r="IAO82" s="570"/>
      <c r="IAP82" s="570"/>
      <c r="IAQ82" s="570"/>
      <c r="IAR82" s="570"/>
      <c r="IAS82" s="570"/>
      <c r="IAT82" s="570"/>
      <c r="IAU82" s="570"/>
      <c r="IAV82" s="570"/>
      <c r="IAW82" s="570"/>
      <c r="IAX82" s="570"/>
      <c r="IAY82" s="570"/>
      <c r="IAZ82" s="570"/>
      <c r="IBA82" s="570"/>
      <c r="IBB82" s="570"/>
      <c r="IBC82" s="570"/>
      <c r="IBD82" s="570"/>
      <c r="IBE82" s="570"/>
      <c r="IBF82" s="570"/>
      <c r="IBG82" s="570"/>
      <c r="IBH82" s="570"/>
      <c r="IBI82" s="570"/>
      <c r="IBJ82" s="570"/>
      <c r="IBK82" s="570"/>
      <c r="IBL82" s="570"/>
      <c r="IBM82" s="570"/>
      <c r="IBN82" s="570"/>
      <c r="IBO82" s="570"/>
      <c r="IBP82" s="570"/>
      <c r="IBQ82" s="570"/>
      <c r="IBR82" s="570"/>
      <c r="IBS82" s="570"/>
      <c r="IBT82" s="570"/>
      <c r="IBU82" s="570"/>
      <c r="IBV82" s="570"/>
      <c r="IBW82" s="570"/>
      <c r="IBX82" s="570"/>
      <c r="IBY82" s="570"/>
      <c r="IBZ82" s="570"/>
      <c r="ICA82" s="570"/>
      <c r="ICB82" s="570"/>
      <c r="ICC82" s="570"/>
      <c r="ICD82" s="570"/>
      <c r="ICE82" s="570"/>
      <c r="ICF82" s="570"/>
      <c r="ICG82" s="570"/>
      <c r="ICH82" s="570"/>
      <c r="ICI82" s="570"/>
      <c r="ICJ82" s="570"/>
      <c r="ICK82" s="570"/>
      <c r="ICL82" s="570"/>
      <c r="ICM82" s="570"/>
      <c r="ICN82" s="570"/>
      <c r="ICO82" s="570"/>
      <c r="ICP82" s="570"/>
      <c r="ICQ82" s="570"/>
      <c r="ICR82" s="570"/>
      <c r="ICS82" s="570"/>
      <c r="ICT82" s="570"/>
      <c r="ICU82" s="570"/>
      <c r="ICV82" s="570"/>
      <c r="ICW82" s="570"/>
      <c r="ICX82" s="570"/>
      <c r="ICY82" s="570"/>
      <c r="ICZ82" s="570"/>
      <c r="IDA82" s="570"/>
      <c r="IDB82" s="570"/>
      <c r="IDC82" s="570"/>
      <c r="IDD82" s="570"/>
      <c r="IDE82" s="570"/>
      <c r="IDF82" s="570"/>
      <c r="IDG82" s="570"/>
      <c r="IDH82" s="570"/>
      <c r="IDI82" s="570"/>
      <c r="IDJ82" s="570"/>
      <c r="IDK82" s="570"/>
      <c r="IDL82" s="570"/>
      <c r="IDM82" s="570"/>
      <c r="IDN82" s="570"/>
      <c r="IDO82" s="570"/>
      <c r="IDP82" s="570"/>
      <c r="IDQ82" s="570"/>
      <c r="IDR82" s="570"/>
      <c r="IDS82" s="570"/>
      <c r="IDT82" s="570"/>
      <c r="IDU82" s="570"/>
      <c r="IDV82" s="570"/>
      <c r="IDW82" s="570"/>
      <c r="IDX82" s="570"/>
      <c r="IDY82" s="570"/>
      <c r="IDZ82" s="570"/>
      <c r="IEA82" s="570"/>
      <c r="IEB82" s="570"/>
      <c r="IEC82" s="570"/>
      <c r="IED82" s="570"/>
      <c r="IEE82" s="570"/>
      <c r="IEF82" s="570"/>
      <c r="IEG82" s="570"/>
      <c r="IEH82" s="570"/>
      <c r="IEI82" s="570"/>
      <c r="IEJ82" s="570"/>
      <c r="IEK82" s="570"/>
      <c r="IEL82" s="570"/>
      <c r="IEM82" s="570"/>
      <c r="IEN82" s="570"/>
      <c r="IEO82" s="570"/>
      <c r="IEP82" s="570"/>
      <c r="IEQ82" s="570"/>
      <c r="IER82" s="570"/>
      <c r="IES82" s="570"/>
      <c r="IET82" s="570"/>
      <c r="IEU82" s="570"/>
      <c r="IEV82" s="570"/>
      <c r="IEW82" s="570"/>
      <c r="IEX82" s="570"/>
      <c r="IEY82" s="570"/>
      <c r="IEZ82" s="570"/>
      <c r="IFA82" s="570"/>
      <c r="IFB82" s="570"/>
      <c r="IFC82" s="570"/>
      <c r="IFD82" s="570"/>
      <c r="IFE82" s="570"/>
      <c r="IFF82" s="570"/>
      <c r="IFG82" s="570"/>
      <c r="IFH82" s="570"/>
      <c r="IFI82" s="570"/>
      <c r="IFJ82" s="570"/>
      <c r="IFK82" s="570"/>
      <c r="IFL82" s="570"/>
      <c r="IFM82" s="570"/>
      <c r="IFN82" s="570"/>
      <c r="IFO82" s="570"/>
      <c r="IFP82" s="570"/>
      <c r="IFQ82" s="570"/>
      <c r="IFR82" s="570"/>
      <c r="IFS82" s="570"/>
      <c r="IFT82" s="570"/>
      <c r="IFU82" s="570"/>
      <c r="IFV82" s="570"/>
      <c r="IFW82" s="570"/>
      <c r="IFX82" s="570"/>
      <c r="IFY82" s="570"/>
      <c r="IFZ82" s="570"/>
      <c r="IGA82" s="570"/>
      <c r="IGB82" s="570"/>
      <c r="IGC82" s="570"/>
      <c r="IGD82" s="570"/>
      <c r="IGE82" s="570"/>
      <c r="IGF82" s="570"/>
      <c r="IGG82" s="570"/>
      <c r="IGH82" s="570"/>
      <c r="IGI82" s="570"/>
      <c r="IGJ82" s="570"/>
      <c r="IGK82" s="570"/>
      <c r="IGL82" s="570"/>
      <c r="IGM82" s="570"/>
      <c r="IGN82" s="570"/>
      <c r="IGO82" s="570"/>
      <c r="IGP82" s="570"/>
      <c r="IGQ82" s="570"/>
      <c r="IGR82" s="570"/>
      <c r="IGS82" s="570"/>
      <c r="IGT82" s="570"/>
      <c r="IGU82" s="570"/>
      <c r="IGV82" s="570"/>
      <c r="IGW82" s="570"/>
      <c r="IGX82" s="570"/>
      <c r="IGY82" s="570"/>
      <c r="IGZ82" s="570"/>
      <c r="IHA82" s="570"/>
      <c r="IHB82" s="570"/>
      <c r="IHC82" s="570"/>
      <c r="IHD82" s="570"/>
      <c r="IHE82" s="570"/>
      <c r="IHF82" s="570"/>
      <c r="IHG82" s="570"/>
      <c r="IHH82" s="570"/>
      <c r="IHI82" s="570"/>
      <c r="IHJ82" s="570"/>
      <c r="IHK82" s="570"/>
      <c r="IHL82" s="570"/>
      <c r="IHM82" s="570"/>
      <c r="IHN82" s="570"/>
      <c r="IHO82" s="570"/>
      <c r="IHP82" s="570"/>
      <c r="IHQ82" s="570"/>
      <c r="IHR82" s="570"/>
      <c r="IHS82" s="570"/>
      <c r="IHT82" s="570"/>
      <c r="IHU82" s="570"/>
      <c r="IHV82" s="570"/>
      <c r="IHW82" s="570"/>
      <c r="IHX82" s="570"/>
      <c r="IHY82" s="570"/>
      <c r="IHZ82" s="570"/>
      <c r="IIA82" s="570"/>
      <c r="IIB82" s="570"/>
      <c r="IIC82" s="570"/>
      <c r="IID82" s="570"/>
      <c r="IIE82" s="570"/>
      <c r="IIF82" s="570"/>
      <c r="IIG82" s="570"/>
      <c r="IIH82" s="570"/>
      <c r="III82" s="570"/>
      <c r="IIJ82" s="570"/>
      <c r="IIK82" s="570"/>
      <c r="IIL82" s="570"/>
      <c r="IIM82" s="570"/>
      <c r="IIN82" s="570"/>
      <c r="IIO82" s="570"/>
      <c r="IIP82" s="570"/>
      <c r="IIQ82" s="570"/>
      <c r="IIR82" s="570"/>
      <c r="IIS82" s="570"/>
      <c r="IIT82" s="570"/>
      <c r="IIU82" s="570"/>
      <c r="IIV82" s="570"/>
      <c r="IIW82" s="570"/>
      <c r="IIX82" s="570"/>
      <c r="IIY82" s="570"/>
      <c r="IIZ82" s="570"/>
      <c r="IJA82" s="570"/>
      <c r="IJB82" s="570"/>
      <c r="IJC82" s="570"/>
      <c r="IJD82" s="570"/>
      <c r="IJE82" s="570"/>
      <c r="IJF82" s="570"/>
      <c r="IJG82" s="570"/>
      <c r="IJH82" s="570"/>
      <c r="IJI82" s="570"/>
      <c r="IJJ82" s="570"/>
      <c r="IJK82" s="570"/>
      <c r="IJL82" s="570"/>
      <c r="IJM82" s="570"/>
      <c r="IJN82" s="570"/>
      <c r="IJO82" s="570"/>
      <c r="IJP82" s="570"/>
      <c r="IJQ82" s="570"/>
      <c r="IJR82" s="570"/>
      <c r="IJS82" s="570"/>
      <c r="IJT82" s="570"/>
      <c r="IJU82" s="570"/>
      <c r="IJV82" s="570"/>
      <c r="IJW82" s="570"/>
      <c r="IJX82" s="570"/>
      <c r="IJY82" s="570"/>
      <c r="IJZ82" s="570"/>
      <c r="IKA82" s="570"/>
      <c r="IKB82" s="570"/>
      <c r="IKC82" s="570"/>
      <c r="IKD82" s="570"/>
      <c r="IKE82" s="570"/>
      <c r="IKF82" s="570"/>
      <c r="IKG82" s="570"/>
      <c r="IKH82" s="570"/>
      <c r="IKI82" s="570"/>
      <c r="IKJ82" s="570"/>
      <c r="IKK82" s="570"/>
      <c r="IKL82" s="570"/>
      <c r="IKM82" s="570"/>
      <c r="IKN82" s="570"/>
      <c r="IKO82" s="570"/>
      <c r="IKP82" s="570"/>
      <c r="IKQ82" s="570"/>
      <c r="IKR82" s="570"/>
      <c r="IKS82" s="570"/>
      <c r="IKT82" s="570"/>
      <c r="IKU82" s="570"/>
      <c r="IKV82" s="570"/>
      <c r="IKW82" s="570"/>
      <c r="IKX82" s="570"/>
      <c r="IKY82" s="570"/>
      <c r="IKZ82" s="570"/>
      <c r="ILA82" s="570"/>
      <c r="ILB82" s="570"/>
      <c r="ILC82" s="570"/>
      <c r="ILD82" s="570"/>
      <c r="ILE82" s="570"/>
      <c r="ILF82" s="570"/>
      <c r="ILG82" s="570"/>
      <c r="ILH82" s="570"/>
      <c r="ILI82" s="570"/>
      <c r="ILJ82" s="570"/>
      <c r="ILK82" s="570"/>
      <c r="ILL82" s="570"/>
      <c r="ILM82" s="570"/>
      <c r="ILN82" s="570"/>
      <c r="ILO82" s="570"/>
      <c r="ILP82" s="570"/>
      <c r="ILQ82" s="570"/>
      <c r="ILR82" s="570"/>
      <c r="ILS82" s="570"/>
      <c r="ILT82" s="570"/>
      <c r="ILU82" s="570"/>
      <c r="ILV82" s="570"/>
      <c r="ILW82" s="570"/>
      <c r="ILX82" s="570"/>
      <c r="ILY82" s="570"/>
      <c r="ILZ82" s="570"/>
      <c r="IMA82" s="570"/>
      <c r="IMB82" s="570"/>
      <c r="IMC82" s="570"/>
      <c r="IMD82" s="570"/>
      <c r="IME82" s="570"/>
      <c r="IMF82" s="570"/>
      <c r="IMG82" s="570"/>
      <c r="IMH82" s="570"/>
      <c r="IMI82" s="570"/>
      <c r="IMJ82" s="570"/>
      <c r="IMK82" s="570"/>
      <c r="IML82" s="570"/>
      <c r="IMM82" s="570"/>
      <c r="IMN82" s="570"/>
      <c r="IMO82" s="570"/>
      <c r="IMP82" s="570"/>
      <c r="IMQ82" s="570"/>
      <c r="IMR82" s="570"/>
      <c r="IMS82" s="570"/>
      <c r="IMT82" s="570"/>
      <c r="IMU82" s="570"/>
      <c r="IMV82" s="570"/>
      <c r="IMW82" s="570"/>
      <c r="IMX82" s="570"/>
      <c r="IMY82" s="570"/>
      <c r="IMZ82" s="570"/>
      <c r="INA82" s="570"/>
      <c r="INB82" s="570"/>
      <c r="INC82" s="570"/>
      <c r="IND82" s="570"/>
      <c r="INE82" s="570"/>
      <c r="INF82" s="570"/>
      <c r="ING82" s="570"/>
      <c r="INH82" s="570"/>
      <c r="INI82" s="570"/>
      <c r="INJ82" s="570"/>
      <c r="INK82" s="570"/>
      <c r="INL82" s="570"/>
      <c r="INM82" s="570"/>
      <c r="INN82" s="570"/>
      <c r="INO82" s="570"/>
      <c r="INP82" s="570"/>
      <c r="INQ82" s="570"/>
      <c r="INR82" s="570"/>
      <c r="INS82" s="570"/>
      <c r="INT82" s="570"/>
      <c r="INU82" s="570"/>
      <c r="INV82" s="570"/>
      <c r="INW82" s="570"/>
      <c r="INX82" s="570"/>
      <c r="INY82" s="570"/>
      <c r="INZ82" s="570"/>
      <c r="IOA82" s="570"/>
      <c r="IOB82" s="570"/>
      <c r="IOC82" s="570"/>
      <c r="IOD82" s="570"/>
      <c r="IOE82" s="570"/>
      <c r="IOF82" s="570"/>
      <c r="IOG82" s="570"/>
      <c r="IOH82" s="570"/>
      <c r="IOI82" s="570"/>
      <c r="IOJ82" s="570"/>
      <c r="IOK82" s="570"/>
      <c r="IOL82" s="570"/>
      <c r="IOM82" s="570"/>
      <c r="ION82" s="570"/>
      <c r="IOO82" s="570"/>
      <c r="IOP82" s="570"/>
      <c r="IOQ82" s="570"/>
      <c r="IOR82" s="570"/>
      <c r="IOS82" s="570"/>
      <c r="IOT82" s="570"/>
      <c r="IOU82" s="570"/>
      <c r="IOV82" s="570"/>
      <c r="IOW82" s="570"/>
      <c r="IOX82" s="570"/>
      <c r="IOY82" s="570"/>
      <c r="IOZ82" s="570"/>
      <c r="IPA82" s="570"/>
      <c r="IPB82" s="570"/>
      <c r="IPC82" s="570"/>
      <c r="IPD82" s="570"/>
      <c r="IPE82" s="570"/>
      <c r="IPF82" s="570"/>
      <c r="IPG82" s="570"/>
      <c r="IPH82" s="570"/>
      <c r="IPI82" s="570"/>
      <c r="IPJ82" s="570"/>
      <c r="IPK82" s="570"/>
      <c r="IPL82" s="570"/>
      <c r="IPM82" s="570"/>
      <c r="IPN82" s="570"/>
      <c r="IPO82" s="570"/>
      <c r="IPP82" s="570"/>
      <c r="IPQ82" s="570"/>
      <c r="IPR82" s="570"/>
      <c r="IPS82" s="570"/>
      <c r="IPT82" s="570"/>
      <c r="IPU82" s="570"/>
      <c r="IPV82" s="570"/>
      <c r="IPW82" s="570"/>
      <c r="IPX82" s="570"/>
      <c r="IPY82" s="570"/>
      <c r="IPZ82" s="570"/>
      <c r="IQA82" s="570"/>
      <c r="IQB82" s="570"/>
      <c r="IQC82" s="570"/>
      <c r="IQD82" s="570"/>
      <c r="IQE82" s="570"/>
      <c r="IQF82" s="570"/>
      <c r="IQG82" s="570"/>
      <c r="IQH82" s="570"/>
      <c r="IQI82" s="570"/>
      <c r="IQJ82" s="570"/>
      <c r="IQK82" s="570"/>
      <c r="IQL82" s="570"/>
      <c r="IQM82" s="570"/>
      <c r="IQN82" s="570"/>
      <c r="IQO82" s="570"/>
      <c r="IQP82" s="570"/>
      <c r="IQQ82" s="570"/>
      <c r="IQR82" s="570"/>
      <c r="IQS82" s="570"/>
      <c r="IQT82" s="570"/>
      <c r="IQU82" s="570"/>
      <c r="IQV82" s="570"/>
      <c r="IQW82" s="570"/>
      <c r="IQX82" s="570"/>
      <c r="IQY82" s="570"/>
      <c r="IQZ82" s="570"/>
      <c r="IRA82" s="570"/>
      <c r="IRB82" s="570"/>
      <c r="IRC82" s="570"/>
      <c r="IRD82" s="570"/>
      <c r="IRE82" s="570"/>
      <c r="IRF82" s="570"/>
      <c r="IRG82" s="570"/>
      <c r="IRH82" s="570"/>
      <c r="IRI82" s="570"/>
      <c r="IRJ82" s="570"/>
      <c r="IRK82" s="570"/>
      <c r="IRL82" s="570"/>
      <c r="IRM82" s="570"/>
      <c r="IRN82" s="570"/>
      <c r="IRO82" s="570"/>
      <c r="IRP82" s="570"/>
      <c r="IRQ82" s="570"/>
      <c r="IRR82" s="570"/>
      <c r="IRS82" s="570"/>
      <c r="IRT82" s="570"/>
      <c r="IRU82" s="570"/>
      <c r="IRV82" s="570"/>
      <c r="IRW82" s="570"/>
      <c r="IRX82" s="570"/>
      <c r="IRY82" s="570"/>
      <c r="IRZ82" s="570"/>
      <c r="ISA82" s="570"/>
      <c r="ISB82" s="570"/>
      <c r="ISC82" s="570"/>
      <c r="ISD82" s="570"/>
      <c r="ISE82" s="570"/>
      <c r="ISF82" s="570"/>
      <c r="ISG82" s="570"/>
      <c r="ISH82" s="570"/>
      <c r="ISI82" s="570"/>
      <c r="ISJ82" s="570"/>
      <c r="ISK82" s="570"/>
      <c r="ISL82" s="570"/>
      <c r="ISM82" s="570"/>
      <c r="ISN82" s="570"/>
      <c r="ISO82" s="570"/>
      <c r="ISP82" s="570"/>
      <c r="ISQ82" s="570"/>
      <c r="ISR82" s="570"/>
      <c r="ISS82" s="570"/>
      <c r="IST82" s="570"/>
      <c r="ISU82" s="570"/>
      <c r="ISV82" s="570"/>
      <c r="ISW82" s="570"/>
      <c r="ISX82" s="570"/>
      <c r="ISY82" s="570"/>
      <c r="ISZ82" s="570"/>
      <c r="ITA82" s="570"/>
      <c r="ITB82" s="570"/>
      <c r="ITC82" s="570"/>
      <c r="ITD82" s="570"/>
      <c r="ITE82" s="570"/>
      <c r="ITF82" s="570"/>
      <c r="ITG82" s="570"/>
      <c r="ITH82" s="570"/>
      <c r="ITI82" s="570"/>
      <c r="ITJ82" s="570"/>
      <c r="ITK82" s="570"/>
      <c r="ITL82" s="570"/>
      <c r="ITM82" s="570"/>
      <c r="ITN82" s="570"/>
      <c r="ITO82" s="570"/>
      <c r="ITP82" s="570"/>
      <c r="ITQ82" s="570"/>
      <c r="ITR82" s="570"/>
      <c r="ITS82" s="570"/>
      <c r="ITT82" s="570"/>
      <c r="ITU82" s="570"/>
      <c r="ITV82" s="570"/>
      <c r="ITW82" s="570"/>
      <c r="ITX82" s="570"/>
      <c r="ITY82" s="570"/>
      <c r="ITZ82" s="570"/>
      <c r="IUA82" s="570"/>
      <c r="IUB82" s="570"/>
      <c r="IUC82" s="570"/>
      <c r="IUD82" s="570"/>
      <c r="IUE82" s="570"/>
      <c r="IUF82" s="570"/>
      <c r="IUG82" s="570"/>
      <c r="IUH82" s="570"/>
      <c r="IUI82" s="570"/>
      <c r="IUJ82" s="570"/>
      <c r="IUK82" s="570"/>
      <c r="IUL82" s="570"/>
      <c r="IUM82" s="570"/>
      <c r="IUN82" s="570"/>
      <c r="IUO82" s="570"/>
      <c r="IUP82" s="570"/>
      <c r="IUQ82" s="570"/>
      <c r="IUR82" s="570"/>
      <c r="IUS82" s="570"/>
      <c r="IUT82" s="570"/>
      <c r="IUU82" s="570"/>
      <c r="IUV82" s="570"/>
      <c r="IUW82" s="570"/>
      <c r="IUX82" s="570"/>
      <c r="IUY82" s="570"/>
      <c r="IUZ82" s="570"/>
      <c r="IVA82" s="570"/>
      <c r="IVB82" s="570"/>
      <c r="IVC82" s="570"/>
      <c r="IVD82" s="570"/>
      <c r="IVE82" s="570"/>
      <c r="IVF82" s="570"/>
      <c r="IVG82" s="570"/>
      <c r="IVH82" s="570"/>
      <c r="IVI82" s="570"/>
      <c r="IVJ82" s="570"/>
      <c r="IVK82" s="570"/>
      <c r="IVL82" s="570"/>
      <c r="IVM82" s="570"/>
      <c r="IVN82" s="570"/>
      <c r="IVO82" s="570"/>
      <c r="IVP82" s="570"/>
      <c r="IVQ82" s="570"/>
      <c r="IVR82" s="570"/>
      <c r="IVS82" s="570"/>
      <c r="IVT82" s="570"/>
      <c r="IVU82" s="570"/>
      <c r="IVV82" s="570"/>
      <c r="IVW82" s="570"/>
      <c r="IVX82" s="570"/>
      <c r="IVY82" s="570"/>
      <c r="IVZ82" s="570"/>
      <c r="IWA82" s="570"/>
      <c r="IWB82" s="570"/>
      <c r="IWC82" s="570"/>
      <c r="IWD82" s="570"/>
      <c r="IWE82" s="570"/>
      <c r="IWF82" s="570"/>
      <c r="IWG82" s="570"/>
      <c r="IWH82" s="570"/>
      <c r="IWI82" s="570"/>
      <c r="IWJ82" s="570"/>
      <c r="IWK82" s="570"/>
      <c r="IWL82" s="570"/>
      <c r="IWM82" s="570"/>
      <c r="IWN82" s="570"/>
      <c r="IWO82" s="570"/>
      <c r="IWP82" s="570"/>
      <c r="IWQ82" s="570"/>
      <c r="IWR82" s="570"/>
      <c r="IWS82" s="570"/>
      <c r="IWT82" s="570"/>
      <c r="IWU82" s="570"/>
      <c r="IWV82" s="570"/>
      <c r="IWW82" s="570"/>
      <c r="IWX82" s="570"/>
      <c r="IWY82" s="570"/>
      <c r="IWZ82" s="570"/>
      <c r="IXA82" s="570"/>
      <c r="IXB82" s="570"/>
      <c r="IXC82" s="570"/>
      <c r="IXD82" s="570"/>
      <c r="IXE82" s="570"/>
      <c r="IXF82" s="570"/>
      <c r="IXG82" s="570"/>
      <c r="IXH82" s="570"/>
      <c r="IXI82" s="570"/>
      <c r="IXJ82" s="570"/>
      <c r="IXK82" s="570"/>
      <c r="IXL82" s="570"/>
      <c r="IXM82" s="570"/>
      <c r="IXN82" s="570"/>
      <c r="IXO82" s="570"/>
      <c r="IXP82" s="570"/>
      <c r="IXQ82" s="570"/>
      <c r="IXR82" s="570"/>
      <c r="IXS82" s="570"/>
      <c r="IXT82" s="570"/>
      <c r="IXU82" s="570"/>
      <c r="IXV82" s="570"/>
      <c r="IXW82" s="570"/>
      <c r="IXX82" s="570"/>
      <c r="IXY82" s="570"/>
      <c r="IXZ82" s="570"/>
      <c r="IYA82" s="570"/>
      <c r="IYB82" s="570"/>
      <c r="IYC82" s="570"/>
      <c r="IYD82" s="570"/>
      <c r="IYE82" s="570"/>
      <c r="IYF82" s="570"/>
      <c r="IYG82" s="570"/>
      <c r="IYH82" s="570"/>
      <c r="IYI82" s="570"/>
      <c r="IYJ82" s="570"/>
      <c r="IYK82" s="570"/>
      <c r="IYL82" s="570"/>
      <c r="IYM82" s="570"/>
      <c r="IYN82" s="570"/>
      <c r="IYO82" s="570"/>
      <c r="IYP82" s="570"/>
      <c r="IYQ82" s="570"/>
      <c r="IYR82" s="570"/>
      <c r="IYS82" s="570"/>
      <c r="IYT82" s="570"/>
      <c r="IYU82" s="570"/>
      <c r="IYV82" s="570"/>
      <c r="IYW82" s="570"/>
      <c r="IYX82" s="570"/>
      <c r="IYY82" s="570"/>
      <c r="IYZ82" s="570"/>
      <c r="IZA82" s="570"/>
      <c r="IZB82" s="570"/>
      <c r="IZC82" s="570"/>
      <c r="IZD82" s="570"/>
      <c r="IZE82" s="570"/>
      <c r="IZF82" s="570"/>
      <c r="IZG82" s="570"/>
      <c r="IZH82" s="570"/>
      <c r="IZI82" s="570"/>
      <c r="IZJ82" s="570"/>
      <c r="IZK82" s="570"/>
      <c r="IZL82" s="570"/>
      <c r="IZM82" s="570"/>
      <c r="IZN82" s="570"/>
      <c r="IZO82" s="570"/>
      <c r="IZP82" s="570"/>
      <c r="IZQ82" s="570"/>
      <c r="IZR82" s="570"/>
      <c r="IZS82" s="570"/>
      <c r="IZT82" s="570"/>
      <c r="IZU82" s="570"/>
      <c r="IZV82" s="570"/>
      <c r="IZW82" s="570"/>
      <c r="IZX82" s="570"/>
      <c r="IZY82" s="570"/>
      <c r="IZZ82" s="570"/>
      <c r="JAA82" s="570"/>
      <c r="JAB82" s="570"/>
      <c r="JAC82" s="570"/>
      <c r="JAD82" s="570"/>
      <c r="JAE82" s="570"/>
      <c r="JAF82" s="570"/>
      <c r="JAG82" s="570"/>
      <c r="JAH82" s="570"/>
      <c r="JAI82" s="570"/>
      <c r="JAJ82" s="570"/>
      <c r="JAK82" s="570"/>
      <c r="JAL82" s="570"/>
      <c r="JAM82" s="570"/>
      <c r="JAN82" s="570"/>
      <c r="JAO82" s="570"/>
      <c r="JAP82" s="570"/>
      <c r="JAQ82" s="570"/>
      <c r="JAR82" s="570"/>
      <c r="JAS82" s="570"/>
      <c r="JAT82" s="570"/>
      <c r="JAU82" s="570"/>
      <c r="JAV82" s="570"/>
      <c r="JAW82" s="570"/>
      <c r="JAX82" s="570"/>
      <c r="JAY82" s="570"/>
      <c r="JAZ82" s="570"/>
      <c r="JBA82" s="570"/>
      <c r="JBB82" s="570"/>
      <c r="JBC82" s="570"/>
      <c r="JBD82" s="570"/>
      <c r="JBE82" s="570"/>
      <c r="JBF82" s="570"/>
      <c r="JBG82" s="570"/>
      <c r="JBH82" s="570"/>
      <c r="JBI82" s="570"/>
      <c r="JBJ82" s="570"/>
      <c r="JBK82" s="570"/>
      <c r="JBL82" s="570"/>
      <c r="JBM82" s="570"/>
      <c r="JBN82" s="570"/>
      <c r="JBO82" s="570"/>
      <c r="JBP82" s="570"/>
      <c r="JBQ82" s="570"/>
      <c r="JBR82" s="570"/>
      <c r="JBS82" s="570"/>
      <c r="JBT82" s="570"/>
      <c r="JBU82" s="570"/>
      <c r="JBV82" s="570"/>
      <c r="JBW82" s="570"/>
      <c r="JBX82" s="570"/>
      <c r="JBY82" s="570"/>
      <c r="JBZ82" s="570"/>
      <c r="JCA82" s="570"/>
      <c r="JCB82" s="570"/>
      <c r="JCC82" s="570"/>
      <c r="JCD82" s="570"/>
      <c r="JCE82" s="570"/>
      <c r="JCF82" s="570"/>
      <c r="JCG82" s="570"/>
      <c r="JCH82" s="570"/>
      <c r="JCI82" s="570"/>
      <c r="JCJ82" s="570"/>
      <c r="JCK82" s="570"/>
      <c r="JCL82" s="570"/>
      <c r="JCM82" s="570"/>
      <c r="JCN82" s="570"/>
      <c r="JCO82" s="570"/>
      <c r="JCP82" s="570"/>
      <c r="JCQ82" s="570"/>
      <c r="JCR82" s="570"/>
      <c r="JCS82" s="570"/>
      <c r="JCT82" s="570"/>
      <c r="JCU82" s="570"/>
      <c r="JCV82" s="570"/>
      <c r="JCW82" s="570"/>
      <c r="JCX82" s="570"/>
      <c r="JCY82" s="570"/>
      <c r="JCZ82" s="570"/>
      <c r="JDA82" s="570"/>
      <c r="JDB82" s="570"/>
      <c r="JDC82" s="570"/>
      <c r="JDD82" s="570"/>
      <c r="JDE82" s="570"/>
      <c r="JDF82" s="570"/>
      <c r="JDG82" s="570"/>
      <c r="JDH82" s="570"/>
      <c r="JDI82" s="570"/>
      <c r="JDJ82" s="570"/>
      <c r="JDK82" s="570"/>
      <c r="JDL82" s="570"/>
      <c r="JDM82" s="570"/>
      <c r="JDN82" s="570"/>
      <c r="JDO82" s="570"/>
      <c r="JDP82" s="570"/>
      <c r="JDQ82" s="570"/>
      <c r="JDR82" s="570"/>
      <c r="JDS82" s="570"/>
      <c r="JDT82" s="570"/>
      <c r="JDU82" s="570"/>
      <c r="JDV82" s="570"/>
      <c r="JDW82" s="570"/>
      <c r="JDX82" s="570"/>
      <c r="JDY82" s="570"/>
      <c r="JDZ82" s="570"/>
      <c r="JEA82" s="570"/>
      <c r="JEB82" s="570"/>
      <c r="JEC82" s="570"/>
      <c r="JED82" s="570"/>
      <c r="JEE82" s="570"/>
      <c r="JEF82" s="570"/>
      <c r="JEG82" s="570"/>
      <c r="JEH82" s="570"/>
      <c r="JEI82" s="570"/>
      <c r="JEJ82" s="570"/>
      <c r="JEK82" s="570"/>
      <c r="JEL82" s="570"/>
      <c r="JEM82" s="570"/>
      <c r="JEN82" s="570"/>
      <c r="JEO82" s="570"/>
      <c r="JEP82" s="570"/>
      <c r="JEQ82" s="570"/>
      <c r="JER82" s="570"/>
      <c r="JES82" s="570"/>
      <c r="JET82" s="570"/>
      <c r="JEU82" s="570"/>
      <c r="JEV82" s="570"/>
      <c r="JEW82" s="570"/>
      <c r="JEX82" s="570"/>
      <c r="JEY82" s="570"/>
      <c r="JEZ82" s="570"/>
      <c r="JFA82" s="570"/>
      <c r="JFB82" s="570"/>
      <c r="JFC82" s="570"/>
      <c r="JFD82" s="570"/>
      <c r="JFE82" s="570"/>
      <c r="JFF82" s="570"/>
      <c r="JFG82" s="570"/>
      <c r="JFH82" s="570"/>
      <c r="JFI82" s="570"/>
      <c r="JFJ82" s="570"/>
      <c r="JFK82" s="570"/>
      <c r="JFL82" s="570"/>
      <c r="JFM82" s="570"/>
      <c r="JFN82" s="570"/>
      <c r="JFO82" s="570"/>
      <c r="JFP82" s="570"/>
      <c r="JFQ82" s="570"/>
      <c r="JFR82" s="570"/>
      <c r="JFS82" s="570"/>
      <c r="JFT82" s="570"/>
      <c r="JFU82" s="570"/>
      <c r="JFV82" s="570"/>
      <c r="JFW82" s="570"/>
      <c r="JFX82" s="570"/>
      <c r="JFY82" s="570"/>
      <c r="JFZ82" s="570"/>
      <c r="JGA82" s="570"/>
      <c r="JGB82" s="570"/>
      <c r="JGC82" s="570"/>
      <c r="JGD82" s="570"/>
      <c r="JGE82" s="570"/>
      <c r="JGF82" s="570"/>
      <c r="JGG82" s="570"/>
      <c r="JGH82" s="570"/>
      <c r="JGI82" s="570"/>
      <c r="JGJ82" s="570"/>
      <c r="JGK82" s="570"/>
      <c r="JGL82" s="570"/>
      <c r="JGM82" s="570"/>
      <c r="JGN82" s="570"/>
      <c r="JGO82" s="570"/>
      <c r="JGP82" s="570"/>
      <c r="JGQ82" s="570"/>
      <c r="JGR82" s="570"/>
      <c r="JGS82" s="570"/>
      <c r="JGT82" s="570"/>
      <c r="JGU82" s="570"/>
      <c r="JGV82" s="570"/>
      <c r="JGW82" s="570"/>
      <c r="JGX82" s="570"/>
      <c r="JGY82" s="570"/>
      <c r="JGZ82" s="570"/>
      <c r="JHA82" s="570"/>
      <c r="JHB82" s="570"/>
      <c r="JHC82" s="570"/>
      <c r="JHD82" s="570"/>
      <c r="JHE82" s="570"/>
      <c r="JHF82" s="570"/>
      <c r="JHG82" s="570"/>
      <c r="JHH82" s="570"/>
      <c r="JHI82" s="570"/>
      <c r="JHJ82" s="570"/>
      <c r="JHK82" s="570"/>
      <c r="JHL82" s="570"/>
      <c r="JHM82" s="570"/>
      <c r="JHN82" s="570"/>
      <c r="JHO82" s="570"/>
      <c r="JHP82" s="570"/>
      <c r="JHQ82" s="570"/>
      <c r="JHR82" s="570"/>
      <c r="JHS82" s="570"/>
      <c r="JHT82" s="570"/>
      <c r="JHU82" s="570"/>
      <c r="JHV82" s="570"/>
      <c r="JHW82" s="570"/>
      <c r="JHX82" s="570"/>
      <c r="JHY82" s="570"/>
      <c r="JHZ82" s="570"/>
      <c r="JIA82" s="570"/>
      <c r="JIB82" s="570"/>
      <c r="JIC82" s="570"/>
      <c r="JID82" s="570"/>
      <c r="JIE82" s="570"/>
      <c r="JIF82" s="570"/>
      <c r="JIG82" s="570"/>
      <c r="JIH82" s="570"/>
      <c r="JII82" s="570"/>
      <c r="JIJ82" s="570"/>
      <c r="JIK82" s="570"/>
      <c r="JIL82" s="570"/>
      <c r="JIM82" s="570"/>
      <c r="JIN82" s="570"/>
      <c r="JIO82" s="570"/>
      <c r="JIP82" s="570"/>
      <c r="JIQ82" s="570"/>
      <c r="JIR82" s="570"/>
      <c r="JIS82" s="570"/>
      <c r="JIT82" s="570"/>
      <c r="JIU82" s="570"/>
      <c r="JIV82" s="570"/>
      <c r="JIW82" s="570"/>
      <c r="JIX82" s="570"/>
      <c r="JIY82" s="570"/>
      <c r="JIZ82" s="570"/>
      <c r="JJA82" s="570"/>
      <c r="JJB82" s="570"/>
      <c r="JJC82" s="570"/>
      <c r="JJD82" s="570"/>
      <c r="JJE82" s="570"/>
      <c r="JJF82" s="570"/>
      <c r="JJG82" s="570"/>
      <c r="JJH82" s="570"/>
      <c r="JJI82" s="570"/>
      <c r="JJJ82" s="570"/>
      <c r="JJK82" s="570"/>
      <c r="JJL82" s="570"/>
      <c r="JJM82" s="570"/>
      <c r="JJN82" s="570"/>
      <c r="JJO82" s="570"/>
      <c r="JJP82" s="570"/>
      <c r="JJQ82" s="570"/>
      <c r="JJR82" s="570"/>
      <c r="JJS82" s="570"/>
      <c r="JJT82" s="570"/>
      <c r="JJU82" s="570"/>
      <c r="JJV82" s="570"/>
      <c r="JJW82" s="570"/>
      <c r="JJX82" s="570"/>
      <c r="JJY82" s="570"/>
      <c r="JJZ82" s="570"/>
      <c r="JKA82" s="570"/>
      <c r="JKB82" s="570"/>
      <c r="JKC82" s="570"/>
      <c r="JKD82" s="570"/>
      <c r="JKE82" s="570"/>
      <c r="JKF82" s="570"/>
      <c r="JKG82" s="570"/>
      <c r="JKH82" s="570"/>
      <c r="JKI82" s="570"/>
      <c r="JKJ82" s="570"/>
      <c r="JKK82" s="570"/>
      <c r="JKL82" s="570"/>
      <c r="JKM82" s="570"/>
      <c r="JKN82" s="570"/>
      <c r="JKO82" s="570"/>
      <c r="JKP82" s="570"/>
      <c r="JKQ82" s="570"/>
      <c r="JKR82" s="570"/>
      <c r="JKS82" s="570"/>
      <c r="JKT82" s="570"/>
      <c r="JKU82" s="570"/>
      <c r="JKV82" s="570"/>
      <c r="JKW82" s="570"/>
      <c r="JKX82" s="570"/>
      <c r="JKY82" s="570"/>
      <c r="JKZ82" s="570"/>
      <c r="JLA82" s="570"/>
      <c r="JLB82" s="570"/>
      <c r="JLC82" s="570"/>
      <c r="JLD82" s="570"/>
      <c r="JLE82" s="570"/>
      <c r="JLF82" s="570"/>
      <c r="JLG82" s="570"/>
      <c r="JLH82" s="570"/>
      <c r="JLI82" s="570"/>
      <c r="JLJ82" s="570"/>
      <c r="JLK82" s="570"/>
      <c r="JLL82" s="570"/>
      <c r="JLM82" s="570"/>
      <c r="JLN82" s="570"/>
      <c r="JLO82" s="570"/>
      <c r="JLP82" s="570"/>
      <c r="JLQ82" s="570"/>
      <c r="JLR82" s="570"/>
      <c r="JLS82" s="570"/>
      <c r="JLT82" s="570"/>
      <c r="JLU82" s="570"/>
      <c r="JLV82" s="570"/>
      <c r="JLW82" s="570"/>
      <c r="JLX82" s="570"/>
      <c r="JLY82" s="570"/>
      <c r="JLZ82" s="570"/>
      <c r="JMA82" s="570"/>
      <c r="JMB82" s="570"/>
      <c r="JMC82" s="570"/>
      <c r="JMD82" s="570"/>
      <c r="JME82" s="570"/>
      <c r="JMF82" s="570"/>
      <c r="JMG82" s="570"/>
      <c r="JMH82" s="570"/>
      <c r="JMI82" s="570"/>
      <c r="JMJ82" s="570"/>
      <c r="JMK82" s="570"/>
      <c r="JML82" s="570"/>
      <c r="JMM82" s="570"/>
      <c r="JMN82" s="570"/>
      <c r="JMO82" s="570"/>
      <c r="JMP82" s="570"/>
      <c r="JMQ82" s="570"/>
      <c r="JMR82" s="570"/>
      <c r="JMS82" s="570"/>
      <c r="JMT82" s="570"/>
      <c r="JMU82" s="570"/>
      <c r="JMV82" s="570"/>
      <c r="JMW82" s="570"/>
      <c r="JMX82" s="570"/>
      <c r="JMY82" s="570"/>
      <c r="JMZ82" s="570"/>
      <c r="JNA82" s="570"/>
      <c r="JNB82" s="570"/>
      <c r="JNC82" s="570"/>
      <c r="JND82" s="570"/>
      <c r="JNE82" s="570"/>
      <c r="JNF82" s="570"/>
      <c r="JNG82" s="570"/>
      <c r="JNH82" s="570"/>
      <c r="JNI82" s="570"/>
      <c r="JNJ82" s="570"/>
      <c r="JNK82" s="570"/>
      <c r="JNL82" s="570"/>
      <c r="JNM82" s="570"/>
      <c r="JNN82" s="570"/>
      <c r="JNO82" s="570"/>
      <c r="JNP82" s="570"/>
      <c r="JNQ82" s="570"/>
      <c r="JNR82" s="570"/>
      <c r="JNS82" s="570"/>
      <c r="JNT82" s="570"/>
      <c r="JNU82" s="570"/>
      <c r="JNV82" s="570"/>
      <c r="JNW82" s="570"/>
      <c r="JNX82" s="570"/>
      <c r="JNY82" s="570"/>
      <c r="JNZ82" s="570"/>
      <c r="JOA82" s="570"/>
      <c r="JOB82" s="570"/>
      <c r="JOC82" s="570"/>
      <c r="JOD82" s="570"/>
      <c r="JOE82" s="570"/>
      <c r="JOF82" s="570"/>
      <c r="JOG82" s="570"/>
      <c r="JOH82" s="570"/>
      <c r="JOI82" s="570"/>
      <c r="JOJ82" s="570"/>
      <c r="JOK82" s="570"/>
      <c r="JOL82" s="570"/>
      <c r="JOM82" s="570"/>
      <c r="JON82" s="570"/>
      <c r="JOO82" s="570"/>
      <c r="JOP82" s="570"/>
      <c r="JOQ82" s="570"/>
      <c r="JOR82" s="570"/>
      <c r="JOS82" s="570"/>
      <c r="JOT82" s="570"/>
      <c r="JOU82" s="570"/>
      <c r="JOV82" s="570"/>
      <c r="JOW82" s="570"/>
      <c r="JOX82" s="570"/>
      <c r="JOY82" s="570"/>
      <c r="JOZ82" s="570"/>
      <c r="JPA82" s="570"/>
      <c r="JPB82" s="570"/>
      <c r="JPC82" s="570"/>
      <c r="JPD82" s="570"/>
      <c r="JPE82" s="570"/>
      <c r="JPF82" s="570"/>
      <c r="JPG82" s="570"/>
      <c r="JPH82" s="570"/>
      <c r="JPI82" s="570"/>
      <c r="JPJ82" s="570"/>
      <c r="JPK82" s="570"/>
      <c r="JPL82" s="570"/>
      <c r="JPM82" s="570"/>
      <c r="JPN82" s="570"/>
      <c r="JPO82" s="570"/>
      <c r="JPP82" s="570"/>
      <c r="JPQ82" s="570"/>
      <c r="JPR82" s="570"/>
      <c r="JPS82" s="570"/>
      <c r="JPT82" s="570"/>
      <c r="JPU82" s="570"/>
      <c r="JPV82" s="570"/>
      <c r="JPW82" s="570"/>
      <c r="JPX82" s="570"/>
      <c r="JPY82" s="570"/>
      <c r="JPZ82" s="570"/>
      <c r="JQA82" s="570"/>
      <c r="JQB82" s="570"/>
      <c r="JQC82" s="570"/>
      <c r="JQD82" s="570"/>
      <c r="JQE82" s="570"/>
      <c r="JQF82" s="570"/>
      <c r="JQG82" s="570"/>
      <c r="JQH82" s="570"/>
      <c r="JQI82" s="570"/>
      <c r="JQJ82" s="570"/>
      <c r="JQK82" s="570"/>
      <c r="JQL82" s="570"/>
      <c r="JQM82" s="570"/>
      <c r="JQN82" s="570"/>
      <c r="JQO82" s="570"/>
      <c r="JQP82" s="570"/>
      <c r="JQQ82" s="570"/>
      <c r="JQR82" s="570"/>
      <c r="JQS82" s="570"/>
      <c r="JQT82" s="570"/>
      <c r="JQU82" s="570"/>
      <c r="JQV82" s="570"/>
      <c r="JQW82" s="570"/>
      <c r="JQX82" s="570"/>
      <c r="JQY82" s="570"/>
      <c r="JQZ82" s="570"/>
      <c r="JRA82" s="570"/>
      <c r="JRB82" s="570"/>
      <c r="JRC82" s="570"/>
      <c r="JRD82" s="570"/>
      <c r="JRE82" s="570"/>
      <c r="JRF82" s="570"/>
      <c r="JRG82" s="570"/>
      <c r="JRH82" s="570"/>
      <c r="JRI82" s="570"/>
      <c r="JRJ82" s="570"/>
      <c r="JRK82" s="570"/>
      <c r="JRL82" s="570"/>
      <c r="JRM82" s="570"/>
      <c r="JRN82" s="570"/>
      <c r="JRO82" s="570"/>
      <c r="JRP82" s="570"/>
      <c r="JRQ82" s="570"/>
      <c r="JRR82" s="570"/>
      <c r="JRS82" s="570"/>
      <c r="JRT82" s="570"/>
      <c r="JRU82" s="570"/>
      <c r="JRV82" s="570"/>
      <c r="JRW82" s="570"/>
      <c r="JRX82" s="570"/>
      <c r="JRY82" s="570"/>
      <c r="JRZ82" s="570"/>
      <c r="JSA82" s="570"/>
      <c r="JSB82" s="570"/>
      <c r="JSC82" s="570"/>
      <c r="JSD82" s="570"/>
      <c r="JSE82" s="570"/>
      <c r="JSF82" s="570"/>
      <c r="JSG82" s="570"/>
      <c r="JSH82" s="570"/>
      <c r="JSI82" s="570"/>
      <c r="JSJ82" s="570"/>
      <c r="JSK82" s="570"/>
      <c r="JSL82" s="570"/>
      <c r="JSM82" s="570"/>
      <c r="JSN82" s="570"/>
      <c r="JSO82" s="570"/>
      <c r="JSP82" s="570"/>
      <c r="JSQ82" s="570"/>
      <c r="JSR82" s="570"/>
      <c r="JSS82" s="570"/>
      <c r="JST82" s="570"/>
      <c r="JSU82" s="570"/>
      <c r="JSV82" s="570"/>
      <c r="JSW82" s="570"/>
      <c r="JSX82" s="570"/>
      <c r="JSY82" s="570"/>
      <c r="JSZ82" s="570"/>
      <c r="JTA82" s="570"/>
      <c r="JTB82" s="570"/>
      <c r="JTC82" s="570"/>
      <c r="JTD82" s="570"/>
      <c r="JTE82" s="570"/>
      <c r="JTF82" s="570"/>
      <c r="JTG82" s="570"/>
      <c r="JTH82" s="570"/>
      <c r="JTI82" s="570"/>
      <c r="JTJ82" s="570"/>
      <c r="JTK82" s="570"/>
      <c r="JTL82" s="570"/>
      <c r="JTM82" s="570"/>
      <c r="JTN82" s="570"/>
      <c r="JTO82" s="570"/>
      <c r="JTP82" s="570"/>
      <c r="JTQ82" s="570"/>
      <c r="JTR82" s="570"/>
      <c r="JTS82" s="570"/>
      <c r="JTT82" s="570"/>
      <c r="JTU82" s="570"/>
      <c r="JTV82" s="570"/>
      <c r="JTW82" s="570"/>
      <c r="JTX82" s="570"/>
      <c r="JTY82" s="570"/>
      <c r="JTZ82" s="570"/>
      <c r="JUA82" s="570"/>
      <c r="JUB82" s="570"/>
      <c r="JUC82" s="570"/>
      <c r="JUD82" s="570"/>
      <c r="JUE82" s="570"/>
      <c r="JUF82" s="570"/>
      <c r="JUG82" s="570"/>
      <c r="JUH82" s="570"/>
      <c r="JUI82" s="570"/>
      <c r="JUJ82" s="570"/>
      <c r="JUK82" s="570"/>
      <c r="JUL82" s="570"/>
      <c r="JUM82" s="570"/>
      <c r="JUN82" s="570"/>
      <c r="JUO82" s="570"/>
      <c r="JUP82" s="570"/>
      <c r="JUQ82" s="570"/>
      <c r="JUR82" s="570"/>
      <c r="JUS82" s="570"/>
      <c r="JUT82" s="570"/>
      <c r="JUU82" s="570"/>
      <c r="JUV82" s="570"/>
      <c r="JUW82" s="570"/>
      <c r="JUX82" s="570"/>
      <c r="JUY82" s="570"/>
      <c r="JUZ82" s="570"/>
      <c r="JVA82" s="570"/>
      <c r="JVB82" s="570"/>
      <c r="JVC82" s="570"/>
      <c r="JVD82" s="570"/>
      <c r="JVE82" s="570"/>
      <c r="JVF82" s="570"/>
      <c r="JVG82" s="570"/>
      <c r="JVH82" s="570"/>
      <c r="JVI82" s="570"/>
      <c r="JVJ82" s="570"/>
      <c r="JVK82" s="570"/>
      <c r="JVL82" s="570"/>
      <c r="JVM82" s="570"/>
      <c r="JVN82" s="570"/>
      <c r="JVO82" s="570"/>
      <c r="JVP82" s="570"/>
      <c r="JVQ82" s="570"/>
      <c r="JVR82" s="570"/>
      <c r="JVS82" s="570"/>
      <c r="JVT82" s="570"/>
      <c r="JVU82" s="570"/>
      <c r="JVV82" s="570"/>
      <c r="JVW82" s="570"/>
      <c r="JVX82" s="570"/>
      <c r="JVY82" s="570"/>
      <c r="JVZ82" s="570"/>
      <c r="JWA82" s="570"/>
      <c r="JWB82" s="570"/>
      <c r="JWC82" s="570"/>
      <c r="JWD82" s="570"/>
      <c r="JWE82" s="570"/>
      <c r="JWF82" s="570"/>
      <c r="JWG82" s="570"/>
      <c r="JWH82" s="570"/>
      <c r="JWI82" s="570"/>
      <c r="JWJ82" s="570"/>
      <c r="JWK82" s="570"/>
      <c r="JWL82" s="570"/>
      <c r="JWM82" s="570"/>
      <c r="JWN82" s="570"/>
      <c r="JWO82" s="570"/>
      <c r="JWP82" s="570"/>
      <c r="JWQ82" s="570"/>
      <c r="JWR82" s="570"/>
      <c r="JWS82" s="570"/>
      <c r="JWT82" s="570"/>
      <c r="JWU82" s="570"/>
      <c r="JWV82" s="570"/>
      <c r="JWW82" s="570"/>
      <c r="JWX82" s="570"/>
      <c r="JWY82" s="570"/>
      <c r="JWZ82" s="570"/>
      <c r="JXA82" s="570"/>
      <c r="JXB82" s="570"/>
      <c r="JXC82" s="570"/>
      <c r="JXD82" s="570"/>
      <c r="JXE82" s="570"/>
      <c r="JXF82" s="570"/>
      <c r="JXG82" s="570"/>
      <c r="JXH82" s="570"/>
      <c r="JXI82" s="570"/>
      <c r="JXJ82" s="570"/>
      <c r="JXK82" s="570"/>
      <c r="JXL82" s="570"/>
      <c r="JXM82" s="570"/>
      <c r="JXN82" s="570"/>
      <c r="JXO82" s="570"/>
      <c r="JXP82" s="570"/>
      <c r="JXQ82" s="570"/>
      <c r="JXR82" s="570"/>
      <c r="JXS82" s="570"/>
      <c r="JXT82" s="570"/>
      <c r="JXU82" s="570"/>
      <c r="JXV82" s="570"/>
      <c r="JXW82" s="570"/>
      <c r="JXX82" s="570"/>
      <c r="JXY82" s="570"/>
      <c r="JXZ82" s="570"/>
      <c r="JYA82" s="570"/>
      <c r="JYB82" s="570"/>
      <c r="JYC82" s="570"/>
      <c r="JYD82" s="570"/>
      <c r="JYE82" s="570"/>
      <c r="JYF82" s="570"/>
      <c r="JYG82" s="570"/>
      <c r="JYH82" s="570"/>
      <c r="JYI82" s="570"/>
      <c r="JYJ82" s="570"/>
      <c r="JYK82" s="570"/>
      <c r="JYL82" s="570"/>
      <c r="JYM82" s="570"/>
      <c r="JYN82" s="570"/>
      <c r="JYO82" s="570"/>
      <c r="JYP82" s="570"/>
      <c r="JYQ82" s="570"/>
      <c r="JYR82" s="570"/>
      <c r="JYS82" s="570"/>
      <c r="JYT82" s="570"/>
      <c r="JYU82" s="570"/>
      <c r="JYV82" s="570"/>
      <c r="JYW82" s="570"/>
      <c r="JYX82" s="570"/>
      <c r="JYY82" s="570"/>
      <c r="JYZ82" s="570"/>
      <c r="JZA82" s="570"/>
      <c r="JZB82" s="570"/>
      <c r="JZC82" s="570"/>
      <c r="JZD82" s="570"/>
      <c r="JZE82" s="570"/>
      <c r="JZF82" s="570"/>
      <c r="JZG82" s="570"/>
      <c r="JZH82" s="570"/>
      <c r="JZI82" s="570"/>
      <c r="JZJ82" s="570"/>
      <c r="JZK82" s="570"/>
      <c r="JZL82" s="570"/>
      <c r="JZM82" s="570"/>
      <c r="JZN82" s="570"/>
      <c r="JZO82" s="570"/>
      <c r="JZP82" s="570"/>
      <c r="JZQ82" s="570"/>
      <c r="JZR82" s="570"/>
      <c r="JZS82" s="570"/>
      <c r="JZT82" s="570"/>
      <c r="JZU82" s="570"/>
      <c r="JZV82" s="570"/>
      <c r="JZW82" s="570"/>
      <c r="JZX82" s="570"/>
      <c r="JZY82" s="570"/>
      <c r="JZZ82" s="570"/>
      <c r="KAA82" s="570"/>
      <c r="KAB82" s="570"/>
      <c r="KAC82" s="570"/>
      <c r="KAD82" s="570"/>
      <c r="KAE82" s="570"/>
      <c r="KAF82" s="570"/>
      <c r="KAG82" s="570"/>
      <c r="KAH82" s="570"/>
      <c r="KAI82" s="570"/>
      <c r="KAJ82" s="570"/>
      <c r="KAK82" s="570"/>
      <c r="KAL82" s="570"/>
      <c r="KAM82" s="570"/>
      <c r="KAN82" s="570"/>
      <c r="KAO82" s="570"/>
      <c r="KAP82" s="570"/>
      <c r="KAQ82" s="570"/>
      <c r="KAR82" s="570"/>
      <c r="KAS82" s="570"/>
      <c r="KAT82" s="570"/>
      <c r="KAU82" s="570"/>
      <c r="KAV82" s="570"/>
      <c r="KAW82" s="570"/>
      <c r="KAX82" s="570"/>
      <c r="KAY82" s="570"/>
      <c r="KAZ82" s="570"/>
      <c r="KBA82" s="570"/>
      <c r="KBB82" s="570"/>
      <c r="KBC82" s="570"/>
      <c r="KBD82" s="570"/>
      <c r="KBE82" s="570"/>
      <c r="KBF82" s="570"/>
      <c r="KBG82" s="570"/>
      <c r="KBH82" s="570"/>
      <c r="KBI82" s="570"/>
      <c r="KBJ82" s="570"/>
      <c r="KBK82" s="570"/>
      <c r="KBL82" s="570"/>
      <c r="KBM82" s="570"/>
      <c r="KBN82" s="570"/>
      <c r="KBO82" s="570"/>
      <c r="KBP82" s="570"/>
      <c r="KBQ82" s="570"/>
      <c r="KBR82" s="570"/>
      <c r="KBS82" s="570"/>
      <c r="KBT82" s="570"/>
      <c r="KBU82" s="570"/>
      <c r="KBV82" s="570"/>
      <c r="KBW82" s="570"/>
      <c r="KBX82" s="570"/>
      <c r="KBY82" s="570"/>
      <c r="KBZ82" s="570"/>
      <c r="KCA82" s="570"/>
      <c r="KCB82" s="570"/>
      <c r="KCC82" s="570"/>
      <c r="KCD82" s="570"/>
      <c r="KCE82" s="570"/>
      <c r="KCF82" s="570"/>
      <c r="KCG82" s="570"/>
      <c r="KCH82" s="570"/>
      <c r="KCI82" s="570"/>
      <c r="KCJ82" s="570"/>
      <c r="KCK82" s="570"/>
      <c r="KCL82" s="570"/>
      <c r="KCM82" s="570"/>
      <c r="KCN82" s="570"/>
      <c r="KCO82" s="570"/>
      <c r="KCP82" s="570"/>
      <c r="KCQ82" s="570"/>
      <c r="KCR82" s="570"/>
      <c r="KCS82" s="570"/>
      <c r="KCT82" s="570"/>
      <c r="KCU82" s="570"/>
      <c r="KCV82" s="570"/>
      <c r="KCW82" s="570"/>
      <c r="KCX82" s="570"/>
      <c r="KCY82" s="570"/>
      <c r="KCZ82" s="570"/>
      <c r="KDA82" s="570"/>
      <c r="KDB82" s="570"/>
      <c r="KDC82" s="570"/>
      <c r="KDD82" s="570"/>
      <c r="KDE82" s="570"/>
      <c r="KDF82" s="570"/>
      <c r="KDG82" s="570"/>
      <c r="KDH82" s="570"/>
      <c r="KDI82" s="570"/>
      <c r="KDJ82" s="570"/>
      <c r="KDK82" s="570"/>
      <c r="KDL82" s="570"/>
      <c r="KDM82" s="570"/>
      <c r="KDN82" s="570"/>
      <c r="KDO82" s="570"/>
      <c r="KDP82" s="570"/>
      <c r="KDQ82" s="570"/>
      <c r="KDR82" s="570"/>
      <c r="KDS82" s="570"/>
      <c r="KDT82" s="570"/>
      <c r="KDU82" s="570"/>
      <c r="KDV82" s="570"/>
      <c r="KDW82" s="570"/>
      <c r="KDX82" s="570"/>
      <c r="KDY82" s="570"/>
      <c r="KDZ82" s="570"/>
      <c r="KEA82" s="570"/>
      <c r="KEB82" s="570"/>
      <c r="KEC82" s="570"/>
      <c r="KED82" s="570"/>
      <c r="KEE82" s="570"/>
      <c r="KEF82" s="570"/>
      <c r="KEG82" s="570"/>
      <c r="KEH82" s="570"/>
      <c r="KEI82" s="570"/>
      <c r="KEJ82" s="570"/>
      <c r="KEK82" s="570"/>
      <c r="KEL82" s="570"/>
      <c r="KEM82" s="570"/>
      <c r="KEN82" s="570"/>
      <c r="KEO82" s="570"/>
      <c r="KEP82" s="570"/>
      <c r="KEQ82" s="570"/>
      <c r="KER82" s="570"/>
      <c r="KES82" s="570"/>
      <c r="KET82" s="570"/>
      <c r="KEU82" s="570"/>
      <c r="KEV82" s="570"/>
      <c r="KEW82" s="570"/>
      <c r="KEX82" s="570"/>
      <c r="KEY82" s="570"/>
      <c r="KEZ82" s="570"/>
      <c r="KFA82" s="570"/>
      <c r="KFB82" s="570"/>
      <c r="KFC82" s="570"/>
      <c r="KFD82" s="570"/>
      <c r="KFE82" s="570"/>
      <c r="KFF82" s="570"/>
      <c r="KFG82" s="570"/>
      <c r="KFH82" s="570"/>
      <c r="KFI82" s="570"/>
      <c r="KFJ82" s="570"/>
      <c r="KFK82" s="570"/>
      <c r="KFL82" s="570"/>
      <c r="KFM82" s="570"/>
      <c r="KFN82" s="570"/>
      <c r="KFO82" s="570"/>
      <c r="KFP82" s="570"/>
      <c r="KFQ82" s="570"/>
      <c r="KFR82" s="570"/>
      <c r="KFS82" s="570"/>
      <c r="KFT82" s="570"/>
      <c r="KFU82" s="570"/>
      <c r="KFV82" s="570"/>
      <c r="KFW82" s="570"/>
      <c r="KFX82" s="570"/>
      <c r="KFY82" s="570"/>
      <c r="KFZ82" s="570"/>
      <c r="KGA82" s="570"/>
      <c r="KGB82" s="570"/>
      <c r="KGC82" s="570"/>
      <c r="KGD82" s="570"/>
      <c r="KGE82" s="570"/>
      <c r="KGF82" s="570"/>
      <c r="KGG82" s="570"/>
      <c r="KGH82" s="570"/>
      <c r="KGI82" s="570"/>
      <c r="KGJ82" s="570"/>
      <c r="KGK82" s="570"/>
      <c r="KGL82" s="570"/>
      <c r="KGM82" s="570"/>
      <c r="KGN82" s="570"/>
      <c r="KGO82" s="570"/>
      <c r="KGP82" s="570"/>
      <c r="KGQ82" s="570"/>
      <c r="KGR82" s="570"/>
      <c r="KGS82" s="570"/>
      <c r="KGT82" s="570"/>
      <c r="KGU82" s="570"/>
      <c r="KGV82" s="570"/>
      <c r="KGW82" s="570"/>
      <c r="KGX82" s="570"/>
      <c r="KGY82" s="570"/>
      <c r="KGZ82" s="570"/>
      <c r="KHA82" s="570"/>
      <c r="KHB82" s="570"/>
      <c r="KHC82" s="570"/>
      <c r="KHD82" s="570"/>
      <c r="KHE82" s="570"/>
      <c r="KHF82" s="570"/>
      <c r="KHG82" s="570"/>
      <c r="KHH82" s="570"/>
      <c r="KHI82" s="570"/>
      <c r="KHJ82" s="570"/>
      <c r="KHK82" s="570"/>
      <c r="KHL82" s="570"/>
      <c r="KHM82" s="570"/>
      <c r="KHN82" s="570"/>
      <c r="KHO82" s="570"/>
      <c r="KHP82" s="570"/>
      <c r="KHQ82" s="570"/>
      <c r="KHR82" s="570"/>
      <c r="KHS82" s="570"/>
      <c r="KHT82" s="570"/>
      <c r="KHU82" s="570"/>
      <c r="KHV82" s="570"/>
      <c r="KHW82" s="570"/>
      <c r="KHX82" s="570"/>
      <c r="KHY82" s="570"/>
      <c r="KHZ82" s="570"/>
      <c r="KIA82" s="570"/>
      <c r="KIB82" s="570"/>
      <c r="KIC82" s="570"/>
      <c r="KID82" s="570"/>
      <c r="KIE82" s="570"/>
      <c r="KIF82" s="570"/>
      <c r="KIG82" s="570"/>
      <c r="KIH82" s="570"/>
      <c r="KII82" s="570"/>
      <c r="KIJ82" s="570"/>
      <c r="KIK82" s="570"/>
      <c r="KIL82" s="570"/>
      <c r="KIM82" s="570"/>
      <c r="KIN82" s="570"/>
      <c r="KIO82" s="570"/>
      <c r="KIP82" s="570"/>
      <c r="KIQ82" s="570"/>
      <c r="KIR82" s="570"/>
      <c r="KIS82" s="570"/>
      <c r="KIT82" s="570"/>
      <c r="KIU82" s="570"/>
      <c r="KIV82" s="570"/>
      <c r="KIW82" s="570"/>
      <c r="KIX82" s="570"/>
      <c r="KIY82" s="570"/>
      <c r="KIZ82" s="570"/>
      <c r="KJA82" s="570"/>
      <c r="KJB82" s="570"/>
      <c r="KJC82" s="570"/>
      <c r="KJD82" s="570"/>
      <c r="KJE82" s="570"/>
      <c r="KJF82" s="570"/>
      <c r="KJG82" s="570"/>
      <c r="KJH82" s="570"/>
      <c r="KJI82" s="570"/>
      <c r="KJJ82" s="570"/>
      <c r="KJK82" s="570"/>
      <c r="KJL82" s="570"/>
      <c r="KJM82" s="570"/>
      <c r="KJN82" s="570"/>
      <c r="KJO82" s="570"/>
      <c r="KJP82" s="570"/>
      <c r="KJQ82" s="570"/>
      <c r="KJR82" s="570"/>
      <c r="KJS82" s="570"/>
      <c r="KJT82" s="570"/>
      <c r="KJU82" s="570"/>
      <c r="KJV82" s="570"/>
      <c r="KJW82" s="570"/>
      <c r="KJX82" s="570"/>
      <c r="KJY82" s="570"/>
      <c r="KJZ82" s="570"/>
      <c r="KKA82" s="570"/>
      <c r="KKB82" s="570"/>
      <c r="KKC82" s="570"/>
      <c r="KKD82" s="570"/>
      <c r="KKE82" s="570"/>
      <c r="KKF82" s="570"/>
      <c r="KKG82" s="570"/>
      <c r="KKH82" s="570"/>
      <c r="KKI82" s="570"/>
      <c r="KKJ82" s="570"/>
      <c r="KKK82" s="570"/>
      <c r="KKL82" s="570"/>
      <c r="KKM82" s="570"/>
      <c r="KKN82" s="570"/>
      <c r="KKO82" s="570"/>
      <c r="KKP82" s="570"/>
      <c r="KKQ82" s="570"/>
      <c r="KKR82" s="570"/>
      <c r="KKS82" s="570"/>
      <c r="KKT82" s="570"/>
      <c r="KKU82" s="570"/>
      <c r="KKV82" s="570"/>
      <c r="KKW82" s="570"/>
      <c r="KKX82" s="570"/>
      <c r="KKY82" s="570"/>
      <c r="KKZ82" s="570"/>
      <c r="KLA82" s="570"/>
      <c r="KLB82" s="570"/>
      <c r="KLC82" s="570"/>
      <c r="KLD82" s="570"/>
      <c r="KLE82" s="570"/>
      <c r="KLF82" s="570"/>
      <c r="KLG82" s="570"/>
      <c r="KLH82" s="570"/>
      <c r="KLI82" s="570"/>
      <c r="KLJ82" s="570"/>
      <c r="KLK82" s="570"/>
      <c r="KLL82" s="570"/>
      <c r="KLM82" s="570"/>
      <c r="KLN82" s="570"/>
      <c r="KLO82" s="570"/>
      <c r="KLP82" s="570"/>
      <c r="KLQ82" s="570"/>
      <c r="KLR82" s="570"/>
      <c r="KLS82" s="570"/>
      <c r="KLT82" s="570"/>
      <c r="KLU82" s="570"/>
      <c r="KLV82" s="570"/>
      <c r="KLW82" s="570"/>
      <c r="KLX82" s="570"/>
      <c r="KLY82" s="570"/>
      <c r="KLZ82" s="570"/>
      <c r="KMA82" s="570"/>
      <c r="KMB82" s="570"/>
      <c r="KMC82" s="570"/>
      <c r="KMD82" s="570"/>
      <c r="KME82" s="570"/>
      <c r="KMF82" s="570"/>
      <c r="KMG82" s="570"/>
      <c r="KMH82" s="570"/>
      <c r="KMI82" s="570"/>
      <c r="KMJ82" s="570"/>
      <c r="KMK82" s="570"/>
      <c r="KML82" s="570"/>
      <c r="KMM82" s="570"/>
      <c r="KMN82" s="570"/>
      <c r="KMO82" s="570"/>
      <c r="KMP82" s="570"/>
      <c r="KMQ82" s="570"/>
      <c r="KMR82" s="570"/>
      <c r="KMS82" s="570"/>
      <c r="KMT82" s="570"/>
      <c r="KMU82" s="570"/>
      <c r="KMV82" s="570"/>
      <c r="KMW82" s="570"/>
      <c r="KMX82" s="570"/>
      <c r="KMY82" s="570"/>
      <c r="KMZ82" s="570"/>
      <c r="KNA82" s="570"/>
      <c r="KNB82" s="570"/>
      <c r="KNC82" s="570"/>
      <c r="KND82" s="570"/>
      <c r="KNE82" s="570"/>
      <c r="KNF82" s="570"/>
      <c r="KNG82" s="570"/>
      <c r="KNH82" s="570"/>
      <c r="KNI82" s="570"/>
      <c r="KNJ82" s="570"/>
      <c r="KNK82" s="570"/>
      <c r="KNL82" s="570"/>
      <c r="KNM82" s="570"/>
      <c r="KNN82" s="570"/>
      <c r="KNO82" s="570"/>
      <c r="KNP82" s="570"/>
      <c r="KNQ82" s="570"/>
      <c r="KNR82" s="570"/>
      <c r="KNS82" s="570"/>
      <c r="KNT82" s="570"/>
      <c r="KNU82" s="570"/>
      <c r="KNV82" s="570"/>
      <c r="KNW82" s="570"/>
      <c r="KNX82" s="570"/>
      <c r="KNY82" s="570"/>
      <c r="KNZ82" s="570"/>
      <c r="KOA82" s="570"/>
      <c r="KOB82" s="570"/>
      <c r="KOC82" s="570"/>
      <c r="KOD82" s="570"/>
      <c r="KOE82" s="570"/>
      <c r="KOF82" s="570"/>
      <c r="KOG82" s="570"/>
      <c r="KOH82" s="570"/>
      <c r="KOI82" s="570"/>
      <c r="KOJ82" s="570"/>
      <c r="KOK82" s="570"/>
      <c r="KOL82" s="570"/>
      <c r="KOM82" s="570"/>
      <c r="KON82" s="570"/>
      <c r="KOO82" s="570"/>
      <c r="KOP82" s="570"/>
      <c r="KOQ82" s="570"/>
      <c r="KOR82" s="570"/>
      <c r="KOS82" s="570"/>
      <c r="KOT82" s="570"/>
      <c r="KOU82" s="570"/>
      <c r="KOV82" s="570"/>
      <c r="KOW82" s="570"/>
      <c r="KOX82" s="570"/>
      <c r="KOY82" s="570"/>
      <c r="KOZ82" s="570"/>
      <c r="KPA82" s="570"/>
      <c r="KPB82" s="570"/>
      <c r="KPC82" s="570"/>
      <c r="KPD82" s="570"/>
      <c r="KPE82" s="570"/>
      <c r="KPF82" s="570"/>
      <c r="KPG82" s="570"/>
      <c r="KPH82" s="570"/>
      <c r="KPI82" s="570"/>
      <c r="KPJ82" s="570"/>
      <c r="KPK82" s="570"/>
      <c r="KPL82" s="570"/>
      <c r="KPM82" s="570"/>
      <c r="KPN82" s="570"/>
      <c r="KPO82" s="570"/>
      <c r="KPP82" s="570"/>
      <c r="KPQ82" s="570"/>
      <c r="KPR82" s="570"/>
      <c r="KPS82" s="570"/>
      <c r="KPT82" s="570"/>
      <c r="KPU82" s="570"/>
      <c r="KPV82" s="570"/>
      <c r="KPW82" s="570"/>
      <c r="KPX82" s="570"/>
      <c r="KPY82" s="570"/>
      <c r="KPZ82" s="570"/>
      <c r="KQA82" s="570"/>
      <c r="KQB82" s="570"/>
      <c r="KQC82" s="570"/>
      <c r="KQD82" s="570"/>
      <c r="KQE82" s="570"/>
      <c r="KQF82" s="570"/>
      <c r="KQG82" s="570"/>
      <c r="KQH82" s="570"/>
      <c r="KQI82" s="570"/>
      <c r="KQJ82" s="570"/>
      <c r="KQK82" s="570"/>
      <c r="KQL82" s="570"/>
      <c r="KQM82" s="570"/>
      <c r="KQN82" s="570"/>
      <c r="KQO82" s="570"/>
      <c r="KQP82" s="570"/>
      <c r="KQQ82" s="570"/>
      <c r="KQR82" s="570"/>
      <c r="KQS82" s="570"/>
      <c r="KQT82" s="570"/>
      <c r="KQU82" s="570"/>
      <c r="KQV82" s="570"/>
      <c r="KQW82" s="570"/>
      <c r="KQX82" s="570"/>
      <c r="KQY82" s="570"/>
      <c r="KQZ82" s="570"/>
      <c r="KRA82" s="570"/>
      <c r="KRB82" s="570"/>
      <c r="KRC82" s="570"/>
      <c r="KRD82" s="570"/>
      <c r="KRE82" s="570"/>
      <c r="KRF82" s="570"/>
      <c r="KRG82" s="570"/>
      <c r="KRH82" s="570"/>
      <c r="KRI82" s="570"/>
      <c r="KRJ82" s="570"/>
      <c r="KRK82" s="570"/>
      <c r="KRL82" s="570"/>
      <c r="KRM82" s="570"/>
      <c r="KRN82" s="570"/>
      <c r="KRO82" s="570"/>
      <c r="KRP82" s="570"/>
      <c r="KRQ82" s="570"/>
      <c r="KRR82" s="570"/>
      <c r="KRS82" s="570"/>
      <c r="KRT82" s="570"/>
      <c r="KRU82" s="570"/>
      <c r="KRV82" s="570"/>
      <c r="KRW82" s="570"/>
      <c r="KRX82" s="570"/>
      <c r="KRY82" s="570"/>
      <c r="KRZ82" s="570"/>
      <c r="KSA82" s="570"/>
      <c r="KSB82" s="570"/>
      <c r="KSC82" s="570"/>
      <c r="KSD82" s="570"/>
      <c r="KSE82" s="570"/>
      <c r="KSF82" s="570"/>
      <c r="KSG82" s="570"/>
      <c r="KSH82" s="570"/>
      <c r="KSI82" s="570"/>
      <c r="KSJ82" s="570"/>
      <c r="KSK82" s="570"/>
      <c r="KSL82" s="570"/>
      <c r="KSM82" s="570"/>
      <c r="KSN82" s="570"/>
      <c r="KSO82" s="570"/>
      <c r="KSP82" s="570"/>
      <c r="KSQ82" s="570"/>
      <c r="KSR82" s="570"/>
      <c r="KSS82" s="570"/>
      <c r="KST82" s="570"/>
      <c r="KSU82" s="570"/>
      <c r="KSV82" s="570"/>
      <c r="KSW82" s="570"/>
      <c r="KSX82" s="570"/>
      <c r="KSY82" s="570"/>
      <c r="KSZ82" s="570"/>
      <c r="KTA82" s="570"/>
      <c r="KTB82" s="570"/>
      <c r="KTC82" s="570"/>
      <c r="KTD82" s="570"/>
      <c r="KTE82" s="570"/>
      <c r="KTF82" s="570"/>
      <c r="KTG82" s="570"/>
      <c r="KTH82" s="570"/>
      <c r="KTI82" s="570"/>
      <c r="KTJ82" s="570"/>
      <c r="KTK82" s="570"/>
      <c r="KTL82" s="570"/>
      <c r="KTM82" s="570"/>
      <c r="KTN82" s="570"/>
      <c r="KTO82" s="570"/>
      <c r="KTP82" s="570"/>
      <c r="KTQ82" s="570"/>
      <c r="KTR82" s="570"/>
      <c r="KTS82" s="570"/>
      <c r="KTT82" s="570"/>
      <c r="KTU82" s="570"/>
      <c r="KTV82" s="570"/>
      <c r="KTW82" s="570"/>
      <c r="KTX82" s="570"/>
      <c r="KTY82" s="570"/>
      <c r="KTZ82" s="570"/>
      <c r="KUA82" s="570"/>
      <c r="KUB82" s="570"/>
      <c r="KUC82" s="570"/>
      <c r="KUD82" s="570"/>
      <c r="KUE82" s="570"/>
      <c r="KUF82" s="570"/>
      <c r="KUG82" s="570"/>
      <c r="KUH82" s="570"/>
      <c r="KUI82" s="570"/>
      <c r="KUJ82" s="570"/>
      <c r="KUK82" s="570"/>
      <c r="KUL82" s="570"/>
      <c r="KUM82" s="570"/>
      <c r="KUN82" s="570"/>
      <c r="KUO82" s="570"/>
      <c r="KUP82" s="570"/>
      <c r="KUQ82" s="570"/>
      <c r="KUR82" s="570"/>
      <c r="KUS82" s="570"/>
      <c r="KUT82" s="570"/>
      <c r="KUU82" s="570"/>
      <c r="KUV82" s="570"/>
      <c r="KUW82" s="570"/>
      <c r="KUX82" s="570"/>
      <c r="KUY82" s="570"/>
      <c r="KUZ82" s="570"/>
      <c r="KVA82" s="570"/>
      <c r="KVB82" s="570"/>
      <c r="KVC82" s="570"/>
      <c r="KVD82" s="570"/>
      <c r="KVE82" s="570"/>
      <c r="KVF82" s="570"/>
      <c r="KVG82" s="570"/>
      <c r="KVH82" s="570"/>
      <c r="KVI82" s="570"/>
      <c r="KVJ82" s="570"/>
      <c r="KVK82" s="570"/>
      <c r="KVL82" s="570"/>
      <c r="KVM82" s="570"/>
      <c r="KVN82" s="570"/>
      <c r="KVO82" s="570"/>
      <c r="KVP82" s="570"/>
      <c r="KVQ82" s="570"/>
      <c r="KVR82" s="570"/>
      <c r="KVS82" s="570"/>
      <c r="KVT82" s="570"/>
      <c r="KVU82" s="570"/>
      <c r="KVV82" s="570"/>
      <c r="KVW82" s="570"/>
      <c r="KVX82" s="570"/>
      <c r="KVY82" s="570"/>
      <c r="KVZ82" s="570"/>
      <c r="KWA82" s="570"/>
      <c r="KWB82" s="570"/>
      <c r="KWC82" s="570"/>
      <c r="KWD82" s="570"/>
      <c r="KWE82" s="570"/>
      <c r="KWF82" s="570"/>
      <c r="KWG82" s="570"/>
      <c r="KWH82" s="570"/>
      <c r="KWI82" s="570"/>
      <c r="KWJ82" s="570"/>
      <c r="KWK82" s="570"/>
      <c r="KWL82" s="570"/>
      <c r="KWM82" s="570"/>
      <c r="KWN82" s="570"/>
      <c r="KWO82" s="570"/>
      <c r="KWP82" s="570"/>
      <c r="KWQ82" s="570"/>
      <c r="KWR82" s="570"/>
      <c r="KWS82" s="570"/>
      <c r="KWT82" s="570"/>
      <c r="KWU82" s="570"/>
      <c r="KWV82" s="570"/>
      <c r="KWW82" s="570"/>
      <c r="KWX82" s="570"/>
      <c r="KWY82" s="570"/>
      <c r="KWZ82" s="570"/>
      <c r="KXA82" s="570"/>
      <c r="KXB82" s="570"/>
      <c r="KXC82" s="570"/>
      <c r="KXD82" s="570"/>
      <c r="KXE82" s="570"/>
      <c r="KXF82" s="570"/>
      <c r="KXG82" s="570"/>
      <c r="KXH82" s="570"/>
      <c r="KXI82" s="570"/>
      <c r="KXJ82" s="570"/>
      <c r="KXK82" s="570"/>
      <c r="KXL82" s="570"/>
      <c r="KXM82" s="570"/>
      <c r="KXN82" s="570"/>
      <c r="KXO82" s="570"/>
      <c r="KXP82" s="570"/>
      <c r="KXQ82" s="570"/>
      <c r="KXR82" s="570"/>
      <c r="KXS82" s="570"/>
      <c r="KXT82" s="570"/>
      <c r="KXU82" s="570"/>
      <c r="KXV82" s="570"/>
      <c r="KXW82" s="570"/>
      <c r="KXX82" s="570"/>
      <c r="KXY82" s="570"/>
      <c r="KXZ82" s="570"/>
      <c r="KYA82" s="570"/>
      <c r="KYB82" s="570"/>
      <c r="KYC82" s="570"/>
      <c r="KYD82" s="570"/>
      <c r="KYE82" s="570"/>
      <c r="KYF82" s="570"/>
      <c r="KYG82" s="570"/>
      <c r="KYH82" s="570"/>
      <c r="KYI82" s="570"/>
      <c r="KYJ82" s="570"/>
      <c r="KYK82" s="570"/>
      <c r="KYL82" s="570"/>
      <c r="KYM82" s="570"/>
      <c r="KYN82" s="570"/>
      <c r="KYO82" s="570"/>
      <c r="KYP82" s="570"/>
      <c r="KYQ82" s="570"/>
      <c r="KYR82" s="570"/>
      <c r="KYS82" s="570"/>
      <c r="KYT82" s="570"/>
      <c r="KYU82" s="570"/>
      <c r="KYV82" s="570"/>
      <c r="KYW82" s="570"/>
      <c r="KYX82" s="570"/>
      <c r="KYY82" s="570"/>
      <c r="KYZ82" s="570"/>
      <c r="KZA82" s="570"/>
      <c r="KZB82" s="570"/>
      <c r="KZC82" s="570"/>
      <c r="KZD82" s="570"/>
      <c r="KZE82" s="570"/>
      <c r="KZF82" s="570"/>
      <c r="KZG82" s="570"/>
      <c r="KZH82" s="570"/>
      <c r="KZI82" s="570"/>
      <c r="KZJ82" s="570"/>
      <c r="KZK82" s="570"/>
      <c r="KZL82" s="570"/>
      <c r="KZM82" s="570"/>
      <c r="KZN82" s="570"/>
      <c r="KZO82" s="570"/>
      <c r="KZP82" s="570"/>
      <c r="KZQ82" s="570"/>
      <c r="KZR82" s="570"/>
      <c r="KZS82" s="570"/>
      <c r="KZT82" s="570"/>
      <c r="KZU82" s="570"/>
      <c r="KZV82" s="570"/>
      <c r="KZW82" s="570"/>
      <c r="KZX82" s="570"/>
      <c r="KZY82" s="570"/>
      <c r="KZZ82" s="570"/>
      <c r="LAA82" s="570"/>
      <c r="LAB82" s="570"/>
      <c r="LAC82" s="570"/>
      <c r="LAD82" s="570"/>
      <c r="LAE82" s="570"/>
      <c r="LAF82" s="570"/>
      <c r="LAG82" s="570"/>
      <c r="LAH82" s="570"/>
      <c r="LAI82" s="570"/>
      <c r="LAJ82" s="570"/>
      <c r="LAK82" s="570"/>
      <c r="LAL82" s="570"/>
      <c r="LAM82" s="570"/>
      <c r="LAN82" s="570"/>
      <c r="LAO82" s="570"/>
      <c r="LAP82" s="570"/>
      <c r="LAQ82" s="570"/>
      <c r="LAR82" s="570"/>
      <c r="LAS82" s="570"/>
      <c r="LAT82" s="570"/>
      <c r="LAU82" s="570"/>
      <c r="LAV82" s="570"/>
      <c r="LAW82" s="570"/>
      <c r="LAX82" s="570"/>
      <c r="LAY82" s="570"/>
      <c r="LAZ82" s="570"/>
      <c r="LBA82" s="570"/>
      <c r="LBB82" s="570"/>
      <c r="LBC82" s="570"/>
      <c r="LBD82" s="570"/>
      <c r="LBE82" s="570"/>
      <c r="LBF82" s="570"/>
      <c r="LBG82" s="570"/>
      <c r="LBH82" s="570"/>
      <c r="LBI82" s="570"/>
      <c r="LBJ82" s="570"/>
      <c r="LBK82" s="570"/>
      <c r="LBL82" s="570"/>
      <c r="LBM82" s="570"/>
      <c r="LBN82" s="570"/>
      <c r="LBO82" s="570"/>
      <c r="LBP82" s="570"/>
      <c r="LBQ82" s="570"/>
      <c r="LBR82" s="570"/>
      <c r="LBS82" s="570"/>
      <c r="LBT82" s="570"/>
      <c r="LBU82" s="570"/>
      <c r="LBV82" s="570"/>
      <c r="LBW82" s="570"/>
      <c r="LBX82" s="570"/>
      <c r="LBY82" s="570"/>
      <c r="LBZ82" s="570"/>
      <c r="LCA82" s="570"/>
      <c r="LCB82" s="570"/>
      <c r="LCC82" s="570"/>
      <c r="LCD82" s="570"/>
      <c r="LCE82" s="570"/>
      <c r="LCF82" s="570"/>
      <c r="LCG82" s="570"/>
      <c r="LCH82" s="570"/>
      <c r="LCI82" s="570"/>
      <c r="LCJ82" s="570"/>
      <c r="LCK82" s="570"/>
      <c r="LCL82" s="570"/>
      <c r="LCM82" s="570"/>
      <c r="LCN82" s="570"/>
      <c r="LCO82" s="570"/>
      <c r="LCP82" s="570"/>
      <c r="LCQ82" s="570"/>
      <c r="LCR82" s="570"/>
      <c r="LCS82" s="570"/>
      <c r="LCT82" s="570"/>
      <c r="LCU82" s="570"/>
      <c r="LCV82" s="570"/>
      <c r="LCW82" s="570"/>
      <c r="LCX82" s="570"/>
      <c r="LCY82" s="570"/>
      <c r="LCZ82" s="570"/>
      <c r="LDA82" s="570"/>
      <c r="LDB82" s="570"/>
      <c r="LDC82" s="570"/>
      <c r="LDD82" s="570"/>
      <c r="LDE82" s="570"/>
      <c r="LDF82" s="570"/>
      <c r="LDG82" s="570"/>
      <c r="LDH82" s="570"/>
      <c r="LDI82" s="570"/>
      <c r="LDJ82" s="570"/>
      <c r="LDK82" s="570"/>
      <c r="LDL82" s="570"/>
      <c r="LDM82" s="570"/>
      <c r="LDN82" s="570"/>
      <c r="LDO82" s="570"/>
      <c r="LDP82" s="570"/>
      <c r="LDQ82" s="570"/>
      <c r="LDR82" s="570"/>
      <c r="LDS82" s="570"/>
      <c r="LDT82" s="570"/>
      <c r="LDU82" s="570"/>
      <c r="LDV82" s="570"/>
      <c r="LDW82" s="570"/>
      <c r="LDX82" s="570"/>
      <c r="LDY82" s="570"/>
      <c r="LDZ82" s="570"/>
      <c r="LEA82" s="570"/>
      <c r="LEB82" s="570"/>
      <c r="LEC82" s="570"/>
      <c r="LED82" s="570"/>
      <c r="LEE82" s="570"/>
      <c r="LEF82" s="570"/>
      <c r="LEG82" s="570"/>
      <c r="LEH82" s="570"/>
      <c r="LEI82" s="570"/>
      <c r="LEJ82" s="570"/>
      <c r="LEK82" s="570"/>
      <c r="LEL82" s="570"/>
      <c r="LEM82" s="570"/>
      <c r="LEN82" s="570"/>
      <c r="LEO82" s="570"/>
      <c r="LEP82" s="570"/>
      <c r="LEQ82" s="570"/>
      <c r="LER82" s="570"/>
      <c r="LES82" s="570"/>
      <c r="LET82" s="570"/>
      <c r="LEU82" s="570"/>
      <c r="LEV82" s="570"/>
      <c r="LEW82" s="570"/>
      <c r="LEX82" s="570"/>
      <c r="LEY82" s="570"/>
      <c r="LEZ82" s="570"/>
      <c r="LFA82" s="570"/>
      <c r="LFB82" s="570"/>
      <c r="LFC82" s="570"/>
      <c r="LFD82" s="570"/>
      <c r="LFE82" s="570"/>
      <c r="LFF82" s="570"/>
      <c r="LFG82" s="570"/>
      <c r="LFH82" s="570"/>
      <c r="LFI82" s="570"/>
      <c r="LFJ82" s="570"/>
      <c r="LFK82" s="570"/>
      <c r="LFL82" s="570"/>
      <c r="LFM82" s="570"/>
      <c r="LFN82" s="570"/>
      <c r="LFO82" s="570"/>
      <c r="LFP82" s="570"/>
      <c r="LFQ82" s="570"/>
      <c r="LFR82" s="570"/>
      <c r="LFS82" s="570"/>
      <c r="LFT82" s="570"/>
      <c r="LFU82" s="570"/>
      <c r="LFV82" s="570"/>
      <c r="LFW82" s="570"/>
      <c r="LFX82" s="570"/>
      <c r="LFY82" s="570"/>
      <c r="LFZ82" s="570"/>
      <c r="LGA82" s="570"/>
      <c r="LGB82" s="570"/>
      <c r="LGC82" s="570"/>
      <c r="LGD82" s="570"/>
      <c r="LGE82" s="570"/>
      <c r="LGF82" s="570"/>
      <c r="LGG82" s="570"/>
      <c r="LGH82" s="570"/>
      <c r="LGI82" s="570"/>
      <c r="LGJ82" s="570"/>
      <c r="LGK82" s="570"/>
      <c r="LGL82" s="570"/>
      <c r="LGM82" s="570"/>
      <c r="LGN82" s="570"/>
      <c r="LGO82" s="570"/>
      <c r="LGP82" s="570"/>
      <c r="LGQ82" s="570"/>
      <c r="LGR82" s="570"/>
      <c r="LGS82" s="570"/>
      <c r="LGT82" s="570"/>
      <c r="LGU82" s="570"/>
      <c r="LGV82" s="570"/>
      <c r="LGW82" s="570"/>
      <c r="LGX82" s="570"/>
      <c r="LGY82" s="570"/>
      <c r="LGZ82" s="570"/>
      <c r="LHA82" s="570"/>
      <c r="LHB82" s="570"/>
      <c r="LHC82" s="570"/>
      <c r="LHD82" s="570"/>
      <c r="LHE82" s="570"/>
      <c r="LHF82" s="570"/>
      <c r="LHG82" s="570"/>
      <c r="LHH82" s="570"/>
      <c r="LHI82" s="570"/>
      <c r="LHJ82" s="570"/>
      <c r="LHK82" s="570"/>
      <c r="LHL82" s="570"/>
      <c r="LHM82" s="570"/>
      <c r="LHN82" s="570"/>
      <c r="LHO82" s="570"/>
      <c r="LHP82" s="570"/>
      <c r="LHQ82" s="570"/>
      <c r="LHR82" s="570"/>
      <c r="LHS82" s="570"/>
      <c r="LHT82" s="570"/>
      <c r="LHU82" s="570"/>
      <c r="LHV82" s="570"/>
      <c r="LHW82" s="570"/>
      <c r="LHX82" s="570"/>
      <c r="LHY82" s="570"/>
      <c r="LHZ82" s="570"/>
      <c r="LIA82" s="570"/>
      <c r="LIB82" s="570"/>
      <c r="LIC82" s="570"/>
      <c r="LID82" s="570"/>
      <c r="LIE82" s="570"/>
      <c r="LIF82" s="570"/>
      <c r="LIG82" s="570"/>
      <c r="LIH82" s="570"/>
      <c r="LII82" s="570"/>
      <c r="LIJ82" s="570"/>
      <c r="LIK82" s="570"/>
      <c r="LIL82" s="570"/>
      <c r="LIM82" s="570"/>
      <c r="LIN82" s="570"/>
      <c r="LIO82" s="570"/>
      <c r="LIP82" s="570"/>
      <c r="LIQ82" s="570"/>
      <c r="LIR82" s="570"/>
      <c r="LIS82" s="570"/>
      <c r="LIT82" s="570"/>
      <c r="LIU82" s="570"/>
      <c r="LIV82" s="570"/>
      <c r="LIW82" s="570"/>
      <c r="LIX82" s="570"/>
      <c r="LIY82" s="570"/>
      <c r="LIZ82" s="570"/>
      <c r="LJA82" s="570"/>
      <c r="LJB82" s="570"/>
      <c r="LJC82" s="570"/>
      <c r="LJD82" s="570"/>
      <c r="LJE82" s="570"/>
      <c r="LJF82" s="570"/>
      <c r="LJG82" s="570"/>
      <c r="LJH82" s="570"/>
      <c r="LJI82" s="570"/>
      <c r="LJJ82" s="570"/>
      <c r="LJK82" s="570"/>
      <c r="LJL82" s="570"/>
      <c r="LJM82" s="570"/>
      <c r="LJN82" s="570"/>
      <c r="LJO82" s="570"/>
      <c r="LJP82" s="570"/>
      <c r="LJQ82" s="570"/>
      <c r="LJR82" s="570"/>
      <c r="LJS82" s="570"/>
      <c r="LJT82" s="570"/>
      <c r="LJU82" s="570"/>
      <c r="LJV82" s="570"/>
      <c r="LJW82" s="570"/>
      <c r="LJX82" s="570"/>
      <c r="LJY82" s="570"/>
      <c r="LJZ82" s="570"/>
      <c r="LKA82" s="570"/>
      <c r="LKB82" s="570"/>
      <c r="LKC82" s="570"/>
      <c r="LKD82" s="570"/>
      <c r="LKE82" s="570"/>
      <c r="LKF82" s="570"/>
      <c r="LKG82" s="570"/>
      <c r="LKH82" s="570"/>
      <c r="LKI82" s="570"/>
      <c r="LKJ82" s="570"/>
      <c r="LKK82" s="570"/>
      <c r="LKL82" s="570"/>
      <c r="LKM82" s="570"/>
      <c r="LKN82" s="570"/>
      <c r="LKO82" s="570"/>
      <c r="LKP82" s="570"/>
      <c r="LKQ82" s="570"/>
      <c r="LKR82" s="570"/>
      <c r="LKS82" s="570"/>
      <c r="LKT82" s="570"/>
      <c r="LKU82" s="570"/>
      <c r="LKV82" s="570"/>
      <c r="LKW82" s="570"/>
      <c r="LKX82" s="570"/>
      <c r="LKY82" s="570"/>
      <c r="LKZ82" s="570"/>
      <c r="LLA82" s="570"/>
      <c r="LLB82" s="570"/>
      <c r="LLC82" s="570"/>
      <c r="LLD82" s="570"/>
      <c r="LLE82" s="570"/>
      <c r="LLF82" s="570"/>
      <c r="LLG82" s="570"/>
      <c r="LLH82" s="570"/>
      <c r="LLI82" s="570"/>
      <c r="LLJ82" s="570"/>
      <c r="LLK82" s="570"/>
      <c r="LLL82" s="570"/>
      <c r="LLM82" s="570"/>
      <c r="LLN82" s="570"/>
      <c r="LLO82" s="570"/>
      <c r="LLP82" s="570"/>
      <c r="LLQ82" s="570"/>
      <c r="LLR82" s="570"/>
      <c r="LLS82" s="570"/>
      <c r="LLT82" s="570"/>
      <c r="LLU82" s="570"/>
      <c r="LLV82" s="570"/>
      <c r="LLW82" s="570"/>
      <c r="LLX82" s="570"/>
      <c r="LLY82" s="570"/>
      <c r="LLZ82" s="570"/>
      <c r="LMA82" s="570"/>
      <c r="LMB82" s="570"/>
      <c r="LMC82" s="570"/>
      <c r="LMD82" s="570"/>
      <c r="LME82" s="570"/>
      <c r="LMF82" s="570"/>
      <c r="LMG82" s="570"/>
      <c r="LMH82" s="570"/>
      <c r="LMI82" s="570"/>
      <c r="LMJ82" s="570"/>
      <c r="LMK82" s="570"/>
      <c r="LML82" s="570"/>
      <c r="LMM82" s="570"/>
      <c r="LMN82" s="570"/>
      <c r="LMO82" s="570"/>
      <c r="LMP82" s="570"/>
      <c r="LMQ82" s="570"/>
      <c r="LMR82" s="570"/>
      <c r="LMS82" s="570"/>
      <c r="LMT82" s="570"/>
      <c r="LMU82" s="570"/>
      <c r="LMV82" s="570"/>
      <c r="LMW82" s="570"/>
      <c r="LMX82" s="570"/>
      <c r="LMY82" s="570"/>
      <c r="LMZ82" s="570"/>
      <c r="LNA82" s="570"/>
      <c r="LNB82" s="570"/>
      <c r="LNC82" s="570"/>
      <c r="LND82" s="570"/>
      <c r="LNE82" s="570"/>
      <c r="LNF82" s="570"/>
      <c r="LNG82" s="570"/>
      <c r="LNH82" s="570"/>
      <c r="LNI82" s="570"/>
      <c r="LNJ82" s="570"/>
      <c r="LNK82" s="570"/>
      <c r="LNL82" s="570"/>
      <c r="LNM82" s="570"/>
      <c r="LNN82" s="570"/>
      <c r="LNO82" s="570"/>
      <c r="LNP82" s="570"/>
      <c r="LNQ82" s="570"/>
      <c r="LNR82" s="570"/>
      <c r="LNS82" s="570"/>
      <c r="LNT82" s="570"/>
      <c r="LNU82" s="570"/>
      <c r="LNV82" s="570"/>
      <c r="LNW82" s="570"/>
      <c r="LNX82" s="570"/>
      <c r="LNY82" s="570"/>
      <c r="LNZ82" s="570"/>
      <c r="LOA82" s="570"/>
      <c r="LOB82" s="570"/>
      <c r="LOC82" s="570"/>
      <c r="LOD82" s="570"/>
      <c r="LOE82" s="570"/>
      <c r="LOF82" s="570"/>
      <c r="LOG82" s="570"/>
      <c r="LOH82" s="570"/>
      <c r="LOI82" s="570"/>
      <c r="LOJ82" s="570"/>
      <c r="LOK82" s="570"/>
      <c r="LOL82" s="570"/>
      <c r="LOM82" s="570"/>
      <c r="LON82" s="570"/>
      <c r="LOO82" s="570"/>
      <c r="LOP82" s="570"/>
      <c r="LOQ82" s="570"/>
      <c r="LOR82" s="570"/>
      <c r="LOS82" s="570"/>
      <c r="LOT82" s="570"/>
      <c r="LOU82" s="570"/>
      <c r="LOV82" s="570"/>
      <c r="LOW82" s="570"/>
      <c r="LOX82" s="570"/>
      <c r="LOY82" s="570"/>
      <c r="LOZ82" s="570"/>
      <c r="LPA82" s="570"/>
      <c r="LPB82" s="570"/>
      <c r="LPC82" s="570"/>
      <c r="LPD82" s="570"/>
      <c r="LPE82" s="570"/>
      <c r="LPF82" s="570"/>
      <c r="LPG82" s="570"/>
      <c r="LPH82" s="570"/>
      <c r="LPI82" s="570"/>
      <c r="LPJ82" s="570"/>
      <c r="LPK82" s="570"/>
      <c r="LPL82" s="570"/>
      <c r="LPM82" s="570"/>
      <c r="LPN82" s="570"/>
      <c r="LPO82" s="570"/>
      <c r="LPP82" s="570"/>
      <c r="LPQ82" s="570"/>
      <c r="LPR82" s="570"/>
      <c r="LPS82" s="570"/>
      <c r="LPT82" s="570"/>
      <c r="LPU82" s="570"/>
      <c r="LPV82" s="570"/>
      <c r="LPW82" s="570"/>
      <c r="LPX82" s="570"/>
      <c r="LPY82" s="570"/>
      <c r="LPZ82" s="570"/>
      <c r="LQA82" s="570"/>
      <c r="LQB82" s="570"/>
      <c r="LQC82" s="570"/>
      <c r="LQD82" s="570"/>
      <c r="LQE82" s="570"/>
      <c r="LQF82" s="570"/>
      <c r="LQG82" s="570"/>
      <c r="LQH82" s="570"/>
      <c r="LQI82" s="570"/>
      <c r="LQJ82" s="570"/>
      <c r="LQK82" s="570"/>
      <c r="LQL82" s="570"/>
      <c r="LQM82" s="570"/>
      <c r="LQN82" s="570"/>
      <c r="LQO82" s="570"/>
      <c r="LQP82" s="570"/>
      <c r="LQQ82" s="570"/>
      <c r="LQR82" s="570"/>
      <c r="LQS82" s="570"/>
      <c r="LQT82" s="570"/>
      <c r="LQU82" s="570"/>
      <c r="LQV82" s="570"/>
      <c r="LQW82" s="570"/>
      <c r="LQX82" s="570"/>
      <c r="LQY82" s="570"/>
      <c r="LQZ82" s="570"/>
      <c r="LRA82" s="570"/>
      <c r="LRB82" s="570"/>
      <c r="LRC82" s="570"/>
      <c r="LRD82" s="570"/>
      <c r="LRE82" s="570"/>
      <c r="LRF82" s="570"/>
      <c r="LRG82" s="570"/>
      <c r="LRH82" s="570"/>
      <c r="LRI82" s="570"/>
      <c r="LRJ82" s="570"/>
      <c r="LRK82" s="570"/>
      <c r="LRL82" s="570"/>
      <c r="LRM82" s="570"/>
      <c r="LRN82" s="570"/>
      <c r="LRO82" s="570"/>
      <c r="LRP82" s="570"/>
      <c r="LRQ82" s="570"/>
      <c r="LRR82" s="570"/>
      <c r="LRS82" s="570"/>
      <c r="LRT82" s="570"/>
      <c r="LRU82" s="570"/>
      <c r="LRV82" s="570"/>
      <c r="LRW82" s="570"/>
      <c r="LRX82" s="570"/>
      <c r="LRY82" s="570"/>
      <c r="LRZ82" s="570"/>
      <c r="LSA82" s="570"/>
      <c r="LSB82" s="570"/>
      <c r="LSC82" s="570"/>
      <c r="LSD82" s="570"/>
      <c r="LSE82" s="570"/>
      <c r="LSF82" s="570"/>
      <c r="LSG82" s="570"/>
      <c r="LSH82" s="570"/>
      <c r="LSI82" s="570"/>
      <c r="LSJ82" s="570"/>
      <c r="LSK82" s="570"/>
      <c r="LSL82" s="570"/>
      <c r="LSM82" s="570"/>
      <c r="LSN82" s="570"/>
      <c r="LSO82" s="570"/>
      <c r="LSP82" s="570"/>
      <c r="LSQ82" s="570"/>
      <c r="LSR82" s="570"/>
      <c r="LSS82" s="570"/>
      <c r="LST82" s="570"/>
      <c r="LSU82" s="570"/>
      <c r="LSV82" s="570"/>
      <c r="LSW82" s="570"/>
      <c r="LSX82" s="570"/>
      <c r="LSY82" s="570"/>
      <c r="LSZ82" s="570"/>
      <c r="LTA82" s="570"/>
      <c r="LTB82" s="570"/>
      <c r="LTC82" s="570"/>
      <c r="LTD82" s="570"/>
      <c r="LTE82" s="570"/>
      <c r="LTF82" s="570"/>
      <c r="LTG82" s="570"/>
      <c r="LTH82" s="570"/>
      <c r="LTI82" s="570"/>
      <c r="LTJ82" s="570"/>
      <c r="LTK82" s="570"/>
      <c r="LTL82" s="570"/>
      <c r="LTM82" s="570"/>
      <c r="LTN82" s="570"/>
      <c r="LTO82" s="570"/>
      <c r="LTP82" s="570"/>
      <c r="LTQ82" s="570"/>
      <c r="LTR82" s="570"/>
      <c r="LTS82" s="570"/>
      <c r="LTT82" s="570"/>
      <c r="LTU82" s="570"/>
      <c r="LTV82" s="570"/>
      <c r="LTW82" s="570"/>
      <c r="LTX82" s="570"/>
      <c r="LTY82" s="570"/>
      <c r="LTZ82" s="570"/>
      <c r="LUA82" s="570"/>
      <c r="LUB82" s="570"/>
      <c r="LUC82" s="570"/>
      <c r="LUD82" s="570"/>
      <c r="LUE82" s="570"/>
      <c r="LUF82" s="570"/>
      <c r="LUG82" s="570"/>
      <c r="LUH82" s="570"/>
      <c r="LUI82" s="570"/>
      <c r="LUJ82" s="570"/>
      <c r="LUK82" s="570"/>
      <c r="LUL82" s="570"/>
      <c r="LUM82" s="570"/>
      <c r="LUN82" s="570"/>
      <c r="LUO82" s="570"/>
      <c r="LUP82" s="570"/>
      <c r="LUQ82" s="570"/>
      <c r="LUR82" s="570"/>
      <c r="LUS82" s="570"/>
      <c r="LUT82" s="570"/>
      <c r="LUU82" s="570"/>
      <c r="LUV82" s="570"/>
      <c r="LUW82" s="570"/>
      <c r="LUX82" s="570"/>
      <c r="LUY82" s="570"/>
      <c r="LUZ82" s="570"/>
      <c r="LVA82" s="570"/>
      <c r="LVB82" s="570"/>
      <c r="LVC82" s="570"/>
      <c r="LVD82" s="570"/>
      <c r="LVE82" s="570"/>
      <c r="LVF82" s="570"/>
      <c r="LVG82" s="570"/>
      <c r="LVH82" s="570"/>
      <c r="LVI82" s="570"/>
      <c r="LVJ82" s="570"/>
      <c r="LVK82" s="570"/>
      <c r="LVL82" s="570"/>
      <c r="LVM82" s="570"/>
      <c r="LVN82" s="570"/>
      <c r="LVO82" s="570"/>
      <c r="LVP82" s="570"/>
      <c r="LVQ82" s="570"/>
      <c r="LVR82" s="570"/>
      <c r="LVS82" s="570"/>
      <c r="LVT82" s="570"/>
      <c r="LVU82" s="570"/>
      <c r="LVV82" s="570"/>
      <c r="LVW82" s="570"/>
      <c r="LVX82" s="570"/>
      <c r="LVY82" s="570"/>
      <c r="LVZ82" s="570"/>
      <c r="LWA82" s="570"/>
      <c r="LWB82" s="570"/>
      <c r="LWC82" s="570"/>
      <c r="LWD82" s="570"/>
      <c r="LWE82" s="570"/>
      <c r="LWF82" s="570"/>
      <c r="LWG82" s="570"/>
      <c r="LWH82" s="570"/>
      <c r="LWI82" s="570"/>
      <c r="LWJ82" s="570"/>
      <c r="LWK82" s="570"/>
      <c r="LWL82" s="570"/>
      <c r="LWM82" s="570"/>
      <c r="LWN82" s="570"/>
      <c r="LWO82" s="570"/>
      <c r="LWP82" s="570"/>
      <c r="LWQ82" s="570"/>
      <c r="LWR82" s="570"/>
      <c r="LWS82" s="570"/>
      <c r="LWT82" s="570"/>
      <c r="LWU82" s="570"/>
      <c r="LWV82" s="570"/>
      <c r="LWW82" s="570"/>
      <c r="LWX82" s="570"/>
      <c r="LWY82" s="570"/>
      <c r="LWZ82" s="570"/>
      <c r="LXA82" s="570"/>
      <c r="LXB82" s="570"/>
      <c r="LXC82" s="570"/>
      <c r="LXD82" s="570"/>
      <c r="LXE82" s="570"/>
      <c r="LXF82" s="570"/>
      <c r="LXG82" s="570"/>
      <c r="LXH82" s="570"/>
      <c r="LXI82" s="570"/>
      <c r="LXJ82" s="570"/>
      <c r="LXK82" s="570"/>
      <c r="LXL82" s="570"/>
      <c r="LXM82" s="570"/>
      <c r="LXN82" s="570"/>
      <c r="LXO82" s="570"/>
      <c r="LXP82" s="570"/>
      <c r="LXQ82" s="570"/>
      <c r="LXR82" s="570"/>
      <c r="LXS82" s="570"/>
      <c r="LXT82" s="570"/>
      <c r="LXU82" s="570"/>
      <c r="LXV82" s="570"/>
      <c r="LXW82" s="570"/>
      <c r="LXX82" s="570"/>
      <c r="LXY82" s="570"/>
      <c r="LXZ82" s="570"/>
      <c r="LYA82" s="570"/>
      <c r="LYB82" s="570"/>
      <c r="LYC82" s="570"/>
      <c r="LYD82" s="570"/>
      <c r="LYE82" s="570"/>
      <c r="LYF82" s="570"/>
      <c r="LYG82" s="570"/>
      <c r="LYH82" s="570"/>
      <c r="LYI82" s="570"/>
      <c r="LYJ82" s="570"/>
      <c r="LYK82" s="570"/>
      <c r="LYL82" s="570"/>
      <c r="LYM82" s="570"/>
      <c r="LYN82" s="570"/>
      <c r="LYO82" s="570"/>
      <c r="LYP82" s="570"/>
      <c r="LYQ82" s="570"/>
      <c r="LYR82" s="570"/>
      <c r="LYS82" s="570"/>
      <c r="LYT82" s="570"/>
      <c r="LYU82" s="570"/>
      <c r="LYV82" s="570"/>
      <c r="LYW82" s="570"/>
      <c r="LYX82" s="570"/>
      <c r="LYY82" s="570"/>
      <c r="LYZ82" s="570"/>
      <c r="LZA82" s="570"/>
      <c r="LZB82" s="570"/>
      <c r="LZC82" s="570"/>
      <c r="LZD82" s="570"/>
      <c r="LZE82" s="570"/>
      <c r="LZF82" s="570"/>
      <c r="LZG82" s="570"/>
      <c r="LZH82" s="570"/>
      <c r="LZI82" s="570"/>
      <c r="LZJ82" s="570"/>
      <c r="LZK82" s="570"/>
      <c r="LZL82" s="570"/>
      <c r="LZM82" s="570"/>
      <c r="LZN82" s="570"/>
      <c r="LZO82" s="570"/>
      <c r="LZP82" s="570"/>
      <c r="LZQ82" s="570"/>
      <c r="LZR82" s="570"/>
      <c r="LZS82" s="570"/>
      <c r="LZT82" s="570"/>
      <c r="LZU82" s="570"/>
      <c r="LZV82" s="570"/>
      <c r="LZW82" s="570"/>
      <c r="LZX82" s="570"/>
      <c r="LZY82" s="570"/>
      <c r="LZZ82" s="570"/>
      <c r="MAA82" s="570"/>
      <c r="MAB82" s="570"/>
      <c r="MAC82" s="570"/>
      <c r="MAD82" s="570"/>
      <c r="MAE82" s="570"/>
      <c r="MAF82" s="570"/>
      <c r="MAG82" s="570"/>
      <c r="MAH82" s="570"/>
      <c r="MAI82" s="570"/>
      <c r="MAJ82" s="570"/>
      <c r="MAK82" s="570"/>
      <c r="MAL82" s="570"/>
      <c r="MAM82" s="570"/>
      <c r="MAN82" s="570"/>
      <c r="MAO82" s="570"/>
      <c r="MAP82" s="570"/>
      <c r="MAQ82" s="570"/>
      <c r="MAR82" s="570"/>
      <c r="MAS82" s="570"/>
      <c r="MAT82" s="570"/>
      <c r="MAU82" s="570"/>
      <c r="MAV82" s="570"/>
      <c r="MAW82" s="570"/>
      <c r="MAX82" s="570"/>
      <c r="MAY82" s="570"/>
      <c r="MAZ82" s="570"/>
      <c r="MBA82" s="570"/>
      <c r="MBB82" s="570"/>
      <c r="MBC82" s="570"/>
      <c r="MBD82" s="570"/>
      <c r="MBE82" s="570"/>
      <c r="MBF82" s="570"/>
      <c r="MBG82" s="570"/>
      <c r="MBH82" s="570"/>
      <c r="MBI82" s="570"/>
      <c r="MBJ82" s="570"/>
      <c r="MBK82" s="570"/>
      <c r="MBL82" s="570"/>
      <c r="MBM82" s="570"/>
      <c r="MBN82" s="570"/>
      <c r="MBO82" s="570"/>
      <c r="MBP82" s="570"/>
      <c r="MBQ82" s="570"/>
      <c r="MBR82" s="570"/>
      <c r="MBS82" s="570"/>
      <c r="MBT82" s="570"/>
      <c r="MBU82" s="570"/>
      <c r="MBV82" s="570"/>
      <c r="MBW82" s="570"/>
      <c r="MBX82" s="570"/>
      <c r="MBY82" s="570"/>
      <c r="MBZ82" s="570"/>
      <c r="MCA82" s="570"/>
      <c r="MCB82" s="570"/>
      <c r="MCC82" s="570"/>
      <c r="MCD82" s="570"/>
      <c r="MCE82" s="570"/>
      <c r="MCF82" s="570"/>
      <c r="MCG82" s="570"/>
      <c r="MCH82" s="570"/>
      <c r="MCI82" s="570"/>
      <c r="MCJ82" s="570"/>
      <c r="MCK82" s="570"/>
      <c r="MCL82" s="570"/>
      <c r="MCM82" s="570"/>
      <c r="MCN82" s="570"/>
      <c r="MCO82" s="570"/>
      <c r="MCP82" s="570"/>
      <c r="MCQ82" s="570"/>
      <c r="MCR82" s="570"/>
      <c r="MCS82" s="570"/>
      <c r="MCT82" s="570"/>
      <c r="MCU82" s="570"/>
      <c r="MCV82" s="570"/>
      <c r="MCW82" s="570"/>
      <c r="MCX82" s="570"/>
      <c r="MCY82" s="570"/>
      <c r="MCZ82" s="570"/>
      <c r="MDA82" s="570"/>
      <c r="MDB82" s="570"/>
      <c r="MDC82" s="570"/>
      <c r="MDD82" s="570"/>
      <c r="MDE82" s="570"/>
      <c r="MDF82" s="570"/>
      <c r="MDG82" s="570"/>
      <c r="MDH82" s="570"/>
      <c r="MDI82" s="570"/>
      <c r="MDJ82" s="570"/>
      <c r="MDK82" s="570"/>
      <c r="MDL82" s="570"/>
      <c r="MDM82" s="570"/>
      <c r="MDN82" s="570"/>
      <c r="MDO82" s="570"/>
      <c r="MDP82" s="570"/>
      <c r="MDQ82" s="570"/>
      <c r="MDR82" s="570"/>
      <c r="MDS82" s="570"/>
      <c r="MDT82" s="570"/>
      <c r="MDU82" s="570"/>
      <c r="MDV82" s="570"/>
      <c r="MDW82" s="570"/>
      <c r="MDX82" s="570"/>
      <c r="MDY82" s="570"/>
      <c r="MDZ82" s="570"/>
      <c r="MEA82" s="570"/>
      <c r="MEB82" s="570"/>
      <c r="MEC82" s="570"/>
      <c r="MED82" s="570"/>
      <c r="MEE82" s="570"/>
      <c r="MEF82" s="570"/>
      <c r="MEG82" s="570"/>
      <c r="MEH82" s="570"/>
      <c r="MEI82" s="570"/>
      <c r="MEJ82" s="570"/>
      <c r="MEK82" s="570"/>
      <c r="MEL82" s="570"/>
      <c r="MEM82" s="570"/>
      <c r="MEN82" s="570"/>
      <c r="MEO82" s="570"/>
      <c r="MEP82" s="570"/>
      <c r="MEQ82" s="570"/>
      <c r="MER82" s="570"/>
      <c r="MES82" s="570"/>
      <c r="MET82" s="570"/>
      <c r="MEU82" s="570"/>
      <c r="MEV82" s="570"/>
      <c r="MEW82" s="570"/>
      <c r="MEX82" s="570"/>
      <c r="MEY82" s="570"/>
      <c r="MEZ82" s="570"/>
      <c r="MFA82" s="570"/>
      <c r="MFB82" s="570"/>
      <c r="MFC82" s="570"/>
      <c r="MFD82" s="570"/>
      <c r="MFE82" s="570"/>
      <c r="MFF82" s="570"/>
      <c r="MFG82" s="570"/>
      <c r="MFH82" s="570"/>
      <c r="MFI82" s="570"/>
      <c r="MFJ82" s="570"/>
      <c r="MFK82" s="570"/>
      <c r="MFL82" s="570"/>
      <c r="MFM82" s="570"/>
      <c r="MFN82" s="570"/>
      <c r="MFO82" s="570"/>
      <c r="MFP82" s="570"/>
      <c r="MFQ82" s="570"/>
      <c r="MFR82" s="570"/>
      <c r="MFS82" s="570"/>
      <c r="MFT82" s="570"/>
      <c r="MFU82" s="570"/>
      <c r="MFV82" s="570"/>
      <c r="MFW82" s="570"/>
      <c r="MFX82" s="570"/>
      <c r="MFY82" s="570"/>
      <c r="MFZ82" s="570"/>
      <c r="MGA82" s="570"/>
      <c r="MGB82" s="570"/>
      <c r="MGC82" s="570"/>
      <c r="MGD82" s="570"/>
      <c r="MGE82" s="570"/>
      <c r="MGF82" s="570"/>
      <c r="MGG82" s="570"/>
      <c r="MGH82" s="570"/>
      <c r="MGI82" s="570"/>
      <c r="MGJ82" s="570"/>
      <c r="MGK82" s="570"/>
      <c r="MGL82" s="570"/>
      <c r="MGM82" s="570"/>
      <c r="MGN82" s="570"/>
      <c r="MGO82" s="570"/>
      <c r="MGP82" s="570"/>
      <c r="MGQ82" s="570"/>
      <c r="MGR82" s="570"/>
      <c r="MGS82" s="570"/>
      <c r="MGT82" s="570"/>
      <c r="MGU82" s="570"/>
      <c r="MGV82" s="570"/>
      <c r="MGW82" s="570"/>
      <c r="MGX82" s="570"/>
      <c r="MGY82" s="570"/>
      <c r="MGZ82" s="570"/>
      <c r="MHA82" s="570"/>
      <c r="MHB82" s="570"/>
      <c r="MHC82" s="570"/>
      <c r="MHD82" s="570"/>
      <c r="MHE82" s="570"/>
      <c r="MHF82" s="570"/>
      <c r="MHG82" s="570"/>
      <c r="MHH82" s="570"/>
      <c r="MHI82" s="570"/>
      <c r="MHJ82" s="570"/>
      <c r="MHK82" s="570"/>
      <c r="MHL82" s="570"/>
      <c r="MHM82" s="570"/>
      <c r="MHN82" s="570"/>
      <c r="MHO82" s="570"/>
      <c r="MHP82" s="570"/>
      <c r="MHQ82" s="570"/>
      <c r="MHR82" s="570"/>
      <c r="MHS82" s="570"/>
      <c r="MHT82" s="570"/>
      <c r="MHU82" s="570"/>
      <c r="MHV82" s="570"/>
      <c r="MHW82" s="570"/>
      <c r="MHX82" s="570"/>
      <c r="MHY82" s="570"/>
      <c r="MHZ82" s="570"/>
      <c r="MIA82" s="570"/>
      <c r="MIB82" s="570"/>
      <c r="MIC82" s="570"/>
      <c r="MID82" s="570"/>
      <c r="MIE82" s="570"/>
      <c r="MIF82" s="570"/>
      <c r="MIG82" s="570"/>
      <c r="MIH82" s="570"/>
      <c r="MII82" s="570"/>
      <c r="MIJ82" s="570"/>
      <c r="MIK82" s="570"/>
      <c r="MIL82" s="570"/>
      <c r="MIM82" s="570"/>
      <c r="MIN82" s="570"/>
      <c r="MIO82" s="570"/>
      <c r="MIP82" s="570"/>
      <c r="MIQ82" s="570"/>
      <c r="MIR82" s="570"/>
      <c r="MIS82" s="570"/>
      <c r="MIT82" s="570"/>
      <c r="MIU82" s="570"/>
      <c r="MIV82" s="570"/>
      <c r="MIW82" s="570"/>
      <c r="MIX82" s="570"/>
      <c r="MIY82" s="570"/>
      <c r="MIZ82" s="570"/>
      <c r="MJA82" s="570"/>
      <c r="MJB82" s="570"/>
      <c r="MJC82" s="570"/>
      <c r="MJD82" s="570"/>
      <c r="MJE82" s="570"/>
      <c r="MJF82" s="570"/>
      <c r="MJG82" s="570"/>
      <c r="MJH82" s="570"/>
      <c r="MJI82" s="570"/>
      <c r="MJJ82" s="570"/>
      <c r="MJK82" s="570"/>
      <c r="MJL82" s="570"/>
      <c r="MJM82" s="570"/>
      <c r="MJN82" s="570"/>
      <c r="MJO82" s="570"/>
      <c r="MJP82" s="570"/>
      <c r="MJQ82" s="570"/>
      <c r="MJR82" s="570"/>
      <c r="MJS82" s="570"/>
      <c r="MJT82" s="570"/>
      <c r="MJU82" s="570"/>
      <c r="MJV82" s="570"/>
      <c r="MJW82" s="570"/>
      <c r="MJX82" s="570"/>
      <c r="MJY82" s="570"/>
      <c r="MJZ82" s="570"/>
      <c r="MKA82" s="570"/>
      <c r="MKB82" s="570"/>
      <c r="MKC82" s="570"/>
      <c r="MKD82" s="570"/>
      <c r="MKE82" s="570"/>
      <c r="MKF82" s="570"/>
      <c r="MKG82" s="570"/>
      <c r="MKH82" s="570"/>
      <c r="MKI82" s="570"/>
      <c r="MKJ82" s="570"/>
      <c r="MKK82" s="570"/>
      <c r="MKL82" s="570"/>
      <c r="MKM82" s="570"/>
      <c r="MKN82" s="570"/>
      <c r="MKO82" s="570"/>
      <c r="MKP82" s="570"/>
      <c r="MKQ82" s="570"/>
      <c r="MKR82" s="570"/>
      <c r="MKS82" s="570"/>
      <c r="MKT82" s="570"/>
      <c r="MKU82" s="570"/>
      <c r="MKV82" s="570"/>
      <c r="MKW82" s="570"/>
      <c r="MKX82" s="570"/>
      <c r="MKY82" s="570"/>
      <c r="MKZ82" s="570"/>
      <c r="MLA82" s="570"/>
      <c r="MLB82" s="570"/>
      <c r="MLC82" s="570"/>
      <c r="MLD82" s="570"/>
      <c r="MLE82" s="570"/>
      <c r="MLF82" s="570"/>
      <c r="MLG82" s="570"/>
      <c r="MLH82" s="570"/>
      <c r="MLI82" s="570"/>
      <c r="MLJ82" s="570"/>
      <c r="MLK82" s="570"/>
      <c r="MLL82" s="570"/>
      <c r="MLM82" s="570"/>
      <c r="MLN82" s="570"/>
      <c r="MLO82" s="570"/>
      <c r="MLP82" s="570"/>
      <c r="MLQ82" s="570"/>
      <c r="MLR82" s="570"/>
      <c r="MLS82" s="570"/>
      <c r="MLT82" s="570"/>
      <c r="MLU82" s="570"/>
      <c r="MLV82" s="570"/>
      <c r="MLW82" s="570"/>
      <c r="MLX82" s="570"/>
      <c r="MLY82" s="570"/>
      <c r="MLZ82" s="570"/>
      <c r="MMA82" s="570"/>
      <c r="MMB82" s="570"/>
      <c r="MMC82" s="570"/>
      <c r="MMD82" s="570"/>
      <c r="MME82" s="570"/>
      <c r="MMF82" s="570"/>
      <c r="MMG82" s="570"/>
      <c r="MMH82" s="570"/>
      <c r="MMI82" s="570"/>
      <c r="MMJ82" s="570"/>
      <c r="MMK82" s="570"/>
      <c r="MML82" s="570"/>
      <c r="MMM82" s="570"/>
      <c r="MMN82" s="570"/>
      <c r="MMO82" s="570"/>
      <c r="MMP82" s="570"/>
      <c r="MMQ82" s="570"/>
      <c r="MMR82" s="570"/>
      <c r="MMS82" s="570"/>
      <c r="MMT82" s="570"/>
      <c r="MMU82" s="570"/>
      <c r="MMV82" s="570"/>
      <c r="MMW82" s="570"/>
      <c r="MMX82" s="570"/>
      <c r="MMY82" s="570"/>
      <c r="MMZ82" s="570"/>
      <c r="MNA82" s="570"/>
      <c r="MNB82" s="570"/>
      <c r="MNC82" s="570"/>
      <c r="MND82" s="570"/>
      <c r="MNE82" s="570"/>
      <c r="MNF82" s="570"/>
      <c r="MNG82" s="570"/>
      <c r="MNH82" s="570"/>
      <c r="MNI82" s="570"/>
      <c r="MNJ82" s="570"/>
      <c r="MNK82" s="570"/>
      <c r="MNL82" s="570"/>
      <c r="MNM82" s="570"/>
      <c r="MNN82" s="570"/>
      <c r="MNO82" s="570"/>
      <c r="MNP82" s="570"/>
      <c r="MNQ82" s="570"/>
      <c r="MNR82" s="570"/>
      <c r="MNS82" s="570"/>
      <c r="MNT82" s="570"/>
      <c r="MNU82" s="570"/>
      <c r="MNV82" s="570"/>
      <c r="MNW82" s="570"/>
      <c r="MNX82" s="570"/>
      <c r="MNY82" s="570"/>
      <c r="MNZ82" s="570"/>
      <c r="MOA82" s="570"/>
      <c r="MOB82" s="570"/>
      <c r="MOC82" s="570"/>
      <c r="MOD82" s="570"/>
      <c r="MOE82" s="570"/>
      <c r="MOF82" s="570"/>
      <c r="MOG82" s="570"/>
      <c r="MOH82" s="570"/>
      <c r="MOI82" s="570"/>
      <c r="MOJ82" s="570"/>
      <c r="MOK82" s="570"/>
      <c r="MOL82" s="570"/>
      <c r="MOM82" s="570"/>
      <c r="MON82" s="570"/>
      <c r="MOO82" s="570"/>
      <c r="MOP82" s="570"/>
      <c r="MOQ82" s="570"/>
      <c r="MOR82" s="570"/>
      <c r="MOS82" s="570"/>
      <c r="MOT82" s="570"/>
      <c r="MOU82" s="570"/>
      <c r="MOV82" s="570"/>
      <c r="MOW82" s="570"/>
      <c r="MOX82" s="570"/>
      <c r="MOY82" s="570"/>
      <c r="MOZ82" s="570"/>
      <c r="MPA82" s="570"/>
      <c r="MPB82" s="570"/>
      <c r="MPC82" s="570"/>
      <c r="MPD82" s="570"/>
      <c r="MPE82" s="570"/>
      <c r="MPF82" s="570"/>
      <c r="MPG82" s="570"/>
      <c r="MPH82" s="570"/>
      <c r="MPI82" s="570"/>
      <c r="MPJ82" s="570"/>
      <c r="MPK82" s="570"/>
      <c r="MPL82" s="570"/>
      <c r="MPM82" s="570"/>
      <c r="MPN82" s="570"/>
      <c r="MPO82" s="570"/>
      <c r="MPP82" s="570"/>
      <c r="MPQ82" s="570"/>
      <c r="MPR82" s="570"/>
      <c r="MPS82" s="570"/>
      <c r="MPT82" s="570"/>
      <c r="MPU82" s="570"/>
      <c r="MPV82" s="570"/>
      <c r="MPW82" s="570"/>
      <c r="MPX82" s="570"/>
      <c r="MPY82" s="570"/>
      <c r="MPZ82" s="570"/>
      <c r="MQA82" s="570"/>
      <c r="MQB82" s="570"/>
      <c r="MQC82" s="570"/>
      <c r="MQD82" s="570"/>
      <c r="MQE82" s="570"/>
      <c r="MQF82" s="570"/>
      <c r="MQG82" s="570"/>
      <c r="MQH82" s="570"/>
      <c r="MQI82" s="570"/>
      <c r="MQJ82" s="570"/>
      <c r="MQK82" s="570"/>
      <c r="MQL82" s="570"/>
      <c r="MQM82" s="570"/>
      <c r="MQN82" s="570"/>
      <c r="MQO82" s="570"/>
      <c r="MQP82" s="570"/>
      <c r="MQQ82" s="570"/>
      <c r="MQR82" s="570"/>
      <c r="MQS82" s="570"/>
      <c r="MQT82" s="570"/>
      <c r="MQU82" s="570"/>
      <c r="MQV82" s="570"/>
      <c r="MQW82" s="570"/>
      <c r="MQX82" s="570"/>
      <c r="MQY82" s="570"/>
      <c r="MQZ82" s="570"/>
      <c r="MRA82" s="570"/>
      <c r="MRB82" s="570"/>
      <c r="MRC82" s="570"/>
      <c r="MRD82" s="570"/>
      <c r="MRE82" s="570"/>
      <c r="MRF82" s="570"/>
      <c r="MRG82" s="570"/>
      <c r="MRH82" s="570"/>
      <c r="MRI82" s="570"/>
      <c r="MRJ82" s="570"/>
      <c r="MRK82" s="570"/>
      <c r="MRL82" s="570"/>
      <c r="MRM82" s="570"/>
      <c r="MRN82" s="570"/>
      <c r="MRO82" s="570"/>
      <c r="MRP82" s="570"/>
      <c r="MRQ82" s="570"/>
      <c r="MRR82" s="570"/>
      <c r="MRS82" s="570"/>
      <c r="MRT82" s="570"/>
      <c r="MRU82" s="570"/>
      <c r="MRV82" s="570"/>
      <c r="MRW82" s="570"/>
      <c r="MRX82" s="570"/>
      <c r="MRY82" s="570"/>
      <c r="MRZ82" s="570"/>
      <c r="MSA82" s="570"/>
      <c r="MSB82" s="570"/>
      <c r="MSC82" s="570"/>
      <c r="MSD82" s="570"/>
      <c r="MSE82" s="570"/>
      <c r="MSF82" s="570"/>
      <c r="MSG82" s="570"/>
      <c r="MSH82" s="570"/>
      <c r="MSI82" s="570"/>
      <c r="MSJ82" s="570"/>
      <c r="MSK82" s="570"/>
      <c r="MSL82" s="570"/>
      <c r="MSM82" s="570"/>
      <c r="MSN82" s="570"/>
      <c r="MSO82" s="570"/>
      <c r="MSP82" s="570"/>
      <c r="MSQ82" s="570"/>
      <c r="MSR82" s="570"/>
      <c r="MSS82" s="570"/>
      <c r="MST82" s="570"/>
      <c r="MSU82" s="570"/>
      <c r="MSV82" s="570"/>
      <c r="MSW82" s="570"/>
      <c r="MSX82" s="570"/>
      <c r="MSY82" s="570"/>
      <c r="MSZ82" s="570"/>
      <c r="MTA82" s="570"/>
      <c r="MTB82" s="570"/>
      <c r="MTC82" s="570"/>
      <c r="MTD82" s="570"/>
      <c r="MTE82" s="570"/>
      <c r="MTF82" s="570"/>
      <c r="MTG82" s="570"/>
      <c r="MTH82" s="570"/>
      <c r="MTI82" s="570"/>
      <c r="MTJ82" s="570"/>
      <c r="MTK82" s="570"/>
      <c r="MTL82" s="570"/>
      <c r="MTM82" s="570"/>
      <c r="MTN82" s="570"/>
      <c r="MTO82" s="570"/>
      <c r="MTP82" s="570"/>
      <c r="MTQ82" s="570"/>
      <c r="MTR82" s="570"/>
      <c r="MTS82" s="570"/>
      <c r="MTT82" s="570"/>
      <c r="MTU82" s="570"/>
      <c r="MTV82" s="570"/>
      <c r="MTW82" s="570"/>
      <c r="MTX82" s="570"/>
      <c r="MTY82" s="570"/>
      <c r="MTZ82" s="570"/>
      <c r="MUA82" s="570"/>
      <c r="MUB82" s="570"/>
      <c r="MUC82" s="570"/>
      <c r="MUD82" s="570"/>
      <c r="MUE82" s="570"/>
      <c r="MUF82" s="570"/>
      <c r="MUG82" s="570"/>
      <c r="MUH82" s="570"/>
      <c r="MUI82" s="570"/>
      <c r="MUJ82" s="570"/>
      <c r="MUK82" s="570"/>
      <c r="MUL82" s="570"/>
      <c r="MUM82" s="570"/>
      <c r="MUN82" s="570"/>
      <c r="MUO82" s="570"/>
      <c r="MUP82" s="570"/>
      <c r="MUQ82" s="570"/>
      <c r="MUR82" s="570"/>
      <c r="MUS82" s="570"/>
      <c r="MUT82" s="570"/>
      <c r="MUU82" s="570"/>
      <c r="MUV82" s="570"/>
      <c r="MUW82" s="570"/>
      <c r="MUX82" s="570"/>
      <c r="MUY82" s="570"/>
      <c r="MUZ82" s="570"/>
      <c r="MVA82" s="570"/>
      <c r="MVB82" s="570"/>
      <c r="MVC82" s="570"/>
      <c r="MVD82" s="570"/>
      <c r="MVE82" s="570"/>
      <c r="MVF82" s="570"/>
      <c r="MVG82" s="570"/>
      <c r="MVH82" s="570"/>
      <c r="MVI82" s="570"/>
      <c r="MVJ82" s="570"/>
      <c r="MVK82" s="570"/>
      <c r="MVL82" s="570"/>
      <c r="MVM82" s="570"/>
      <c r="MVN82" s="570"/>
      <c r="MVO82" s="570"/>
      <c r="MVP82" s="570"/>
      <c r="MVQ82" s="570"/>
      <c r="MVR82" s="570"/>
      <c r="MVS82" s="570"/>
      <c r="MVT82" s="570"/>
      <c r="MVU82" s="570"/>
      <c r="MVV82" s="570"/>
      <c r="MVW82" s="570"/>
      <c r="MVX82" s="570"/>
      <c r="MVY82" s="570"/>
      <c r="MVZ82" s="570"/>
      <c r="MWA82" s="570"/>
      <c r="MWB82" s="570"/>
      <c r="MWC82" s="570"/>
      <c r="MWD82" s="570"/>
      <c r="MWE82" s="570"/>
      <c r="MWF82" s="570"/>
      <c r="MWG82" s="570"/>
      <c r="MWH82" s="570"/>
      <c r="MWI82" s="570"/>
      <c r="MWJ82" s="570"/>
      <c r="MWK82" s="570"/>
      <c r="MWL82" s="570"/>
      <c r="MWM82" s="570"/>
      <c r="MWN82" s="570"/>
      <c r="MWO82" s="570"/>
      <c r="MWP82" s="570"/>
      <c r="MWQ82" s="570"/>
      <c r="MWR82" s="570"/>
      <c r="MWS82" s="570"/>
      <c r="MWT82" s="570"/>
      <c r="MWU82" s="570"/>
      <c r="MWV82" s="570"/>
      <c r="MWW82" s="570"/>
      <c r="MWX82" s="570"/>
      <c r="MWY82" s="570"/>
      <c r="MWZ82" s="570"/>
      <c r="MXA82" s="570"/>
      <c r="MXB82" s="570"/>
      <c r="MXC82" s="570"/>
      <c r="MXD82" s="570"/>
      <c r="MXE82" s="570"/>
      <c r="MXF82" s="570"/>
      <c r="MXG82" s="570"/>
      <c r="MXH82" s="570"/>
      <c r="MXI82" s="570"/>
      <c r="MXJ82" s="570"/>
      <c r="MXK82" s="570"/>
      <c r="MXL82" s="570"/>
      <c r="MXM82" s="570"/>
      <c r="MXN82" s="570"/>
      <c r="MXO82" s="570"/>
      <c r="MXP82" s="570"/>
      <c r="MXQ82" s="570"/>
      <c r="MXR82" s="570"/>
      <c r="MXS82" s="570"/>
      <c r="MXT82" s="570"/>
      <c r="MXU82" s="570"/>
      <c r="MXV82" s="570"/>
      <c r="MXW82" s="570"/>
      <c r="MXX82" s="570"/>
      <c r="MXY82" s="570"/>
      <c r="MXZ82" s="570"/>
      <c r="MYA82" s="570"/>
      <c r="MYB82" s="570"/>
      <c r="MYC82" s="570"/>
      <c r="MYD82" s="570"/>
      <c r="MYE82" s="570"/>
      <c r="MYF82" s="570"/>
      <c r="MYG82" s="570"/>
      <c r="MYH82" s="570"/>
      <c r="MYI82" s="570"/>
      <c r="MYJ82" s="570"/>
      <c r="MYK82" s="570"/>
      <c r="MYL82" s="570"/>
      <c r="MYM82" s="570"/>
      <c r="MYN82" s="570"/>
      <c r="MYO82" s="570"/>
      <c r="MYP82" s="570"/>
      <c r="MYQ82" s="570"/>
      <c r="MYR82" s="570"/>
      <c r="MYS82" s="570"/>
      <c r="MYT82" s="570"/>
      <c r="MYU82" s="570"/>
      <c r="MYV82" s="570"/>
      <c r="MYW82" s="570"/>
      <c r="MYX82" s="570"/>
      <c r="MYY82" s="570"/>
      <c r="MYZ82" s="570"/>
      <c r="MZA82" s="570"/>
      <c r="MZB82" s="570"/>
      <c r="MZC82" s="570"/>
      <c r="MZD82" s="570"/>
      <c r="MZE82" s="570"/>
      <c r="MZF82" s="570"/>
      <c r="MZG82" s="570"/>
      <c r="MZH82" s="570"/>
      <c r="MZI82" s="570"/>
      <c r="MZJ82" s="570"/>
      <c r="MZK82" s="570"/>
      <c r="MZL82" s="570"/>
      <c r="MZM82" s="570"/>
      <c r="MZN82" s="570"/>
      <c r="MZO82" s="570"/>
      <c r="MZP82" s="570"/>
      <c r="MZQ82" s="570"/>
      <c r="MZR82" s="570"/>
      <c r="MZS82" s="570"/>
      <c r="MZT82" s="570"/>
      <c r="MZU82" s="570"/>
      <c r="MZV82" s="570"/>
      <c r="MZW82" s="570"/>
      <c r="MZX82" s="570"/>
      <c r="MZY82" s="570"/>
      <c r="MZZ82" s="570"/>
      <c r="NAA82" s="570"/>
      <c r="NAB82" s="570"/>
      <c r="NAC82" s="570"/>
      <c r="NAD82" s="570"/>
      <c r="NAE82" s="570"/>
      <c r="NAF82" s="570"/>
      <c r="NAG82" s="570"/>
      <c r="NAH82" s="570"/>
      <c r="NAI82" s="570"/>
      <c r="NAJ82" s="570"/>
      <c r="NAK82" s="570"/>
      <c r="NAL82" s="570"/>
      <c r="NAM82" s="570"/>
      <c r="NAN82" s="570"/>
      <c r="NAO82" s="570"/>
      <c r="NAP82" s="570"/>
      <c r="NAQ82" s="570"/>
      <c r="NAR82" s="570"/>
      <c r="NAS82" s="570"/>
      <c r="NAT82" s="570"/>
      <c r="NAU82" s="570"/>
      <c r="NAV82" s="570"/>
      <c r="NAW82" s="570"/>
      <c r="NAX82" s="570"/>
      <c r="NAY82" s="570"/>
      <c r="NAZ82" s="570"/>
      <c r="NBA82" s="570"/>
      <c r="NBB82" s="570"/>
      <c r="NBC82" s="570"/>
      <c r="NBD82" s="570"/>
      <c r="NBE82" s="570"/>
      <c r="NBF82" s="570"/>
      <c r="NBG82" s="570"/>
      <c r="NBH82" s="570"/>
      <c r="NBI82" s="570"/>
      <c r="NBJ82" s="570"/>
      <c r="NBK82" s="570"/>
      <c r="NBL82" s="570"/>
      <c r="NBM82" s="570"/>
      <c r="NBN82" s="570"/>
      <c r="NBO82" s="570"/>
      <c r="NBP82" s="570"/>
      <c r="NBQ82" s="570"/>
      <c r="NBR82" s="570"/>
      <c r="NBS82" s="570"/>
      <c r="NBT82" s="570"/>
      <c r="NBU82" s="570"/>
      <c r="NBV82" s="570"/>
      <c r="NBW82" s="570"/>
      <c r="NBX82" s="570"/>
      <c r="NBY82" s="570"/>
      <c r="NBZ82" s="570"/>
      <c r="NCA82" s="570"/>
      <c r="NCB82" s="570"/>
      <c r="NCC82" s="570"/>
      <c r="NCD82" s="570"/>
      <c r="NCE82" s="570"/>
      <c r="NCF82" s="570"/>
      <c r="NCG82" s="570"/>
      <c r="NCH82" s="570"/>
      <c r="NCI82" s="570"/>
      <c r="NCJ82" s="570"/>
      <c r="NCK82" s="570"/>
      <c r="NCL82" s="570"/>
      <c r="NCM82" s="570"/>
      <c r="NCN82" s="570"/>
      <c r="NCO82" s="570"/>
      <c r="NCP82" s="570"/>
      <c r="NCQ82" s="570"/>
      <c r="NCR82" s="570"/>
      <c r="NCS82" s="570"/>
      <c r="NCT82" s="570"/>
      <c r="NCU82" s="570"/>
      <c r="NCV82" s="570"/>
      <c r="NCW82" s="570"/>
      <c r="NCX82" s="570"/>
      <c r="NCY82" s="570"/>
      <c r="NCZ82" s="570"/>
      <c r="NDA82" s="570"/>
      <c r="NDB82" s="570"/>
      <c r="NDC82" s="570"/>
      <c r="NDD82" s="570"/>
      <c r="NDE82" s="570"/>
      <c r="NDF82" s="570"/>
      <c r="NDG82" s="570"/>
      <c r="NDH82" s="570"/>
      <c r="NDI82" s="570"/>
      <c r="NDJ82" s="570"/>
      <c r="NDK82" s="570"/>
      <c r="NDL82" s="570"/>
      <c r="NDM82" s="570"/>
      <c r="NDN82" s="570"/>
      <c r="NDO82" s="570"/>
      <c r="NDP82" s="570"/>
      <c r="NDQ82" s="570"/>
      <c r="NDR82" s="570"/>
      <c r="NDS82" s="570"/>
      <c r="NDT82" s="570"/>
      <c r="NDU82" s="570"/>
      <c r="NDV82" s="570"/>
      <c r="NDW82" s="570"/>
      <c r="NDX82" s="570"/>
      <c r="NDY82" s="570"/>
      <c r="NDZ82" s="570"/>
      <c r="NEA82" s="570"/>
      <c r="NEB82" s="570"/>
      <c r="NEC82" s="570"/>
      <c r="NED82" s="570"/>
      <c r="NEE82" s="570"/>
      <c r="NEF82" s="570"/>
      <c r="NEG82" s="570"/>
      <c r="NEH82" s="570"/>
      <c r="NEI82" s="570"/>
      <c r="NEJ82" s="570"/>
      <c r="NEK82" s="570"/>
      <c r="NEL82" s="570"/>
      <c r="NEM82" s="570"/>
      <c r="NEN82" s="570"/>
      <c r="NEO82" s="570"/>
      <c r="NEP82" s="570"/>
      <c r="NEQ82" s="570"/>
      <c r="NER82" s="570"/>
      <c r="NES82" s="570"/>
      <c r="NET82" s="570"/>
      <c r="NEU82" s="570"/>
      <c r="NEV82" s="570"/>
      <c r="NEW82" s="570"/>
      <c r="NEX82" s="570"/>
      <c r="NEY82" s="570"/>
      <c r="NEZ82" s="570"/>
      <c r="NFA82" s="570"/>
      <c r="NFB82" s="570"/>
      <c r="NFC82" s="570"/>
      <c r="NFD82" s="570"/>
      <c r="NFE82" s="570"/>
      <c r="NFF82" s="570"/>
      <c r="NFG82" s="570"/>
      <c r="NFH82" s="570"/>
      <c r="NFI82" s="570"/>
      <c r="NFJ82" s="570"/>
      <c r="NFK82" s="570"/>
      <c r="NFL82" s="570"/>
      <c r="NFM82" s="570"/>
      <c r="NFN82" s="570"/>
      <c r="NFO82" s="570"/>
      <c r="NFP82" s="570"/>
      <c r="NFQ82" s="570"/>
      <c r="NFR82" s="570"/>
      <c r="NFS82" s="570"/>
      <c r="NFT82" s="570"/>
      <c r="NFU82" s="570"/>
      <c r="NFV82" s="570"/>
      <c r="NFW82" s="570"/>
      <c r="NFX82" s="570"/>
      <c r="NFY82" s="570"/>
      <c r="NFZ82" s="570"/>
      <c r="NGA82" s="570"/>
      <c r="NGB82" s="570"/>
      <c r="NGC82" s="570"/>
      <c r="NGD82" s="570"/>
      <c r="NGE82" s="570"/>
      <c r="NGF82" s="570"/>
      <c r="NGG82" s="570"/>
      <c r="NGH82" s="570"/>
      <c r="NGI82" s="570"/>
      <c r="NGJ82" s="570"/>
      <c r="NGK82" s="570"/>
      <c r="NGL82" s="570"/>
      <c r="NGM82" s="570"/>
      <c r="NGN82" s="570"/>
      <c r="NGO82" s="570"/>
      <c r="NGP82" s="570"/>
      <c r="NGQ82" s="570"/>
      <c r="NGR82" s="570"/>
      <c r="NGS82" s="570"/>
      <c r="NGT82" s="570"/>
      <c r="NGU82" s="570"/>
      <c r="NGV82" s="570"/>
      <c r="NGW82" s="570"/>
      <c r="NGX82" s="570"/>
      <c r="NGY82" s="570"/>
      <c r="NGZ82" s="570"/>
      <c r="NHA82" s="570"/>
      <c r="NHB82" s="570"/>
      <c r="NHC82" s="570"/>
      <c r="NHD82" s="570"/>
      <c r="NHE82" s="570"/>
      <c r="NHF82" s="570"/>
      <c r="NHG82" s="570"/>
      <c r="NHH82" s="570"/>
      <c r="NHI82" s="570"/>
      <c r="NHJ82" s="570"/>
      <c r="NHK82" s="570"/>
      <c r="NHL82" s="570"/>
      <c r="NHM82" s="570"/>
      <c r="NHN82" s="570"/>
      <c r="NHO82" s="570"/>
      <c r="NHP82" s="570"/>
      <c r="NHQ82" s="570"/>
      <c r="NHR82" s="570"/>
      <c r="NHS82" s="570"/>
      <c r="NHT82" s="570"/>
      <c r="NHU82" s="570"/>
      <c r="NHV82" s="570"/>
      <c r="NHW82" s="570"/>
      <c r="NHX82" s="570"/>
      <c r="NHY82" s="570"/>
      <c r="NHZ82" s="570"/>
      <c r="NIA82" s="570"/>
      <c r="NIB82" s="570"/>
      <c r="NIC82" s="570"/>
      <c r="NID82" s="570"/>
      <c r="NIE82" s="570"/>
      <c r="NIF82" s="570"/>
      <c r="NIG82" s="570"/>
      <c r="NIH82" s="570"/>
      <c r="NII82" s="570"/>
      <c r="NIJ82" s="570"/>
      <c r="NIK82" s="570"/>
      <c r="NIL82" s="570"/>
      <c r="NIM82" s="570"/>
      <c r="NIN82" s="570"/>
      <c r="NIO82" s="570"/>
      <c r="NIP82" s="570"/>
      <c r="NIQ82" s="570"/>
      <c r="NIR82" s="570"/>
      <c r="NIS82" s="570"/>
      <c r="NIT82" s="570"/>
      <c r="NIU82" s="570"/>
      <c r="NIV82" s="570"/>
      <c r="NIW82" s="570"/>
      <c r="NIX82" s="570"/>
      <c r="NIY82" s="570"/>
      <c r="NIZ82" s="570"/>
      <c r="NJA82" s="570"/>
      <c r="NJB82" s="570"/>
      <c r="NJC82" s="570"/>
      <c r="NJD82" s="570"/>
      <c r="NJE82" s="570"/>
      <c r="NJF82" s="570"/>
      <c r="NJG82" s="570"/>
      <c r="NJH82" s="570"/>
      <c r="NJI82" s="570"/>
      <c r="NJJ82" s="570"/>
      <c r="NJK82" s="570"/>
      <c r="NJL82" s="570"/>
      <c r="NJM82" s="570"/>
      <c r="NJN82" s="570"/>
      <c r="NJO82" s="570"/>
      <c r="NJP82" s="570"/>
      <c r="NJQ82" s="570"/>
      <c r="NJR82" s="570"/>
      <c r="NJS82" s="570"/>
      <c r="NJT82" s="570"/>
      <c r="NJU82" s="570"/>
      <c r="NJV82" s="570"/>
      <c r="NJW82" s="570"/>
      <c r="NJX82" s="570"/>
      <c r="NJY82" s="570"/>
      <c r="NJZ82" s="570"/>
      <c r="NKA82" s="570"/>
      <c r="NKB82" s="570"/>
      <c r="NKC82" s="570"/>
      <c r="NKD82" s="570"/>
      <c r="NKE82" s="570"/>
      <c r="NKF82" s="570"/>
      <c r="NKG82" s="570"/>
      <c r="NKH82" s="570"/>
      <c r="NKI82" s="570"/>
      <c r="NKJ82" s="570"/>
      <c r="NKK82" s="570"/>
      <c r="NKL82" s="570"/>
      <c r="NKM82" s="570"/>
      <c r="NKN82" s="570"/>
      <c r="NKO82" s="570"/>
      <c r="NKP82" s="570"/>
      <c r="NKQ82" s="570"/>
      <c r="NKR82" s="570"/>
      <c r="NKS82" s="570"/>
      <c r="NKT82" s="570"/>
      <c r="NKU82" s="570"/>
      <c r="NKV82" s="570"/>
      <c r="NKW82" s="570"/>
      <c r="NKX82" s="570"/>
      <c r="NKY82" s="570"/>
      <c r="NKZ82" s="570"/>
      <c r="NLA82" s="570"/>
      <c r="NLB82" s="570"/>
      <c r="NLC82" s="570"/>
      <c r="NLD82" s="570"/>
      <c r="NLE82" s="570"/>
      <c r="NLF82" s="570"/>
      <c r="NLG82" s="570"/>
      <c r="NLH82" s="570"/>
      <c r="NLI82" s="570"/>
      <c r="NLJ82" s="570"/>
      <c r="NLK82" s="570"/>
      <c r="NLL82" s="570"/>
      <c r="NLM82" s="570"/>
      <c r="NLN82" s="570"/>
      <c r="NLO82" s="570"/>
      <c r="NLP82" s="570"/>
      <c r="NLQ82" s="570"/>
      <c r="NLR82" s="570"/>
      <c r="NLS82" s="570"/>
      <c r="NLT82" s="570"/>
      <c r="NLU82" s="570"/>
      <c r="NLV82" s="570"/>
      <c r="NLW82" s="570"/>
      <c r="NLX82" s="570"/>
      <c r="NLY82" s="570"/>
      <c r="NLZ82" s="570"/>
      <c r="NMA82" s="570"/>
      <c r="NMB82" s="570"/>
      <c r="NMC82" s="570"/>
      <c r="NMD82" s="570"/>
      <c r="NME82" s="570"/>
      <c r="NMF82" s="570"/>
      <c r="NMG82" s="570"/>
      <c r="NMH82" s="570"/>
      <c r="NMI82" s="570"/>
      <c r="NMJ82" s="570"/>
      <c r="NMK82" s="570"/>
      <c r="NML82" s="570"/>
      <c r="NMM82" s="570"/>
      <c r="NMN82" s="570"/>
      <c r="NMO82" s="570"/>
      <c r="NMP82" s="570"/>
      <c r="NMQ82" s="570"/>
      <c r="NMR82" s="570"/>
      <c r="NMS82" s="570"/>
      <c r="NMT82" s="570"/>
      <c r="NMU82" s="570"/>
      <c r="NMV82" s="570"/>
      <c r="NMW82" s="570"/>
      <c r="NMX82" s="570"/>
      <c r="NMY82" s="570"/>
      <c r="NMZ82" s="570"/>
      <c r="NNA82" s="570"/>
      <c r="NNB82" s="570"/>
      <c r="NNC82" s="570"/>
      <c r="NND82" s="570"/>
      <c r="NNE82" s="570"/>
      <c r="NNF82" s="570"/>
      <c r="NNG82" s="570"/>
      <c r="NNH82" s="570"/>
      <c r="NNI82" s="570"/>
      <c r="NNJ82" s="570"/>
      <c r="NNK82" s="570"/>
      <c r="NNL82" s="570"/>
      <c r="NNM82" s="570"/>
      <c r="NNN82" s="570"/>
      <c r="NNO82" s="570"/>
      <c r="NNP82" s="570"/>
      <c r="NNQ82" s="570"/>
      <c r="NNR82" s="570"/>
      <c r="NNS82" s="570"/>
      <c r="NNT82" s="570"/>
      <c r="NNU82" s="570"/>
      <c r="NNV82" s="570"/>
      <c r="NNW82" s="570"/>
      <c r="NNX82" s="570"/>
      <c r="NNY82" s="570"/>
      <c r="NNZ82" s="570"/>
      <c r="NOA82" s="570"/>
      <c r="NOB82" s="570"/>
      <c r="NOC82" s="570"/>
      <c r="NOD82" s="570"/>
      <c r="NOE82" s="570"/>
      <c r="NOF82" s="570"/>
      <c r="NOG82" s="570"/>
      <c r="NOH82" s="570"/>
      <c r="NOI82" s="570"/>
      <c r="NOJ82" s="570"/>
      <c r="NOK82" s="570"/>
      <c r="NOL82" s="570"/>
      <c r="NOM82" s="570"/>
      <c r="NON82" s="570"/>
      <c r="NOO82" s="570"/>
      <c r="NOP82" s="570"/>
      <c r="NOQ82" s="570"/>
      <c r="NOR82" s="570"/>
      <c r="NOS82" s="570"/>
      <c r="NOT82" s="570"/>
      <c r="NOU82" s="570"/>
      <c r="NOV82" s="570"/>
      <c r="NOW82" s="570"/>
      <c r="NOX82" s="570"/>
      <c r="NOY82" s="570"/>
      <c r="NOZ82" s="570"/>
      <c r="NPA82" s="570"/>
      <c r="NPB82" s="570"/>
      <c r="NPC82" s="570"/>
      <c r="NPD82" s="570"/>
      <c r="NPE82" s="570"/>
      <c r="NPF82" s="570"/>
      <c r="NPG82" s="570"/>
      <c r="NPH82" s="570"/>
      <c r="NPI82" s="570"/>
      <c r="NPJ82" s="570"/>
      <c r="NPK82" s="570"/>
      <c r="NPL82" s="570"/>
      <c r="NPM82" s="570"/>
      <c r="NPN82" s="570"/>
      <c r="NPO82" s="570"/>
      <c r="NPP82" s="570"/>
      <c r="NPQ82" s="570"/>
      <c r="NPR82" s="570"/>
      <c r="NPS82" s="570"/>
      <c r="NPT82" s="570"/>
      <c r="NPU82" s="570"/>
      <c r="NPV82" s="570"/>
      <c r="NPW82" s="570"/>
      <c r="NPX82" s="570"/>
      <c r="NPY82" s="570"/>
      <c r="NPZ82" s="570"/>
      <c r="NQA82" s="570"/>
      <c r="NQB82" s="570"/>
      <c r="NQC82" s="570"/>
      <c r="NQD82" s="570"/>
      <c r="NQE82" s="570"/>
      <c r="NQF82" s="570"/>
      <c r="NQG82" s="570"/>
      <c r="NQH82" s="570"/>
      <c r="NQI82" s="570"/>
      <c r="NQJ82" s="570"/>
      <c r="NQK82" s="570"/>
      <c r="NQL82" s="570"/>
      <c r="NQM82" s="570"/>
      <c r="NQN82" s="570"/>
      <c r="NQO82" s="570"/>
      <c r="NQP82" s="570"/>
      <c r="NQQ82" s="570"/>
      <c r="NQR82" s="570"/>
      <c r="NQS82" s="570"/>
      <c r="NQT82" s="570"/>
      <c r="NQU82" s="570"/>
      <c r="NQV82" s="570"/>
      <c r="NQW82" s="570"/>
      <c r="NQX82" s="570"/>
      <c r="NQY82" s="570"/>
      <c r="NQZ82" s="570"/>
      <c r="NRA82" s="570"/>
      <c r="NRB82" s="570"/>
      <c r="NRC82" s="570"/>
      <c r="NRD82" s="570"/>
      <c r="NRE82" s="570"/>
      <c r="NRF82" s="570"/>
      <c r="NRG82" s="570"/>
      <c r="NRH82" s="570"/>
      <c r="NRI82" s="570"/>
      <c r="NRJ82" s="570"/>
      <c r="NRK82" s="570"/>
      <c r="NRL82" s="570"/>
      <c r="NRM82" s="570"/>
      <c r="NRN82" s="570"/>
      <c r="NRO82" s="570"/>
      <c r="NRP82" s="570"/>
      <c r="NRQ82" s="570"/>
      <c r="NRR82" s="570"/>
      <c r="NRS82" s="570"/>
      <c r="NRT82" s="570"/>
      <c r="NRU82" s="570"/>
      <c r="NRV82" s="570"/>
      <c r="NRW82" s="570"/>
      <c r="NRX82" s="570"/>
      <c r="NRY82" s="570"/>
      <c r="NRZ82" s="570"/>
      <c r="NSA82" s="570"/>
      <c r="NSB82" s="570"/>
      <c r="NSC82" s="570"/>
      <c r="NSD82" s="570"/>
      <c r="NSE82" s="570"/>
      <c r="NSF82" s="570"/>
      <c r="NSG82" s="570"/>
      <c r="NSH82" s="570"/>
      <c r="NSI82" s="570"/>
      <c r="NSJ82" s="570"/>
      <c r="NSK82" s="570"/>
      <c r="NSL82" s="570"/>
      <c r="NSM82" s="570"/>
      <c r="NSN82" s="570"/>
      <c r="NSO82" s="570"/>
      <c r="NSP82" s="570"/>
      <c r="NSQ82" s="570"/>
      <c r="NSR82" s="570"/>
      <c r="NSS82" s="570"/>
      <c r="NST82" s="570"/>
      <c r="NSU82" s="570"/>
      <c r="NSV82" s="570"/>
      <c r="NSW82" s="570"/>
      <c r="NSX82" s="570"/>
      <c r="NSY82" s="570"/>
      <c r="NSZ82" s="570"/>
      <c r="NTA82" s="570"/>
      <c r="NTB82" s="570"/>
      <c r="NTC82" s="570"/>
      <c r="NTD82" s="570"/>
      <c r="NTE82" s="570"/>
      <c r="NTF82" s="570"/>
      <c r="NTG82" s="570"/>
      <c r="NTH82" s="570"/>
      <c r="NTI82" s="570"/>
      <c r="NTJ82" s="570"/>
      <c r="NTK82" s="570"/>
      <c r="NTL82" s="570"/>
      <c r="NTM82" s="570"/>
      <c r="NTN82" s="570"/>
      <c r="NTO82" s="570"/>
      <c r="NTP82" s="570"/>
      <c r="NTQ82" s="570"/>
      <c r="NTR82" s="570"/>
      <c r="NTS82" s="570"/>
      <c r="NTT82" s="570"/>
      <c r="NTU82" s="570"/>
      <c r="NTV82" s="570"/>
      <c r="NTW82" s="570"/>
      <c r="NTX82" s="570"/>
      <c r="NTY82" s="570"/>
      <c r="NTZ82" s="570"/>
      <c r="NUA82" s="570"/>
      <c r="NUB82" s="570"/>
      <c r="NUC82" s="570"/>
      <c r="NUD82" s="570"/>
      <c r="NUE82" s="570"/>
      <c r="NUF82" s="570"/>
      <c r="NUG82" s="570"/>
      <c r="NUH82" s="570"/>
      <c r="NUI82" s="570"/>
      <c r="NUJ82" s="570"/>
      <c r="NUK82" s="570"/>
      <c r="NUL82" s="570"/>
      <c r="NUM82" s="570"/>
      <c r="NUN82" s="570"/>
      <c r="NUO82" s="570"/>
      <c r="NUP82" s="570"/>
      <c r="NUQ82" s="570"/>
      <c r="NUR82" s="570"/>
      <c r="NUS82" s="570"/>
      <c r="NUT82" s="570"/>
      <c r="NUU82" s="570"/>
      <c r="NUV82" s="570"/>
      <c r="NUW82" s="570"/>
      <c r="NUX82" s="570"/>
      <c r="NUY82" s="570"/>
      <c r="NUZ82" s="570"/>
      <c r="NVA82" s="570"/>
      <c r="NVB82" s="570"/>
      <c r="NVC82" s="570"/>
      <c r="NVD82" s="570"/>
      <c r="NVE82" s="570"/>
      <c r="NVF82" s="570"/>
      <c r="NVG82" s="570"/>
      <c r="NVH82" s="570"/>
      <c r="NVI82" s="570"/>
      <c r="NVJ82" s="570"/>
      <c r="NVK82" s="570"/>
      <c r="NVL82" s="570"/>
      <c r="NVM82" s="570"/>
      <c r="NVN82" s="570"/>
      <c r="NVO82" s="570"/>
      <c r="NVP82" s="570"/>
      <c r="NVQ82" s="570"/>
      <c r="NVR82" s="570"/>
      <c r="NVS82" s="570"/>
      <c r="NVT82" s="570"/>
      <c r="NVU82" s="570"/>
      <c r="NVV82" s="570"/>
      <c r="NVW82" s="570"/>
      <c r="NVX82" s="570"/>
      <c r="NVY82" s="570"/>
      <c r="NVZ82" s="570"/>
      <c r="NWA82" s="570"/>
      <c r="NWB82" s="570"/>
      <c r="NWC82" s="570"/>
      <c r="NWD82" s="570"/>
      <c r="NWE82" s="570"/>
      <c r="NWF82" s="570"/>
      <c r="NWG82" s="570"/>
      <c r="NWH82" s="570"/>
      <c r="NWI82" s="570"/>
      <c r="NWJ82" s="570"/>
      <c r="NWK82" s="570"/>
      <c r="NWL82" s="570"/>
      <c r="NWM82" s="570"/>
      <c r="NWN82" s="570"/>
      <c r="NWO82" s="570"/>
      <c r="NWP82" s="570"/>
      <c r="NWQ82" s="570"/>
      <c r="NWR82" s="570"/>
      <c r="NWS82" s="570"/>
      <c r="NWT82" s="570"/>
      <c r="NWU82" s="570"/>
      <c r="NWV82" s="570"/>
      <c r="NWW82" s="570"/>
      <c r="NWX82" s="570"/>
      <c r="NWY82" s="570"/>
      <c r="NWZ82" s="570"/>
      <c r="NXA82" s="570"/>
      <c r="NXB82" s="570"/>
      <c r="NXC82" s="570"/>
      <c r="NXD82" s="570"/>
      <c r="NXE82" s="570"/>
      <c r="NXF82" s="570"/>
      <c r="NXG82" s="570"/>
      <c r="NXH82" s="570"/>
      <c r="NXI82" s="570"/>
      <c r="NXJ82" s="570"/>
      <c r="NXK82" s="570"/>
      <c r="NXL82" s="570"/>
      <c r="NXM82" s="570"/>
      <c r="NXN82" s="570"/>
      <c r="NXO82" s="570"/>
      <c r="NXP82" s="570"/>
      <c r="NXQ82" s="570"/>
      <c r="NXR82" s="570"/>
      <c r="NXS82" s="570"/>
      <c r="NXT82" s="570"/>
      <c r="NXU82" s="570"/>
      <c r="NXV82" s="570"/>
      <c r="NXW82" s="570"/>
      <c r="NXX82" s="570"/>
      <c r="NXY82" s="570"/>
      <c r="NXZ82" s="570"/>
      <c r="NYA82" s="570"/>
      <c r="NYB82" s="570"/>
      <c r="NYC82" s="570"/>
      <c r="NYD82" s="570"/>
      <c r="NYE82" s="570"/>
      <c r="NYF82" s="570"/>
      <c r="NYG82" s="570"/>
      <c r="NYH82" s="570"/>
      <c r="NYI82" s="570"/>
      <c r="NYJ82" s="570"/>
      <c r="NYK82" s="570"/>
      <c r="NYL82" s="570"/>
      <c r="NYM82" s="570"/>
      <c r="NYN82" s="570"/>
      <c r="NYO82" s="570"/>
      <c r="NYP82" s="570"/>
      <c r="NYQ82" s="570"/>
      <c r="NYR82" s="570"/>
      <c r="NYS82" s="570"/>
      <c r="NYT82" s="570"/>
      <c r="NYU82" s="570"/>
      <c r="NYV82" s="570"/>
      <c r="NYW82" s="570"/>
      <c r="NYX82" s="570"/>
      <c r="NYY82" s="570"/>
      <c r="NYZ82" s="570"/>
      <c r="NZA82" s="570"/>
      <c r="NZB82" s="570"/>
      <c r="NZC82" s="570"/>
      <c r="NZD82" s="570"/>
      <c r="NZE82" s="570"/>
      <c r="NZF82" s="570"/>
      <c r="NZG82" s="570"/>
      <c r="NZH82" s="570"/>
      <c r="NZI82" s="570"/>
      <c r="NZJ82" s="570"/>
      <c r="NZK82" s="570"/>
      <c r="NZL82" s="570"/>
      <c r="NZM82" s="570"/>
      <c r="NZN82" s="570"/>
      <c r="NZO82" s="570"/>
      <c r="NZP82" s="570"/>
      <c r="NZQ82" s="570"/>
      <c r="NZR82" s="570"/>
      <c r="NZS82" s="570"/>
      <c r="NZT82" s="570"/>
      <c r="NZU82" s="570"/>
      <c r="NZV82" s="570"/>
      <c r="NZW82" s="570"/>
      <c r="NZX82" s="570"/>
      <c r="NZY82" s="570"/>
      <c r="NZZ82" s="570"/>
      <c r="OAA82" s="570"/>
      <c r="OAB82" s="570"/>
      <c r="OAC82" s="570"/>
      <c r="OAD82" s="570"/>
      <c r="OAE82" s="570"/>
      <c r="OAF82" s="570"/>
      <c r="OAG82" s="570"/>
      <c r="OAH82" s="570"/>
      <c r="OAI82" s="570"/>
      <c r="OAJ82" s="570"/>
      <c r="OAK82" s="570"/>
      <c r="OAL82" s="570"/>
      <c r="OAM82" s="570"/>
      <c r="OAN82" s="570"/>
      <c r="OAO82" s="570"/>
      <c r="OAP82" s="570"/>
      <c r="OAQ82" s="570"/>
      <c r="OAR82" s="570"/>
      <c r="OAS82" s="570"/>
      <c r="OAT82" s="570"/>
      <c r="OAU82" s="570"/>
      <c r="OAV82" s="570"/>
      <c r="OAW82" s="570"/>
      <c r="OAX82" s="570"/>
      <c r="OAY82" s="570"/>
      <c r="OAZ82" s="570"/>
      <c r="OBA82" s="570"/>
      <c r="OBB82" s="570"/>
      <c r="OBC82" s="570"/>
      <c r="OBD82" s="570"/>
      <c r="OBE82" s="570"/>
      <c r="OBF82" s="570"/>
      <c r="OBG82" s="570"/>
      <c r="OBH82" s="570"/>
      <c r="OBI82" s="570"/>
      <c r="OBJ82" s="570"/>
      <c r="OBK82" s="570"/>
      <c r="OBL82" s="570"/>
      <c r="OBM82" s="570"/>
      <c r="OBN82" s="570"/>
      <c r="OBO82" s="570"/>
      <c r="OBP82" s="570"/>
      <c r="OBQ82" s="570"/>
      <c r="OBR82" s="570"/>
      <c r="OBS82" s="570"/>
      <c r="OBT82" s="570"/>
      <c r="OBU82" s="570"/>
      <c r="OBV82" s="570"/>
      <c r="OBW82" s="570"/>
      <c r="OBX82" s="570"/>
      <c r="OBY82" s="570"/>
      <c r="OBZ82" s="570"/>
      <c r="OCA82" s="570"/>
      <c r="OCB82" s="570"/>
      <c r="OCC82" s="570"/>
      <c r="OCD82" s="570"/>
      <c r="OCE82" s="570"/>
      <c r="OCF82" s="570"/>
      <c r="OCG82" s="570"/>
      <c r="OCH82" s="570"/>
      <c r="OCI82" s="570"/>
      <c r="OCJ82" s="570"/>
      <c r="OCK82" s="570"/>
      <c r="OCL82" s="570"/>
      <c r="OCM82" s="570"/>
      <c r="OCN82" s="570"/>
      <c r="OCO82" s="570"/>
      <c r="OCP82" s="570"/>
      <c r="OCQ82" s="570"/>
      <c r="OCR82" s="570"/>
      <c r="OCS82" s="570"/>
      <c r="OCT82" s="570"/>
      <c r="OCU82" s="570"/>
      <c r="OCV82" s="570"/>
      <c r="OCW82" s="570"/>
      <c r="OCX82" s="570"/>
      <c r="OCY82" s="570"/>
      <c r="OCZ82" s="570"/>
      <c r="ODA82" s="570"/>
      <c r="ODB82" s="570"/>
      <c r="ODC82" s="570"/>
      <c r="ODD82" s="570"/>
      <c r="ODE82" s="570"/>
      <c r="ODF82" s="570"/>
      <c r="ODG82" s="570"/>
      <c r="ODH82" s="570"/>
      <c r="ODI82" s="570"/>
      <c r="ODJ82" s="570"/>
      <c r="ODK82" s="570"/>
      <c r="ODL82" s="570"/>
      <c r="ODM82" s="570"/>
      <c r="ODN82" s="570"/>
      <c r="ODO82" s="570"/>
      <c r="ODP82" s="570"/>
      <c r="ODQ82" s="570"/>
      <c r="ODR82" s="570"/>
      <c r="ODS82" s="570"/>
      <c r="ODT82" s="570"/>
      <c r="ODU82" s="570"/>
      <c r="ODV82" s="570"/>
      <c r="ODW82" s="570"/>
      <c r="ODX82" s="570"/>
      <c r="ODY82" s="570"/>
      <c r="ODZ82" s="570"/>
      <c r="OEA82" s="570"/>
      <c r="OEB82" s="570"/>
      <c r="OEC82" s="570"/>
      <c r="OED82" s="570"/>
      <c r="OEE82" s="570"/>
      <c r="OEF82" s="570"/>
      <c r="OEG82" s="570"/>
      <c r="OEH82" s="570"/>
      <c r="OEI82" s="570"/>
      <c r="OEJ82" s="570"/>
      <c r="OEK82" s="570"/>
      <c r="OEL82" s="570"/>
      <c r="OEM82" s="570"/>
      <c r="OEN82" s="570"/>
      <c r="OEO82" s="570"/>
      <c r="OEP82" s="570"/>
      <c r="OEQ82" s="570"/>
      <c r="OER82" s="570"/>
      <c r="OES82" s="570"/>
      <c r="OET82" s="570"/>
      <c r="OEU82" s="570"/>
      <c r="OEV82" s="570"/>
      <c r="OEW82" s="570"/>
      <c r="OEX82" s="570"/>
      <c r="OEY82" s="570"/>
      <c r="OEZ82" s="570"/>
      <c r="OFA82" s="570"/>
      <c r="OFB82" s="570"/>
      <c r="OFC82" s="570"/>
      <c r="OFD82" s="570"/>
      <c r="OFE82" s="570"/>
      <c r="OFF82" s="570"/>
      <c r="OFG82" s="570"/>
      <c r="OFH82" s="570"/>
      <c r="OFI82" s="570"/>
      <c r="OFJ82" s="570"/>
      <c r="OFK82" s="570"/>
      <c r="OFL82" s="570"/>
      <c r="OFM82" s="570"/>
      <c r="OFN82" s="570"/>
      <c r="OFO82" s="570"/>
      <c r="OFP82" s="570"/>
      <c r="OFQ82" s="570"/>
      <c r="OFR82" s="570"/>
      <c r="OFS82" s="570"/>
      <c r="OFT82" s="570"/>
      <c r="OFU82" s="570"/>
      <c r="OFV82" s="570"/>
      <c r="OFW82" s="570"/>
      <c r="OFX82" s="570"/>
      <c r="OFY82" s="570"/>
      <c r="OFZ82" s="570"/>
      <c r="OGA82" s="570"/>
      <c r="OGB82" s="570"/>
      <c r="OGC82" s="570"/>
      <c r="OGD82" s="570"/>
      <c r="OGE82" s="570"/>
      <c r="OGF82" s="570"/>
      <c r="OGG82" s="570"/>
      <c r="OGH82" s="570"/>
      <c r="OGI82" s="570"/>
      <c r="OGJ82" s="570"/>
      <c r="OGK82" s="570"/>
      <c r="OGL82" s="570"/>
      <c r="OGM82" s="570"/>
      <c r="OGN82" s="570"/>
      <c r="OGO82" s="570"/>
      <c r="OGP82" s="570"/>
      <c r="OGQ82" s="570"/>
      <c r="OGR82" s="570"/>
      <c r="OGS82" s="570"/>
      <c r="OGT82" s="570"/>
      <c r="OGU82" s="570"/>
      <c r="OGV82" s="570"/>
      <c r="OGW82" s="570"/>
      <c r="OGX82" s="570"/>
      <c r="OGY82" s="570"/>
      <c r="OGZ82" s="570"/>
      <c r="OHA82" s="570"/>
      <c r="OHB82" s="570"/>
      <c r="OHC82" s="570"/>
      <c r="OHD82" s="570"/>
      <c r="OHE82" s="570"/>
      <c r="OHF82" s="570"/>
      <c r="OHG82" s="570"/>
      <c r="OHH82" s="570"/>
      <c r="OHI82" s="570"/>
      <c r="OHJ82" s="570"/>
      <c r="OHK82" s="570"/>
      <c r="OHL82" s="570"/>
      <c r="OHM82" s="570"/>
      <c r="OHN82" s="570"/>
      <c r="OHO82" s="570"/>
      <c r="OHP82" s="570"/>
      <c r="OHQ82" s="570"/>
      <c r="OHR82" s="570"/>
      <c r="OHS82" s="570"/>
      <c r="OHT82" s="570"/>
      <c r="OHU82" s="570"/>
      <c r="OHV82" s="570"/>
      <c r="OHW82" s="570"/>
      <c r="OHX82" s="570"/>
      <c r="OHY82" s="570"/>
      <c r="OHZ82" s="570"/>
      <c r="OIA82" s="570"/>
      <c r="OIB82" s="570"/>
      <c r="OIC82" s="570"/>
      <c r="OID82" s="570"/>
      <c r="OIE82" s="570"/>
      <c r="OIF82" s="570"/>
      <c r="OIG82" s="570"/>
      <c r="OIH82" s="570"/>
      <c r="OII82" s="570"/>
      <c r="OIJ82" s="570"/>
      <c r="OIK82" s="570"/>
      <c r="OIL82" s="570"/>
      <c r="OIM82" s="570"/>
      <c r="OIN82" s="570"/>
      <c r="OIO82" s="570"/>
      <c r="OIP82" s="570"/>
      <c r="OIQ82" s="570"/>
      <c r="OIR82" s="570"/>
      <c r="OIS82" s="570"/>
      <c r="OIT82" s="570"/>
      <c r="OIU82" s="570"/>
      <c r="OIV82" s="570"/>
      <c r="OIW82" s="570"/>
      <c r="OIX82" s="570"/>
      <c r="OIY82" s="570"/>
      <c r="OIZ82" s="570"/>
      <c r="OJA82" s="570"/>
      <c r="OJB82" s="570"/>
      <c r="OJC82" s="570"/>
      <c r="OJD82" s="570"/>
      <c r="OJE82" s="570"/>
      <c r="OJF82" s="570"/>
      <c r="OJG82" s="570"/>
      <c r="OJH82" s="570"/>
      <c r="OJI82" s="570"/>
      <c r="OJJ82" s="570"/>
      <c r="OJK82" s="570"/>
      <c r="OJL82" s="570"/>
      <c r="OJM82" s="570"/>
      <c r="OJN82" s="570"/>
      <c r="OJO82" s="570"/>
      <c r="OJP82" s="570"/>
      <c r="OJQ82" s="570"/>
      <c r="OJR82" s="570"/>
      <c r="OJS82" s="570"/>
      <c r="OJT82" s="570"/>
      <c r="OJU82" s="570"/>
      <c r="OJV82" s="570"/>
      <c r="OJW82" s="570"/>
      <c r="OJX82" s="570"/>
      <c r="OJY82" s="570"/>
      <c r="OJZ82" s="570"/>
      <c r="OKA82" s="570"/>
      <c r="OKB82" s="570"/>
      <c r="OKC82" s="570"/>
      <c r="OKD82" s="570"/>
      <c r="OKE82" s="570"/>
      <c r="OKF82" s="570"/>
      <c r="OKG82" s="570"/>
      <c r="OKH82" s="570"/>
      <c r="OKI82" s="570"/>
      <c r="OKJ82" s="570"/>
      <c r="OKK82" s="570"/>
      <c r="OKL82" s="570"/>
      <c r="OKM82" s="570"/>
      <c r="OKN82" s="570"/>
      <c r="OKO82" s="570"/>
      <c r="OKP82" s="570"/>
      <c r="OKQ82" s="570"/>
      <c r="OKR82" s="570"/>
      <c r="OKS82" s="570"/>
      <c r="OKT82" s="570"/>
      <c r="OKU82" s="570"/>
      <c r="OKV82" s="570"/>
      <c r="OKW82" s="570"/>
      <c r="OKX82" s="570"/>
      <c r="OKY82" s="570"/>
      <c r="OKZ82" s="570"/>
      <c r="OLA82" s="570"/>
      <c r="OLB82" s="570"/>
      <c r="OLC82" s="570"/>
      <c r="OLD82" s="570"/>
      <c r="OLE82" s="570"/>
      <c r="OLF82" s="570"/>
      <c r="OLG82" s="570"/>
      <c r="OLH82" s="570"/>
      <c r="OLI82" s="570"/>
      <c r="OLJ82" s="570"/>
      <c r="OLK82" s="570"/>
      <c r="OLL82" s="570"/>
      <c r="OLM82" s="570"/>
      <c r="OLN82" s="570"/>
      <c r="OLO82" s="570"/>
      <c r="OLP82" s="570"/>
      <c r="OLQ82" s="570"/>
      <c r="OLR82" s="570"/>
      <c r="OLS82" s="570"/>
      <c r="OLT82" s="570"/>
      <c r="OLU82" s="570"/>
      <c r="OLV82" s="570"/>
      <c r="OLW82" s="570"/>
      <c r="OLX82" s="570"/>
      <c r="OLY82" s="570"/>
      <c r="OLZ82" s="570"/>
      <c r="OMA82" s="570"/>
      <c r="OMB82" s="570"/>
      <c r="OMC82" s="570"/>
      <c r="OMD82" s="570"/>
      <c r="OME82" s="570"/>
      <c r="OMF82" s="570"/>
      <c r="OMG82" s="570"/>
      <c r="OMH82" s="570"/>
      <c r="OMI82" s="570"/>
      <c r="OMJ82" s="570"/>
      <c r="OMK82" s="570"/>
      <c r="OML82" s="570"/>
      <c r="OMM82" s="570"/>
      <c r="OMN82" s="570"/>
      <c r="OMO82" s="570"/>
      <c r="OMP82" s="570"/>
      <c r="OMQ82" s="570"/>
      <c r="OMR82" s="570"/>
      <c r="OMS82" s="570"/>
      <c r="OMT82" s="570"/>
      <c r="OMU82" s="570"/>
      <c r="OMV82" s="570"/>
      <c r="OMW82" s="570"/>
      <c r="OMX82" s="570"/>
      <c r="OMY82" s="570"/>
      <c r="OMZ82" s="570"/>
      <c r="ONA82" s="570"/>
      <c r="ONB82" s="570"/>
      <c r="ONC82" s="570"/>
      <c r="OND82" s="570"/>
      <c r="ONE82" s="570"/>
      <c r="ONF82" s="570"/>
      <c r="ONG82" s="570"/>
      <c r="ONH82" s="570"/>
      <c r="ONI82" s="570"/>
      <c r="ONJ82" s="570"/>
      <c r="ONK82" s="570"/>
      <c r="ONL82" s="570"/>
      <c r="ONM82" s="570"/>
      <c r="ONN82" s="570"/>
      <c r="ONO82" s="570"/>
      <c r="ONP82" s="570"/>
      <c r="ONQ82" s="570"/>
      <c r="ONR82" s="570"/>
      <c r="ONS82" s="570"/>
      <c r="ONT82" s="570"/>
      <c r="ONU82" s="570"/>
      <c r="ONV82" s="570"/>
      <c r="ONW82" s="570"/>
      <c r="ONX82" s="570"/>
      <c r="ONY82" s="570"/>
      <c r="ONZ82" s="570"/>
      <c r="OOA82" s="570"/>
      <c r="OOB82" s="570"/>
      <c r="OOC82" s="570"/>
      <c r="OOD82" s="570"/>
      <c r="OOE82" s="570"/>
      <c r="OOF82" s="570"/>
      <c r="OOG82" s="570"/>
      <c r="OOH82" s="570"/>
      <c r="OOI82" s="570"/>
      <c r="OOJ82" s="570"/>
      <c r="OOK82" s="570"/>
      <c r="OOL82" s="570"/>
      <c r="OOM82" s="570"/>
      <c r="OON82" s="570"/>
      <c r="OOO82" s="570"/>
      <c r="OOP82" s="570"/>
      <c r="OOQ82" s="570"/>
      <c r="OOR82" s="570"/>
      <c r="OOS82" s="570"/>
      <c r="OOT82" s="570"/>
      <c r="OOU82" s="570"/>
      <c r="OOV82" s="570"/>
      <c r="OOW82" s="570"/>
      <c r="OOX82" s="570"/>
      <c r="OOY82" s="570"/>
      <c r="OOZ82" s="570"/>
      <c r="OPA82" s="570"/>
      <c r="OPB82" s="570"/>
      <c r="OPC82" s="570"/>
      <c r="OPD82" s="570"/>
      <c r="OPE82" s="570"/>
      <c r="OPF82" s="570"/>
      <c r="OPG82" s="570"/>
      <c r="OPH82" s="570"/>
      <c r="OPI82" s="570"/>
      <c r="OPJ82" s="570"/>
      <c r="OPK82" s="570"/>
      <c r="OPL82" s="570"/>
      <c r="OPM82" s="570"/>
      <c r="OPN82" s="570"/>
      <c r="OPO82" s="570"/>
      <c r="OPP82" s="570"/>
      <c r="OPQ82" s="570"/>
      <c r="OPR82" s="570"/>
      <c r="OPS82" s="570"/>
      <c r="OPT82" s="570"/>
      <c r="OPU82" s="570"/>
      <c r="OPV82" s="570"/>
      <c r="OPW82" s="570"/>
      <c r="OPX82" s="570"/>
      <c r="OPY82" s="570"/>
      <c r="OPZ82" s="570"/>
      <c r="OQA82" s="570"/>
      <c r="OQB82" s="570"/>
      <c r="OQC82" s="570"/>
      <c r="OQD82" s="570"/>
      <c r="OQE82" s="570"/>
      <c r="OQF82" s="570"/>
      <c r="OQG82" s="570"/>
      <c r="OQH82" s="570"/>
      <c r="OQI82" s="570"/>
      <c r="OQJ82" s="570"/>
      <c r="OQK82" s="570"/>
      <c r="OQL82" s="570"/>
      <c r="OQM82" s="570"/>
      <c r="OQN82" s="570"/>
      <c r="OQO82" s="570"/>
      <c r="OQP82" s="570"/>
      <c r="OQQ82" s="570"/>
      <c r="OQR82" s="570"/>
      <c r="OQS82" s="570"/>
      <c r="OQT82" s="570"/>
      <c r="OQU82" s="570"/>
      <c r="OQV82" s="570"/>
      <c r="OQW82" s="570"/>
      <c r="OQX82" s="570"/>
      <c r="OQY82" s="570"/>
      <c r="OQZ82" s="570"/>
      <c r="ORA82" s="570"/>
      <c r="ORB82" s="570"/>
      <c r="ORC82" s="570"/>
      <c r="ORD82" s="570"/>
      <c r="ORE82" s="570"/>
      <c r="ORF82" s="570"/>
      <c r="ORG82" s="570"/>
      <c r="ORH82" s="570"/>
      <c r="ORI82" s="570"/>
      <c r="ORJ82" s="570"/>
      <c r="ORK82" s="570"/>
      <c r="ORL82" s="570"/>
      <c r="ORM82" s="570"/>
      <c r="ORN82" s="570"/>
      <c r="ORO82" s="570"/>
      <c r="ORP82" s="570"/>
      <c r="ORQ82" s="570"/>
      <c r="ORR82" s="570"/>
      <c r="ORS82" s="570"/>
      <c r="ORT82" s="570"/>
      <c r="ORU82" s="570"/>
      <c r="ORV82" s="570"/>
      <c r="ORW82" s="570"/>
      <c r="ORX82" s="570"/>
      <c r="ORY82" s="570"/>
      <c r="ORZ82" s="570"/>
      <c r="OSA82" s="570"/>
      <c r="OSB82" s="570"/>
      <c r="OSC82" s="570"/>
      <c r="OSD82" s="570"/>
      <c r="OSE82" s="570"/>
      <c r="OSF82" s="570"/>
      <c r="OSG82" s="570"/>
      <c r="OSH82" s="570"/>
      <c r="OSI82" s="570"/>
      <c r="OSJ82" s="570"/>
      <c r="OSK82" s="570"/>
      <c r="OSL82" s="570"/>
      <c r="OSM82" s="570"/>
      <c r="OSN82" s="570"/>
      <c r="OSO82" s="570"/>
      <c r="OSP82" s="570"/>
      <c r="OSQ82" s="570"/>
      <c r="OSR82" s="570"/>
      <c r="OSS82" s="570"/>
      <c r="OST82" s="570"/>
      <c r="OSU82" s="570"/>
      <c r="OSV82" s="570"/>
      <c r="OSW82" s="570"/>
      <c r="OSX82" s="570"/>
      <c r="OSY82" s="570"/>
      <c r="OSZ82" s="570"/>
      <c r="OTA82" s="570"/>
      <c r="OTB82" s="570"/>
      <c r="OTC82" s="570"/>
      <c r="OTD82" s="570"/>
      <c r="OTE82" s="570"/>
      <c r="OTF82" s="570"/>
      <c r="OTG82" s="570"/>
      <c r="OTH82" s="570"/>
      <c r="OTI82" s="570"/>
      <c r="OTJ82" s="570"/>
      <c r="OTK82" s="570"/>
      <c r="OTL82" s="570"/>
      <c r="OTM82" s="570"/>
      <c r="OTN82" s="570"/>
      <c r="OTO82" s="570"/>
      <c r="OTP82" s="570"/>
      <c r="OTQ82" s="570"/>
      <c r="OTR82" s="570"/>
      <c r="OTS82" s="570"/>
      <c r="OTT82" s="570"/>
      <c r="OTU82" s="570"/>
      <c r="OTV82" s="570"/>
      <c r="OTW82" s="570"/>
      <c r="OTX82" s="570"/>
      <c r="OTY82" s="570"/>
      <c r="OTZ82" s="570"/>
      <c r="OUA82" s="570"/>
      <c r="OUB82" s="570"/>
      <c r="OUC82" s="570"/>
      <c r="OUD82" s="570"/>
      <c r="OUE82" s="570"/>
      <c r="OUF82" s="570"/>
      <c r="OUG82" s="570"/>
      <c r="OUH82" s="570"/>
      <c r="OUI82" s="570"/>
      <c r="OUJ82" s="570"/>
      <c r="OUK82" s="570"/>
      <c r="OUL82" s="570"/>
      <c r="OUM82" s="570"/>
      <c r="OUN82" s="570"/>
      <c r="OUO82" s="570"/>
      <c r="OUP82" s="570"/>
      <c r="OUQ82" s="570"/>
      <c r="OUR82" s="570"/>
      <c r="OUS82" s="570"/>
      <c r="OUT82" s="570"/>
      <c r="OUU82" s="570"/>
      <c r="OUV82" s="570"/>
      <c r="OUW82" s="570"/>
      <c r="OUX82" s="570"/>
      <c r="OUY82" s="570"/>
      <c r="OUZ82" s="570"/>
      <c r="OVA82" s="570"/>
      <c r="OVB82" s="570"/>
      <c r="OVC82" s="570"/>
      <c r="OVD82" s="570"/>
      <c r="OVE82" s="570"/>
      <c r="OVF82" s="570"/>
      <c r="OVG82" s="570"/>
      <c r="OVH82" s="570"/>
      <c r="OVI82" s="570"/>
      <c r="OVJ82" s="570"/>
      <c r="OVK82" s="570"/>
      <c r="OVL82" s="570"/>
      <c r="OVM82" s="570"/>
      <c r="OVN82" s="570"/>
      <c r="OVO82" s="570"/>
      <c r="OVP82" s="570"/>
      <c r="OVQ82" s="570"/>
      <c r="OVR82" s="570"/>
      <c r="OVS82" s="570"/>
      <c r="OVT82" s="570"/>
      <c r="OVU82" s="570"/>
      <c r="OVV82" s="570"/>
      <c r="OVW82" s="570"/>
      <c r="OVX82" s="570"/>
      <c r="OVY82" s="570"/>
      <c r="OVZ82" s="570"/>
      <c r="OWA82" s="570"/>
      <c r="OWB82" s="570"/>
      <c r="OWC82" s="570"/>
      <c r="OWD82" s="570"/>
      <c r="OWE82" s="570"/>
      <c r="OWF82" s="570"/>
      <c r="OWG82" s="570"/>
      <c r="OWH82" s="570"/>
      <c r="OWI82" s="570"/>
      <c r="OWJ82" s="570"/>
      <c r="OWK82" s="570"/>
      <c r="OWL82" s="570"/>
      <c r="OWM82" s="570"/>
      <c r="OWN82" s="570"/>
      <c r="OWO82" s="570"/>
      <c r="OWP82" s="570"/>
      <c r="OWQ82" s="570"/>
      <c r="OWR82" s="570"/>
      <c r="OWS82" s="570"/>
      <c r="OWT82" s="570"/>
      <c r="OWU82" s="570"/>
      <c r="OWV82" s="570"/>
      <c r="OWW82" s="570"/>
      <c r="OWX82" s="570"/>
      <c r="OWY82" s="570"/>
      <c r="OWZ82" s="570"/>
      <c r="OXA82" s="570"/>
      <c r="OXB82" s="570"/>
      <c r="OXC82" s="570"/>
      <c r="OXD82" s="570"/>
      <c r="OXE82" s="570"/>
      <c r="OXF82" s="570"/>
      <c r="OXG82" s="570"/>
      <c r="OXH82" s="570"/>
      <c r="OXI82" s="570"/>
      <c r="OXJ82" s="570"/>
      <c r="OXK82" s="570"/>
      <c r="OXL82" s="570"/>
      <c r="OXM82" s="570"/>
      <c r="OXN82" s="570"/>
      <c r="OXO82" s="570"/>
      <c r="OXP82" s="570"/>
      <c r="OXQ82" s="570"/>
      <c r="OXR82" s="570"/>
      <c r="OXS82" s="570"/>
      <c r="OXT82" s="570"/>
      <c r="OXU82" s="570"/>
      <c r="OXV82" s="570"/>
      <c r="OXW82" s="570"/>
      <c r="OXX82" s="570"/>
      <c r="OXY82" s="570"/>
      <c r="OXZ82" s="570"/>
      <c r="OYA82" s="570"/>
      <c r="OYB82" s="570"/>
      <c r="OYC82" s="570"/>
      <c r="OYD82" s="570"/>
      <c r="OYE82" s="570"/>
      <c r="OYF82" s="570"/>
      <c r="OYG82" s="570"/>
      <c r="OYH82" s="570"/>
      <c r="OYI82" s="570"/>
      <c r="OYJ82" s="570"/>
      <c r="OYK82" s="570"/>
      <c r="OYL82" s="570"/>
      <c r="OYM82" s="570"/>
      <c r="OYN82" s="570"/>
      <c r="OYO82" s="570"/>
      <c r="OYP82" s="570"/>
      <c r="OYQ82" s="570"/>
      <c r="OYR82" s="570"/>
      <c r="OYS82" s="570"/>
      <c r="OYT82" s="570"/>
      <c r="OYU82" s="570"/>
      <c r="OYV82" s="570"/>
      <c r="OYW82" s="570"/>
      <c r="OYX82" s="570"/>
      <c r="OYY82" s="570"/>
      <c r="OYZ82" s="570"/>
      <c r="OZA82" s="570"/>
      <c r="OZB82" s="570"/>
      <c r="OZC82" s="570"/>
      <c r="OZD82" s="570"/>
      <c r="OZE82" s="570"/>
      <c r="OZF82" s="570"/>
      <c r="OZG82" s="570"/>
      <c r="OZH82" s="570"/>
      <c r="OZI82" s="570"/>
      <c r="OZJ82" s="570"/>
      <c r="OZK82" s="570"/>
      <c r="OZL82" s="570"/>
      <c r="OZM82" s="570"/>
      <c r="OZN82" s="570"/>
      <c r="OZO82" s="570"/>
      <c r="OZP82" s="570"/>
      <c r="OZQ82" s="570"/>
      <c r="OZR82" s="570"/>
      <c r="OZS82" s="570"/>
      <c r="OZT82" s="570"/>
      <c r="OZU82" s="570"/>
      <c r="OZV82" s="570"/>
      <c r="OZW82" s="570"/>
      <c r="OZX82" s="570"/>
      <c r="OZY82" s="570"/>
      <c r="OZZ82" s="570"/>
      <c r="PAA82" s="570"/>
      <c r="PAB82" s="570"/>
      <c r="PAC82" s="570"/>
      <c r="PAD82" s="570"/>
      <c r="PAE82" s="570"/>
      <c r="PAF82" s="570"/>
      <c r="PAG82" s="570"/>
      <c r="PAH82" s="570"/>
      <c r="PAI82" s="570"/>
      <c r="PAJ82" s="570"/>
      <c r="PAK82" s="570"/>
      <c r="PAL82" s="570"/>
      <c r="PAM82" s="570"/>
      <c r="PAN82" s="570"/>
      <c r="PAO82" s="570"/>
      <c r="PAP82" s="570"/>
      <c r="PAQ82" s="570"/>
      <c r="PAR82" s="570"/>
      <c r="PAS82" s="570"/>
      <c r="PAT82" s="570"/>
      <c r="PAU82" s="570"/>
      <c r="PAV82" s="570"/>
      <c r="PAW82" s="570"/>
      <c r="PAX82" s="570"/>
      <c r="PAY82" s="570"/>
      <c r="PAZ82" s="570"/>
      <c r="PBA82" s="570"/>
      <c r="PBB82" s="570"/>
      <c r="PBC82" s="570"/>
      <c r="PBD82" s="570"/>
      <c r="PBE82" s="570"/>
      <c r="PBF82" s="570"/>
      <c r="PBG82" s="570"/>
      <c r="PBH82" s="570"/>
      <c r="PBI82" s="570"/>
      <c r="PBJ82" s="570"/>
      <c r="PBK82" s="570"/>
      <c r="PBL82" s="570"/>
      <c r="PBM82" s="570"/>
      <c r="PBN82" s="570"/>
      <c r="PBO82" s="570"/>
      <c r="PBP82" s="570"/>
      <c r="PBQ82" s="570"/>
      <c r="PBR82" s="570"/>
      <c r="PBS82" s="570"/>
      <c r="PBT82" s="570"/>
      <c r="PBU82" s="570"/>
      <c r="PBV82" s="570"/>
      <c r="PBW82" s="570"/>
      <c r="PBX82" s="570"/>
      <c r="PBY82" s="570"/>
      <c r="PBZ82" s="570"/>
      <c r="PCA82" s="570"/>
      <c r="PCB82" s="570"/>
      <c r="PCC82" s="570"/>
      <c r="PCD82" s="570"/>
      <c r="PCE82" s="570"/>
      <c r="PCF82" s="570"/>
      <c r="PCG82" s="570"/>
      <c r="PCH82" s="570"/>
      <c r="PCI82" s="570"/>
      <c r="PCJ82" s="570"/>
      <c r="PCK82" s="570"/>
      <c r="PCL82" s="570"/>
      <c r="PCM82" s="570"/>
      <c r="PCN82" s="570"/>
      <c r="PCO82" s="570"/>
      <c r="PCP82" s="570"/>
      <c r="PCQ82" s="570"/>
      <c r="PCR82" s="570"/>
      <c r="PCS82" s="570"/>
      <c r="PCT82" s="570"/>
      <c r="PCU82" s="570"/>
      <c r="PCV82" s="570"/>
      <c r="PCW82" s="570"/>
      <c r="PCX82" s="570"/>
      <c r="PCY82" s="570"/>
      <c r="PCZ82" s="570"/>
      <c r="PDA82" s="570"/>
      <c r="PDB82" s="570"/>
      <c r="PDC82" s="570"/>
      <c r="PDD82" s="570"/>
      <c r="PDE82" s="570"/>
      <c r="PDF82" s="570"/>
      <c r="PDG82" s="570"/>
      <c r="PDH82" s="570"/>
      <c r="PDI82" s="570"/>
      <c r="PDJ82" s="570"/>
      <c r="PDK82" s="570"/>
      <c r="PDL82" s="570"/>
      <c r="PDM82" s="570"/>
      <c r="PDN82" s="570"/>
      <c r="PDO82" s="570"/>
      <c r="PDP82" s="570"/>
      <c r="PDQ82" s="570"/>
      <c r="PDR82" s="570"/>
      <c r="PDS82" s="570"/>
      <c r="PDT82" s="570"/>
      <c r="PDU82" s="570"/>
      <c r="PDV82" s="570"/>
      <c r="PDW82" s="570"/>
      <c r="PDX82" s="570"/>
      <c r="PDY82" s="570"/>
      <c r="PDZ82" s="570"/>
      <c r="PEA82" s="570"/>
      <c r="PEB82" s="570"/>
      <c r="PEC82" s="570"/>
      <c r="PED82" s="570"/>
      <c r="PEE82" s="570"/>
      <c r="PEF82" s="570"/>
      <c r="PEG82" s="570"/>
      <c r="PEH82" s="570"/>
      <c r="PEI82" s="570"/>
      <c r="PEJ82" s="570"/>
      <c r="PEK82" s="570"/>
      <c r="PEL82" s="570"/>
      <c r="PEM82" s="570"/>
      <c r="PEN82" s="570"/>
      <c r="PEO82" s="570"/>
      <c r="PEP82" s="570"/>
      <c r="PEQ82" s="570"/>
      <c r="PER82" s="570"/>
      <c r="PES82" s="570"/>
      <c r="PET82" s="570"/>
      <c r="PEU82" s="570"/>
      <c r="PEV82" s="570"/>
      <c r="PEW82" s="570"/>
      <c r="PEX82" s="570"/>
      <c r="PEY82" s="570"/>
      <c r="PEZ82" s="570"/>
      <c r="PFA82" s="570"/>
      <c r="PFB82" s="570"/>
      <c r="PFC82" s="570"/>
      <c r="PFD82" s="570"/>
      <c r="PFE82" s="570"/>
      <c r="PFF82" s="570"/>
      <c r="PFG82" s="570"/>
      <c r="PFH82" s="570"/>
      <c r="PFI82" s="570"/>
      <c r="PFJ82" s="570"/>
      <c r="PFK82" s="570"/>
      <c r="PFL82" s="570"/>
      <c r="PFM82" s="570"/>
      <c r="PFN82" s="570"/>
      <c r="PFO82" s="570"/>
      <c r="PFP82" s="570"/>
      <c r="PFQ82" s="570"/>
      <c r="PFR82" s="570"/>
      <c r="PFS82" s="570"/>
      <c r="PFT82" s="570"/>
      <c r="PFU82" s="570"/>
      <c r="PFV82" s="570"/>
      <c r="PFW82" s="570"/>
      <c r="PFX82" s="570"/>
      <c r="PFY82" s="570"/>
      <c r="PFZ82" s="570"/>
      <c r="PGA82" s="570"/>
      <c r="PGB82" s="570"/>
      <c r="PGC82" s="570"/>
      <c r="PGD82" s="570"/>
      <c r="PGE82" s="570"/>
      <c r="PGF82" s="570"/>
      <c r="PGG82" s="570"/>
      <c r="PGH82" s="570"/>
      <c r="PGI82" s="570"/>
      <c r="PGJ82" s="570"/>
      <c r="PGK82" s="570"/>
      <c r="PGL82" s="570"/>
      <c r="PGM82" s="570"/>
      <c r="PGN82" s="570"/>
      <c r="PGO82" s="570"/>
      <c r="PGP82" s="570"/>
      <c r="PGQ82" s="570"/>
      <c r="PGR82" s="570"/>
      <c r="PGS82" s="570"/>
      <c r="PGT82" s="570"/>
      <c r="PGU82" s="570"/>
      <c r="PGV82" s="570"/>
      <c r="PGW82" s="570"/>
      <c r="PGX82" s="570"/>
      <c r="PGY82" s="570"/>
      <c r="PGZ82" s="570"/>
      <c r="PHA82" s="570"/>
      <c r="PHB82" s="570"/>
      <c r="PHC82" s="570"/>
      <c r="PHD82" s="570"/>
      <c r="PHE82" s="570"/>
      <c r="PHF82" s="570"/>
      <c r="PHG82" s="570"/>
      <c r="PHH82" s="570"/>
      <c r="PHI82" s="570"/>
      <c r="PHJ82" s="570"/>
      <c r="PHK82" s="570"/>
      <c r="PHL82" s="570"/>
      <c r="PHM82" s="570"/>
      <c r="PHN82" s="570"/>
      <c r="PHO82" s="570"/>
      <c r="PHP82" s="570"/>
      <c r="PHQ82" s="570"/>
      <c r="PHR82" s="570"/>
      <c r="PHS82" s="570"/>
      <c r="PHT82" s="570"/>
      <c r="PHU82" s="570"/>
      <c r="PHV82" s="570"/>
      <c r="PHW82" s="570"/>
      <c r="PHX82" s="570"/>
      <c r="PHY82" s="570"/>
      <c r="PHZ82" s="570"/>
      <c r="PIA82" s="570"/>
      <c r="PIB82" s="570"/>
      <c r="PIC82" s="570"/>
      <c r="PID82" s="570"/>
      <c r="PIE82" s="570"/>
      <c r="PIF82" s="570"/>
      <c r="PIG82" s="570"/>
      <c r="PIH82" s="570"/>
      <c r="PII82" s="570"/>
      <c r="PIJ82" s="570"/>
      <c r="PIK82" s="570"/>
      <c r="PIL82" s="570"/>
      <c r="PIM82" s="570"/>
      <c r="PIN82" s="570"/>
      <c r="PIO82" s="570"/>
      <c r="PIP82" s="570"/>
      <c r="PIQ82" s="570"/>
      <c r="PIR82" s="570"/>
      <c r="PIS82" s="570"/>
      <c r="PIT82" s="570"/>
      <c r="PIU82" s="570"/>
      <c r="PIV82" s="570"/>
      <c r="PIW82" s="570"/>
      <c r="PIX82" s="570"/>
      <c r="PIY82" s="570"/>
      <c r="PIZ82" s="570"/>
      <c r="PJA82" s="570"/>
      <c r="PJB82" s="570"/>
      <c r="PJC82" s="570"/>
      <c r="PJD82" s="570"/>
      <c r="PJE82" s="570"/>
      <c r="PJF82" s="570"/>
      <c r="PJG82" s="570"/>
      <c r="PJH82" s="570"/>
      <c r="PJI82" s="570"/>
      <c r="PJJ82" s="570"/>
      <c r="PJK82" s="570"/>
      <c r="PJL82" s="570"/>
      <c r="PJM82" s="570"/>
      <c r="PJN82" s="570"/>
      <c r="PJO82" s="570"/>
      <c r="PJP82" s="570"/>
      <c r="PJQ82" s="570"/>
      <c r="PJR82" s="570"/>
      <c r="PJS82" s="570"/>
      <c r="PJT82" s="570"/>
      <c r="PJU82" s="570"/>
      <c r="PJV82" s="570"/>
      <c r="PJW82" s="570"/>
      <c r="PJX82" s="570"/>
      <c r="PJY82" s="570"/>
      <c r="PJZ82" s="570"/>
      <c r="PKA82" s="570"/>
      <c r="PKB82" s="570"/>
      <c r="PKC82" s="570"/>
      <c r="PKD82" s="570"/>
      <c r="PKE82" s="570"/>
      <c r="PKF82" s="570"/>
      <c r="PKG82" s="570"/>
      <c r="PKH82" s="570"/>
      <c r="PKI82" s="570"/>
      <c r="PKJ82" s="570"/>
      <c r="PKK82" s="570"/>
      <c r="PKL82" s="570"/>
      <c r="PKM82" s="570"/>
      <c r="PKN82" s="570"/>
      <c r="PKO82" s="570"/>
      <c r="PKP82" s="570"/>
      <c r="PKQ82" s="570"/>
      <c r="PKR82" s="570"/>
      <c r="PKS82" s="570"/>
      <c r="PKT82" s="570"/>
      <c r="PKU82" s="570"/>
      <c r="PKV82" s="570"/>
      <c r="PKW82" s="570"/>
      <c r="PKX82" s="570"/>
      <c r="PKY82" s="570"/>
      <c r="PKZ82" s="570"/>
      <c r="PLA82" s="570"/>
      <c r="PLB82" s="570"/>
      <c r="PLC82" s="570"/>
      <c r="PLD82" s="570"/>
      <c r="PLE82" s="570"/>
      <c r="PLF82" s="570"/>
      <c r="PLG82" s="570"/>
      <c r="PLH82" s="570"/>
      <c r="PLI82" s="570"/>
      <c r="PLJ82" s="570"/>
      <c r="PLK82" s="570"/>
      <c r="PLL82" s="570"/>
      <c r="PLM82" s="570"/>
      <c r="PLN82" s="570"/>
      <c r="PLO82" s="570"/>
      <c r="PLP82" s="570"/>
      <c r="PLQ82" s="570"/>
      <c r="PLR82" s="570"/>
      <c r="PLS82" s="570"/>
      <c r="PLT82" s="570"/>
      <c r="PLU82" s="570"/>
      <c r="PLV82" s="570"/>
      <c r="PLW82" s="570"/>
      <c r="PLX82" s="570"/>
      <c r="PLY82" s="570"/>
      <c r="PLZ82" s="570"/>
      <c r="PMA82" s="570"/>
      <c r="PMB82" s="570"/>
      <c r="PMC82" s="570"/>
      <c r="PMD82" s="570"/>
      <c r="PME82" s="570"/>
      <c r="PMF82" s="570"/>
      <c r="PMG82" s="570"/>
      <c r="PMH82" s="570"/>
      <c r="PMI82" s="570"/>
      <c r="PMJ82" s="570"/>
      <c r="PMK82" s="570"/>
      <c r="PML82" s="570"/>
      <c r="PMM82" s="570"/>
      <c r="PMN82" s="570"/>
      <c r="PMO82" s="570"/>
      <c r="PMP82" s="570"/>
      <c r="PMQ82" s="570"/>
      <c r="PMR82" s="570"/>
      <c r="PMS82" s="570"/>
      <c r="PMT82" s="570"/>
      <c r="PMU82" s="570"/>
      <c r="PMV82" s="570"/>
      <c r="PMW82" s="570"/>
      <c r="PMX82" s="570"/>
      <c r="PMY82" s="570"/>
      <c r="PMZ82" s="570"/>
      <c r="PNA82" s="570"/>
      <c r="PNB82" s="570"/>
      <c r="PNC82" s="570"/>
      <c r="PND82" s="570"/>
      <c r="PNE82" s="570"/>
      <c r="PNF82" s="570"/>
      <c r="PNG82" s="570"/>
      <c r="PNH82" s="570"/>
      <c r="PNI82" s="570"/>
      <c r="PNJ82" s="570"/>
      <c r="PNK82" s="570"/>
      <c r="PNL82" s="570"/>
      <c r="PNM82" s="570"/>
      <c r="PNN82" s="570"/>
      <c r="PNO82" s="570"/>
      <c r="PNP82" s="570"/>
      <c r="PNQ82" s="570"/>
      <c r="PNR82" s="570"/>
      <c r="PNS82" s="570"/>
      <c r="PNT82" s="570"/>
      <c r="PNU82" s="570"/>
      <c r="PNV82" s="570"/>
      <c r="PNW82" s="570"/>
      <c r="PNX82" s="570"/>
      <c r="PNY82" s="570"/>
      <c r="PNZ82" s="570"/>
      <c r="POA82" s="570"/>
      <c r="POB82" s="570"/>
      <c r="POC82" s="570"/>
      <c r="POD82" s="570"/>
      <c r="POE82" s="570"/>
      <c r="POF82" s="570"/>
      <c r="POG82" s="570"/>
      <c r="POH82" s="570"/>
      <c r="POI82" s="570"/>
      <c r="POJ82" s="570"/>
      <c r="POK82" s="570"/>
      <c r="POL82" s="570"/>
      <c r="POM82" s="570"/>
      <c r="PON82" s="570"/>
      <c r="POO82" s="570"/>
      <c r="POP82" s="570"/>
      <c r="POQ82" s="570"/>
      <c r="POR82" s="570"/>
      <c r="POS82" s="570"/>
      <c r="POT82" s="570"/>
      <c r="POU82" s="570"/>
      <c r="POV82" s="570"/>
      <c r="POW82" s="570"/>
      <c r="POX82" s="570"/>
      <c r="POY82" s="570"/>
      <c r="POZ82" s="570"/>
      <c r="PPA82" s="570"/>
      <c r="PPB82" s="570"/>
      <c r="PPC82" s="570"/>
      <c r="PPD82" s="570"/>
      <c r="PPE82" s="570"/>
      <c r="PPF82" s="570"/>
      <c r="PPG82" s="570"/>
      <c r="PPH82" s="570"/>
      <c r="PPI82" s="570"/>
      <c r="PPJ82" s="570"/>
      <c r="PPK82" s="570"/>
      <c r="PPL82" s="570"/>
      <c r="PPM82" s="570"/>
      <c r="PPN82" s="570"/>
      <c r="PPO82" s="570"/>
      <c r="PPP82" s="570"/>
      <c r="PPQ82" s="570"/>
      <c r="PPR82" s="570"/>
      <c r="PPS82" s="570"/>
      <c r="PPT82" s="570"/>
      <c r="PPU82" s="570"/>
      <c r="PPV82" s="570"/>
      <c r="PPW82" s="570"/>
      <c r="PPX82" s="570"/>
      <c r="PPY82" s="570"/>
      <c r="PPZ82" s="570"/>
      <c r="PQA82" s="570"/>
      <c r="PQB82" s="570"/>
      <c r="PQC82" s="570"/>
      <c r="PQD82" s="570"/>
      <c r="PQE82" s="570"/>
      <c r="PQF82" s="570"/>
      <c r="PQG82" s="570"/>
      <c r="PQH82" s="570"/>
      <c r="PQI82" s="570"/>
      <c r="PQJ82" s="570"/>
      <c r="PQK82" s="570"/>
      <c r="PQL82" s="570"/>
      <c r="PQM82" s="570"/>
      <c r="PQN82" s="570"/>
      <c r="PQO82" s="570"/>
      <c r="PQP82" s="570"/>
      <c r="PQQ82" s="570"/>
      <c r="PQR82" s="570"/>
      <c r="PQS82" s="570"/>
      <c r="PQT82" s="570"/>
      <c r="PQU82" s="570"/>
      <c r="PQV82" s="570"/>
      <c r="PQW82" s="570"/>
      <c r="PQX82" s="570"/>
      <c r="PQY82" s="570"/>
      <c r="PQZ82" s="570"/>
      <c r="PRA82" s="570"/>
      <c r="PRB82" s="570"/>
      <c r="PRC82" s="570"/>
      <c r="PRD82" s="570"/>
      <c r="PRE82" s="570"/>
      <c r="PRF82" s="570"/>
      <c r="PRG82" s="570"/>
      <c r="PRH82" s="570"/>
      <c r="PRI82" s="570"/>
      <c r="PRJ82" s="570"/>
      <c r="PRK82" s="570"/>
      <c r="PRL82" s="570"/>
      <c r="PRM82" s="570"/>
      <c r="PRN82" s="570"/>
      <c r="PRO82" s="570"/>
      <c r="PRP82" s="570"/>
      <c r="PRQ82" s="570"/>
      <c r="PRR82" s="570"/>
      <c r="PRS82" s="570"/>
      <c r="PRT82" s="570"/>
      <c r="PRU82" s="570"/>
      <c r="PRV82" s="570"/>
      <c r="PRW82" s="570"/>
      <c r="PRX82" s="570"/>
      <c r="PRY82" s="570"/>
      <c r="PRZ82" s="570"/>
      <c r="PSA82" s="570"/>
      <c r="PSB82" s="570"/>
      <c r="PSC82" s="570"/>
      <c r="PSD82" s="570"/>
      <c r="PSE82" s="570"/>
      <c r="PSF82" s="570"/>
      <c r="PSG82" s="570"/>
      <c r="PSH82" s="570"/>
      <c r="PSI82" s="570"/>
      <c r="PSJ82" s="570"/>
      <c r="PSK82" s="570"/>
      <c r="PSL82" s="570"/>
      <c r="PSM82" s="570"/>
      <c r="PSN82" s="570"/>
      <c r="PSO82" s="570"/>
      <c r="PSP82" s="570"/>
      <c r="PSQ82" s="570"/>
      <c r="PSR82" s="570"/>
      <c r="PSS82" s="570"/>
      <c r="PST82" s="570"/>
      <c r="PSU82" s="570"/>
      <c r="PSV82" s="570"/>
      <c r="PSW82" s="570"/>
      <c r="PSX82" s="570"/>
      <c r="PSY82" s="570"/>
      <c r="PSZ82" s="570"/>
      <c r="PTA82" s="570"/>
      <c r="PTB82" s="570"/>
      <c r="PTC82" s="570"/>
      <c r="PTD82" s="570"/>
      <c r="PTE82" s="570"/>
      <c r="PTF82" s="570"/>
      <c r="PTG82" s="570"/>
      <c r="PTH82" s="570"/>
      <c r="PTI82" s="570"/>
      <c r="PTJ82" s="570"/>
      <c r="PTK82" s="570"/>
      <c r="PTL82" s="570"/>
      <c r="PTM82" s="570"/>
      <c r="PTN82" s="570"/>
      <c r="PTO82" s="570"/>
      <c r="PTP82" s="570"/>
      <c r="PTQ82" s="570"/>
      <c r="PTR82" s="570"/>
      <c r="PTS82" s="570"/>
      <c r="PTT82" s="570"/>
      <c r="PTU82" s="570"/>
      <c r="PTV82" s="570"/>
      <c r="PTW82" s="570"/>
      <c r="PTX82" s="570"/>
      <c r="PTY82" s="570"/>
      <c r="PTZ82" s="570"/>
      <c r="PUA82" s="570"/>
      <c r="PUB82" s="570"/>
      <c r="PUC82" s="570"/>
      <c r="PUD82" s="570"/>
      <c r="PUE82" s="570"/>
      <c r="PUF82" s="570"/>
      <c r="PUG82" s="570"/>
      <c r="PUH82" s="570"/>
      <c r="PUI82" s="570"/>
      <c r="PUJ82" s="570"/>
      <c r="PUK82" s="570"/>
      <c r="PUL82" s="570"/>
      <c r="PUM82" s="570"/>
      <c r="PUN82" s="570"/>
      <c r="PUO82" s="570"/>
      <c r="PUP82" s="570"/>
      <c r="PUQ82" s="570"/>
      <c r="PUR82" s="570"/>
      <c r="PUS82" s="570"/>
      <c r="PUT82" s="570"/>
      <c r="PUU82" s="570"/>
      <c r="PUV82" s="570"/>
      <c r="PUW82" s="570"/>
      <c r="PUX82" s="570"/>
      <c r="PUY82" s="570"/>
      <c r="PUZ82" s="570"/>
      <c r="PVA82" s="570"/>
      <c r="PVB82" s="570"/>
      <c r="PVC82" s="570"/>
      <c r="PVD82" s="570"/>
      <c r="PVE82" s="570"/>
      <c r="PVF82" s="570"/>
      <c r="PVG82" s="570"/>
      <c r="PVH82" s="570"/>
      <c r="PVI82" s="570"/>
      <c r="PVJ82" s="570"/>
      <c r="PVK82" s="570"/>
      <c r="PVL82" s="570"/>
      <c r="PVM82" s="570"/>
      <c r="PVN82" s="570"/>
      <c r="PVO82" s="570"/>
      <c r="PVP82" s="570"/>
      <c r="PVQ82" s="570"/>
      <c r="PVR82" s="570"/>
      <c r="PVS82" s="570"/>
      <c r="PVT82" s="570"/>
      <c r="PVU82" s="570"/>
      <c r="PVV82" s="570"/>
      <c r="PVW82" s="570"/>
      <c r="PVX82" s="570"/>
      <c r="PVY82" s="570"/>
      <c r="PVZ82" s="570"/>
      <c r="PWA82" s="570"/>
      <c r="PWB82" s="570"/>
      <c r="PWC82" s="570"/>
      <c r="PWD82" s="570"/>
      <c r="PWE82" s="570"/>
      <c r="PWF82" s="570"/>
      <c r="PWG82" s="570"/>
      <c r="PWH82" s="570"/>
      <c r="PWI82" s="570"/>
      <c r="PWJ82" s="570"/>
      <c r="PWK82" s="570"/>
      <c r="PWL82" s="570"/>
      <c r="PWM82" s="570"/>
      <c r="PWN82" s="570"/>
      <c r="PWO82" s="570"/>
      <c r="PWP82" s="570"/>
      <c r="PWQ82" s="570"/>
      <c r="PWR82" s="570"/>
      <c r="PWS82" s="570"/>
      <c r="PWT82" s="570"/>
      <c r="PWU82" s="570"/>
      <c r="PWV82" s="570"/>
      <c r="PWW82" s="570"/>
      <c r="PWX82" s="570"/>
      <c r="PWY82" s="570"/>
      <c r="PWZ82" s="570"/>
      <c r="PXA82" s="570"/>
      <c r="PXB82" s="570"/>
      <c r="PXC82" s="570"/>
      <c r="PXD82" s="570"/>
      <c r="PXE82" s="570"/>
      <c r="PXF82" s="570"/>
      <c r="PXG82" s="570"/>
      <c r="PXH82" s="570"/>
      <c r="PXI82" s="570"/>
      <c r="PXJ82" s="570"/>
      <c r="PXK82" s="570"/>
      <c r="PXL82" s="570"/>
      <c r="PXM82" s="570"/>
      <c r="PXN82" s="570"/>
      <c r="PXO82" s="570"/>
      <c r="PXP82" s="570"/>
      <c r="PXQ82" s="570"/>
      <c r="PXR82" s="570"/>
      <c r="PXS82" s="570"/>
      <c r="PXT82" s="570"/>
      <c r="PXU82" s="570"/>
      <c r="PXV82" s="570"/>
      <c r="PXW82" s="570"/>
      <c r="PXX82" s="570"/>
      <c r="PXY82" s="570"/>
      <c r="PXZ82" s="570"/>
      <c r="PYA82" s="570"/>
      <c r="PYB82" s="570"/>
      <c r="PYC82" s="570"/>
      <c r="PYD82" s="570"/>
      <c r="PYE82" s="570"/>
      <c r="PYF82" s="570"/>
      <c r="PYG82" s="570"/>
      <c r="PYH82" s="570"/>
      <c r="PYI82" s="570"/>
      <c r="PYJ82" s="570"/>
      <c r="PYK82" s="570"/>
      <c r="PYL82" s="570"/>
      <c r="PYM82" s="570"/>
      <c r="PYN82" s="570"/>
      <c r="PYO82" s="570"/>
      <c r="PYP82" s="570"/>
      <c r="PYQ82" s="570"/>
      <c r="PYR82" s="570"/>
      <c r="PYS82" s="570"/>
      <c r="PYT82" s="570"/>
      <c r="PYU82" s="570"/>
      <c r="PYV82" s="570"/>
      <c r="PYW82" s="570"/>
      <c r="PYX82" s="570"/>
      <c r="PYY82" s="570"/>
      <c r="PYZ82" s="570"/>
      <c r="PZA82" s="570"/>
      <c r="PZB82" s="570"/>
      <c r="PZC82" s="570"/>
      <c r="PZD82" s="570"/>
      <c r="PZE82" s="570"/>
      <c r="PZF82" s="570"/>
      <c r="PZG82" s="570"/>
      <c r="PZH82" s="570"/>
      <c r="PZI82" s="570"/>
      <c r="PZJ82" s="570"/>
      <c r="PZK82" s="570"/>
      <c r="PZL82" s="570"/>
      <c r="PZM82" s="570"/>
      <c r="PZN82" s="570"/>
      <c r="PZO82" s="570"/>
      <c r="PZP82" s="570"/>
      <c r="PZQ82" s="570"/>
      <c r="PZR82" s="570"/>
      <c r="PZS82" s="570"/>
      <c r="PZT82" s="570"/>
      <c r="PZU82" s="570"/>
      <c r="PZV82" s="570"/>
      <c r="PZW82" s="570"/>
      <c r="PZX82" s="570"/>
      <c r="PZY82" s="570"/>
      <c r="PZZ82" s="570"/>
      <c r="QAA82" s="570"/>
      <c r="QAB82" s="570"/>
      <c r="QAC82" s="570"/>
      <c r="QAD82" s="570"/>
      <c r="QAE82" s="570"/>
      <c r="QAF82" s="570"/>
      <c r="QAG82" s="570"/>
      <c r="QAH82" s="570"/>
      <c r="QAI82" s="570"/>
      <c r="QAJ82" s="570"/>
      <c r="QAK82" s="570"/>
      <c r="QAL82" s="570"/>
      <c r="QAM82" s="570"/>
      <c r="QAN82" s="570"/>
      <c r="QAO82" s="570"/>
      <c r="QAP82" s="570"/>
      <c r="QAQ82" s="570"/>
      <c r="QAR82" s="570"/>
      <c r="QAS82" s="570"/>
      <c r="QAT82" s="570"/>
      <c r="QAU82" s="570"/>
      <c r="QAV82" s="570"/>
      <c r="QAW82" s="570"/>
      <c r="QAX82" s="570"/>
      <c r="QAY82" s="570"/>
      <c r="QAZ82" s="570"/>
      <c r="QBA82" s="570"/>
      <c r="QBB82" s="570"/>
      <c r="QBC82" s="570"/>
      <c r="QBD82" s="570"/>
      <c r="QBE82" s="570"/>
      <c r="QBF82" s="570"/>
      <c r="QBG82" s="570"/>
      <c r="QBH82" s="570"/>
      <c r="QBI82" s="570"/>
      <c r="QBJ82" s="570"/>
      <c r="QBK82" s="570"/>
      <c r="QBL82" s="570"/>
      <c r="QBM82" s="570"/>
      <c r="QBN82" s="570"/>
      <c r="QBO82" s="570"/>
      <c r="QBP82" s="570"/>
      <c r="QBQ82" s="570"/>
      <c r="QBR82" s="570"/>
      <c r="QBS82" s="570"/>
      <c r="QBT82" s="570"/>
      <c r="QBU82" s="570"/>
      <c r="QBV82" s="570"/>
      <c r="QBW82" s="570"/>
      <c r="QBX82" s="570"/>
      <c r="QBY82" s="570"/>
      <c r="QBZ82" s="570"/>
      <c r="QCA82" s="570"/>
      <c r="QCB82" s="570"/>
      <c r="QCC82" s="570"/>
      <c r="QCD82" s="570"/>
      <c r="QCE82" s="570"/>
      <c r="QCF82" s="570"/>
      <c r="QCG82" s="570"/>
      <c r="QCH82" s="570"/>
      <c r="QCI82" s="570"/>
      <c r="QCJ82" s="570"/>
      <c r="QCK82" s="570"/>
      <c r="QCL82" s="570"/>
      <c r="QCM82" s="570"/>
      <c r="QCN82" s="570"/>
      <c r="QCO82" s="570"/>
      <c r="QCP82" s="570"/>
      <c r="QCQ82" s="570"/>
      <c r="QCR82" s="570"/>
      <c r="QCS82" s="570"/>
      <c r="QCT82" s="570"/>
      <c r="QCU82" s="570"/>
      <c r="QCV82" s="570"/>
      <c r="QCW82" s="570"/>
      <c r="QCX82" s="570"/>
      <c r="QCY82" s="570"/>
      <c r="QCZ82" s="570"/>
      <c r="QDA82" s="570"/>
      <c r="QDB82" s="570"/>
      <c r="QDC82" s="570"/>
      <c r="QDD82" s="570"/>
      <c r="QDE82" s="570"/>
      <c r="QDF82" s="570"/>
      <c r="QDG82" s="570"/>
      <c r="QDH82" s="570"/>
      <c r="QDI82" s="570"/>
      <c r="QDJ82" s="570"/>
      <c r="QDK82" s="570"/>
      <c r="QDL82" s="570"/>
      <c r="QDM82" s="570"/>
      <c r="QDN82" s="570"/>
      <c r="QDO82" s="570"/>
      <c r="QDP82" s="570"/>
      <c r="QDQ82" s="570"/>
      <c r="QDR82" s="570"/>
      <c r="QDS82" s="570"/>
      <c r="QDT82" s="570"/>
      <c r="QDU82" s="570"/>
      <c r="QDV82" s="570"/>
      <c r="QDW82" s="570"/>
      <c r="QDX82" s="570"/>
      <c r="QDY82" s="570"/>
      <c r="QDZ82" s="570"/>
      <c r="QEA82" s="570"/>
      <c r="QEB82" s="570"/>
      <c r="QEC82" s="570"/>
      <c r="QED82" s="570"/>
      <c r="QEE82" s="570"/>
      <c r="QEF82" s="570"/>
      <c r="QEG82" s="570"/>
      <c r="QEH82" s="570"/>
      <c r="QEI82" s="570"/>
      <c r="QEJ82" s="570"/>
      <c r="QEK82" s="570"/>
      <c r="QEL82" s="570"/>
      <c r="QEM82" s="570"/>
      <c r="QEN82" s="570"/>
      <c r="QEO82" s="570"/>
      <c r="QEP82" s="570"/>
      <c r="QEQ82" s="570"/>
      <c r="QER82" s="570"/>
      <c r="QES82" s="570"/>
      <c r="QET82" s="570"/>
      <c r="QEU82" s="570"/>
      <c r="QEV82" s="570"/>
      <c r="QEW82" s="570"/>
      <c r="QEX82" s="570"/>
      <c r="QEY82" s="570"/>
      <c r="QEZ82" s="570"/>
      <c r="QFA82" s="570"/>
      <c r="QFB82" s="570"/>
      <c r="QFC82" s="570"/>
      <c r="QFD82" s="570"/>
      <c r="QFE82" s="570"/>
      <c r="QFF82" s="570"/>
      <c r="QFG82" s="570"/>
      <c r="QFH82" s="570"/>
      <c r="QFI82" s="570"/>
      <c r="QFJ82" s="570"/>
      <c r="QFK82" s="570"/>
      <c r="QFL82" s="570"/>
      <c r="QFM82" s="570"/>
      <c r="QFN82" s="570"/>
      <c r="QFO82" s="570"/>
      <c r="QFP82" s="570"/>
      <c r="QFQ82" s="570"/>
      <c r="QFR82" s="570"/>
      <c r="QFS82" s="570"/>
      <c r="QFT82" s="570"/>
      <c r="QFU82" s="570"/>
      <c r="QFV82" s="570"/>
      <c r="QFW82" s="570"/>
      <c r="QFX82" s="570"/>
      <c r="QFY82" s="570"/>
      <c r="QFZ82" s="570"/>
      <c r="QGA82" s="570"/>
      <c r="QGB82" s="570"/>
      <c r="QGC82" s="570"/>
      <c r="QGD82" s="570"/>
      <c r="QGE82" s="570"/>
      <c r="QGF82" s="570"/>
      <c r="QGG82" s="570"/>
      <c r="QGH82" s="570"/>
      <c r="QGI82" s="570"/>
      <c r="QGJ82" s="570"/>
      <c r="QGK82" s="570"/>
      <c r="QGL82" s="570"/>
      <c r="QGM82" s="570"/>
      <c r="QGN82" s="570"/>
      <c r="QGO82" s="570"/>
      <c r="QGP82" s="570"/>
      <c r="QGQ82" s="570"/>
      <c r="QGR82" s="570"/>
      <c r="QGS82" s="570"/>
      <c r="QGT82" s="570"/>
      <c r="QGU82" s="570"/>
      <c r="QGV82" s="570"/>
      <c r="QGW82" s="570"/>
      <c r="QGX82" s="570"/>
      <c r="QGY82" s="570"/>
      <c r="QGZ82" s="570"/>
      <c r="QHA82" s="570"/>
      <c r="QHB82" s="570"/>
      <c r="QHC82" s="570"/>
      <c r="QHD82" s="570"/>
      <c r="QHE82" s="570"/>
      <c r="QHF82" s="570"/>
      <c r="QHG82" s="570"/>
      <c r="QHH82" s="570"/>
      <c r="QHI82" s="570"/>
      <c r="QHJ82" s="570"/>
      <c r="QHK82" s="570"/>
      <c r="QHL82" s="570"/>
      <c r="QHM82" s="570"/>
      <c r="QHN82" s="570"/>
      <c r="QHO82" s="570"/>
      <c r="QHP82" s="570"/>
      <c r="QHQ82" s="570"/>
      <c r="QHR82" s="570"/>
      <c r="QHS82" s="570"/>
      <c r="QHT82" s="570"/>
      <c r="QHU82" s="570"/>
      <c r="QHV82" s="570"/>
      <c r="QHW82" s="570"/>
      <c r="QHX82" s="570"/>
      <c r="QHY82" s="570"/>
      <c r="QHZ82" s="570"/>
      <c r="QIA82" s="570"/>
      <c r="QIB82" s="570"/>
      <c r="QIC82" s="570"/>
      <c r="QID82" s="570"/>
      <c r="QIE82" s="570"/>
      <c r="QIF82" s="570"/>
      <c r="QIG82" s="570"/>
      <c r="QIH82" s="570"/>
      <c r="QII82" s="570"/>
      <c r="QIJ82" s="570"/>
      <c r="QIK82" s="570"/>
      <c r="QIL82" s="570"/>
      <c r="QIM82" s="570"/>
      <c r="QIN82" s="570"/>
      <c r="QIO82" s="570"/>
      <c r="QIP82" s="570"/>
      <c r="QIQ82" s="570"/>
      <c r="QIR82" s="570"/>
      <c r="QIS82" s="570"/>
      <c r="QIT82" s="570"/>
      <c r="QIU82" s="570"/>
      <c r="QIV82" s="570"/>
      <c r="QIW82" s="570"/>
      <c r="QIX82" s="570"/>
      <c r="QIY82" s="570"/>
      <c r="QIZ82" s="570"/>
      <c r="QJA82" s="570"/>
      <c r="QJB82" s="570"/>
      <c r="QJC82" s="570"/>
      <c r="QJD82" s="570"/>
      <c r="QJE82" s="570"/>
      <c r="QJF82" s="570"/>
      <c r="QJG82" s="570"/>
      <c r="QJH82" s="570"/>
      <c r="QJI82" s="570"/>
      <c r="QJJ82" s="570"/>
      <c r="QJK82" s="570"/>
      <c r="QJL82" s="570"/>
      <c r="QJM82" s="570"/>
      <c r="QJN82" s="570"/>
      <c r="QJO82" s="570"/>
      <c r="QJP82" s="570"/>
      <c r="QJQ82" s="570"/>
      <c r="QJR82" s="570"/>
      <c r="QJS82" s="570"/>
      <c r="QJT82" s="570"/>
      <c r="QJU82" s="570"/>
      <c r="QJV82" s="570"/>
      <c r="QJW82" s="570"/>
      <c r="QJX82" s="570"/>
      <c r="QJY82" s="570"/>
      <c r="QJZ82" s="570"/>
      <c r="QKA82" s="570"/>
      <c r="QKB82" s="570"/>
      <c r="QKC82" s="570"/>
      <c r="QKD82" s="570"/>
      <c r="QKE82" s="570"/>
      <c r="QKF82" s="570"/>
      <c r="QKG82" s="570"/>
      <c r="QKH82" s="570"/>
      <c r="QKI82" s="570"/>
      <c r="QKJ82" s="570"/>
      <c r="QKK82" s="570"/>
      <c r="QKL82" s="570"/>
      <c r="QKM82" s="570"/>
      <c r="QKN82" s="570"/>
      <c r="QKO82" s="570"/>
      <c r="QKP82" s="570"/>
      <c r="QKQ82" s="570"/>
      <c r="QKR82" s="570"/>
      <c r="QKS82" s="570"/>
      <c r="QKT82" s="570"/>
      <c r="QKU82" s="570"/>
      <c r="QKV82" s="570"/>
      <c r="QKW82" s="570"/>
      <c r="QKX82" s="570"/>
      <c r="QKY82" s="570"/>
      <c r="QKZ82" s="570"/>
      <c r="QLA82" s="570"/>
      <c r="QLB82" s="570"/>
      <c r="QLC82" s="570"/>
      <c r="QLD82" s="570"/>
      <c r="QLE82" s="570"/>
      <c r="QLF82" s="570"/>
      <c r="QLG82" s="570"/>
      <c r="QLH82" s="570"/>
      <c r="QLI82" s="570"/>
      <c r="QLJ82" s="570"/>
      <c r="QLK82" s="570"/>
      <c r="QLL82" s="570"/>
      <c r="QLM82" s="570"/>
      <c r="QLN82" s="570"/>
      <c r="QLO82" s="570"/>
      <c r="QLP82" s="570"/>
      <c r="QLQ82" s="570"/>
      <c r="QLR82" s="570"/>
      <c r="QLS82" s="570"/>
      <c r="QLT82" s="570"/>
      <c r="QLU82" s="570"/>
      <c r="QLV82" s="570"/>
      <c r="QLW82" s="570"/>
      <c r="QLX82" s="570"/>
      <c r="QLY82" s="570"/>
      <c r="QLZ82" s="570"/>
      <c r="QMA82" s="570"/>
      <c r="QMB82" s="570"/>
      <c r="QMC82" s="570"/>
      <c r="QMD82" s="570"/>
      <c r="QME82" s="570"/>
      <c r="QMF82" s="570"/>
      <c r="QMG82" s="570"/>
      <c r="QMH82" s="570"/>
      <c r="QMI82" s="570"/>
      <c r="QMJ82" s="570"/>
      <c r="QMK82" s="570"/>
      <c r="QML82" s="570"/>
      <c r="QMM82" s="570"/>
      <c r="QMN82" s="570"/>
      <c r="QMO82" s="570"/>
      <c r="QMP82" s="570"/>
      <c r="QMQ82" s="570"/>
      <c r="QMR82" s="570"/>
      <c r="QMS82" s="570"/>
      <c r="QMT82" s="570"/>
      <c r="QMU82" s="570"/>
      <c r="QMV82" s="570"/>
      <c r="QMW82" s="570"/>
      <c r="QMX82" s="570"/>
      <c r="QMY82" s="570"/>
      <c r="QMZ82" s="570"/>
      <c r="QNA82" s="570"/>
      <c r="QNB82" s="570"/>
      <c r="QNC82" s="570"/>
      <c r="QND82" s="570"/>
      <c r="QNE82" s="570"/>
      <c r="QNF82" s="570"/>
      <c r="QNG82" s="570"/>
      <c r="QNH82" s="570"/>
      <c r="QNI82" s="570"/>
      <c r="QNJ82" s="570"/>
      <c r="QNK82" s="570"/>
      <c r="QNL82" s="570"/>
      <c r="QNM82" s="570"/>
      <c r="QNN82" s="570"/>
      <c r="QNO82" s="570"/>
      <c r="QNP82" s="570"/>
      <c r="QNQ82" s="570"/>
      <c r="QNR82" s="570"/>
      <c r="QNS82" s="570"/>
      <c r="QNT82" s="570"/>
      <c r="QNU82" s="570"/>
      <c r="QNV82" s="570"/>
      <c r="QNW82" s="570"/>
      <c r="QNX82" s="570"/>
      <c r="QNY82" s="570"/>
      <c r="QNZ82" s="570"/>
      <c r="QOA82" s="570"/>
      <c r="QOB82" s="570"/>
      <c r="QOC82" s="570"/>
      <c r="QOD82" s="570"/>
      <c r="QOE82" s="570"/>
      <c r="QOF82" s="570"/>
      <c r="QOG82" s="570"/>
      <c r="QOH82" s="570"/>
      <c r="QOI82" s="570"/>
      <c r="QOJ82" s="570"/>
      <c r="QOK82" s="570"/>
      <c r="QOL82" s="570"/>
      <c r="QOM82" s="570"/>
      <c r="QON82" s="570"/>
      <c r="QOO82" s="570"/>
      <c r="QOP82" s="570"/>
      <c r="QOQ82" s="570"/>
      <c r="QOR82" s="570"/>
      <c r="QOS82" s="570"/>
      <c r="QOT82" s="570"/>
      <c r="QOU82" s="570"/>
      <c r="QOV82" s="570"/>
      <c r="QOW82" s="570"/>
      <c r="QOX82" s="570"/>
      <c r="QOY82" s="570"/>
      <c r="QOZ82" s="570"/>
      <c r="QPA82" s="570"/>
      <c r="QPB82" s="570"/>
      <c r="QPC82" s="570"/>
      <c r="QPD82" s="570"/>
      <c r="QPE82" s="570"/>
      <c r="QPF82" s="570"/>
      <c r="QPG82" s="570"/>
      <c r="QPH82" s="570"/>
      <c r="QPI82" s="570"/>
      <c r="QPJ82" s="570"/>
      <c r="QPK82" s="570"/>
      <c r="QPL82" s="570"/>
      <c r="QPM82" s="570"/>
      <c r="QPN82" s="570"/>
      <c r="QPO82" s="570"/>
      <c r="QPP82" s="570"/>
      <c r="QPQ82" s="570"/>
      <c r="QPR82" s="570"/>
      <c r="QPS82" s="570"/>
      <c r="QPT82" s="570"/>
      <c r="QPU82" s="570"/>
      <c r="QPV82" s="570"/>
      <c r="QPW82" s="570"/>
      <c r="QPX82" s="570"/>
      <c r="QPY82" s="570"/>
      <c r="QPZ82" s="570"/>
      <c r="QQA82" s="570"/>
      <c r="QQB82" s="570"/>
      <c r="QQC82" s="570"/>
      <c r="QQD82" s="570"/>
      <c r="QQE82" s="570"/>
      <c r="QQF82" s="570"/>
      <c r="QQG82" s="570"/>
      <c r="QQH82" s="570"/>
      <c r="QQI82" s="570"/>
      <c r="QQJ82" s="570"/>
      <c r="QQK82" s="570"/>
      <c r="QQL82" s="570"/>
      <c r="QQM82" s="570"/>
      <c r="QQN82" s="570"/>
      <c r="QQO82" s="570"/>
      <c r="QQP82" s="570"/>
      <c r="QQQ82" s="570"/>
      <c r="QQR82" s="570"/>
      <c r="QQS82" s="570"/>
      <c r="QQT82" s="570"/>
      <c r="QQU82" s="570"/>
      <c r="QQV82" s="570"/>
      <c r="QQW82" s="570"/>
      <c r="QQX82" s="570"/>
      <c r="QQY82" s="570"/>
      <c r="QQZ82" s="570"/>
      <c r="QRA82" s="570"/>
      <c r="QRB82" s="570"/>
      <c r="QRC82" s="570"/>
      <c r="QRD82" s="570"/>
      <c r="QRE82" s="570"/>
      <c r="QRF82" s="570"/>
      <c r="QRG82" s="570"/>
      <c r="QRH82" s="570"/>
      <c r="QRI82" s="570"/>
      <c r="QRJ82" s="570"/>
      <c r="QRK82" s="570"/>
      <c r="QRL82" s="570"/>
      <c r="QRM82" s="570"/>
      <c r="QRN82" s="570"/>
      <c r="QRO82" s="570"/>
      <c r="QRP82" s="570"/>
      <c r="QRQ82" s="570"/>
      <c r="QRR82" s="570"/>
      <c r="QRS82" s="570"/>
      <c r="QRT82" s="570"/>
      <c r="QRU82" s="570"/>
      <c r="QRV82" s="570"/>
      <c r="QRW82" s="570"/>
      <c r="QRX82" s="570"/>
      <c r="QRY82" s="570"/>
      <c r="QRZ82" s="570"/>
      <c r="QSA82" s="570"/>
      <c r="QSB82" s="570"/>
      <c r="QSC82" s="570"/>
      <c r="QSD82" s="570"/>
      <c r="QSE82" s="570"/>
      <c r="QSF82" s="570"/>
      <c r="QSG82" s="570"/>
      <c r="QSH82" s="570"/>
      <c r="QSI82" s="570"/>
      <c r="QSJ82" s="570"/>
      <c r="QSK82" s="570"/>
      <c r="QSL82" s="570"/>
      <c r="QSM82" s="570"/>
      <c r="QSN82" s="570"/>
      <c r="QSO82" s="570"/>
      <c r="QSP82" s="570"/>
      <c r="QSQ82" s="570"/>
      <c r="QSR82" s="570"/>
      <c r="QSS82" s="570"/>
      <c r="QST82" s="570"/>
      <c r="QSU82" s="570"/>
      <c r="QSV82" s="570"/>
      <c r="QSW82" s="570"/>
      <c r="QSX82" s="570"/>
      <c r="QSY82" s="570"/>
      <c r="QSZ82" s="570"/>
      <c r="QTA82" s="570"/>
      <c r="QTB82" s="570"/>
      <c r="QTC82" s="570"/>
      <c r="QTD82" s="570"/>
      <c r="QTE82" s="570"/>
      <c r="QTF82" s="570"/>
      <c r="QTG82" s="570"/>
      <c r="QTH82" s="570"/>
      <c r="QTI82" s="570"/>
      <c r="QTJ82" s="570"/>
      <c r="QTK82" s="570"/>
      <c r="QTL82" s="570"/>
      <c r="QTM82" s="570"/>
      <c r="QTN82" s="570"/>
      <c r="QTO82" s="570"/>
      <c r="QTP82" s="570"/>
      <c r="QTQ82" s="570"/>
      <c r="QTR82" s="570"/>
      <c r="QTS82" s="570"/>
      <c r="QTT82" s="570"/>
      <c r="QTU82" s="570"/>
      <c r="QTV82" s="570"/>
      <c r="QTW82" s="570"/>
      <c r="QTX82" s="570"/>
      <c r="QTY82" s="570"/>
      <c r="QTZ82" s="570"/>
      <c r="QUA82" s="570"/>
      <c r="QUB82" s="570"/>
      <c r="QUC82" s="570"/>
      <c r="QUD82" s="570"/>
      <c r="QUE82" s="570"/>
      <c r="QUF82" s="570"/>
      <c r="QUG82" s="570"/>
      <c r="QUH82" s="570"/>
      <c r="QUI82" s="570"/>
      <c r="QUJ82" s="570"/>
      <c r="QUK82" s="570"/>
      <c r="QUL82" s="570"/>
      <c r="QUM82" s="570"/>
      <c r="QUN82" s="570"/>
      <c r="QUO82" s="570"/>
      <c r="QUP82" s="570"/>
      <c r="QUQ82" s="570"/>
      <c r="QUR82" s="570"/>
      <c r="QUS82" s="570"/>
      <c r="QUT82" s="570"/>
      <c r="QUU82" s="570"/>
      <c r="QUV82" s="570"/>
      <c r="QUW82" s="570"/>
      <c r="QUX82" s="570"/>
      <c r="QUY82" s="570"/>
      <c r="QUZ82" s="570"/>
      <c r="QVA82" s="570"/>
      <c r="QVB82" s="570"/>
      <c r="QVC82" s="570"/>
      <c r="QVD82" s="570"/>
      <c r="QVE82" s="570"/>
      <c r="QVF82" s="570"/>
      <c r="QVG82" s="570"/>
      <c r="QVH82" s="570"/>
      <c r="QVI82" s="570"/>
      <c r="QVJ82" s="570"/>
      <c r="QVK82" s="570"/>
      <c r="QVL82" s="570"/>
      <c r="QVM82" s="570"/>
      <c r="QVN82" s="570"/>
      <c r="QVO82" s="570"/>
      <c r="QVP82" s="570"/>
      <c r="QVQ82" s="570"/>
      <c r="QVR82" s="570"/>
      <c r="QVS82" s="570"/>
      <c r="QVT82" s="570"/>
      <c r="QVU82" s="570"/>
      <c r="QVV82" s="570"/>
      <c r="QVW82" s="570"/>
      <c r="QVX82" s="570"/>
      <c r="QVY82" s="570"/>
      <c r="QVZ82" s="570"/>
      <c r="QWA82" s="570"/>
      <c r="QWB82" s="570"/>
      <c r="QWC82" s="570"/>
      <c r="QWD82" s="570"/>
      <c r="QWE82" s="570"/>
      <c r="QWF82" s="570"/>
      <c r="QWG82" s="570"/>
      <c r="QWH82" s="570"/>
      <c r="QWI82" s="570"/>
      <c r="QWJ82" s="570"/>
      <c r="QWK82" s="570"/>
      <c r="QWL82" s="570"/>
      <c r="QWM82" s="570"/>
      <c r="QWN82" s="570"/>
      <c r="QWO82" s="570"/>
      <c r="QWP82" s="570"/>
      <c r="QWQ82" s="570"/>
      <c r="QWR82" s="570"/>
      <c r="QWS82" s="570"/>
      <c r="QWT82" s="570"/>
      <c r="QWU82" s="570"/>
      <c r="QWV82" s="570"/>
      <c r="QWW82" s="570"/>
      <c r="QWX82" s="570"/>
      <c r="QWY82" s="570"/>
      <c r="QWZ82" s="570"/>
      <c r="QXA82" s="570"/>
      <c r="QXB82" s="570"/>
      <c r="QXC82" s="570"/>
      <c r="QXD82" s="570"/>
      <c r="QXE82" s="570"/>
      <c r="QXF82" s="570"/>
      <c r="QXG82" s="570"/>
      <c r="QXH82" s="570"/>
      <c r="QXI82" s="570"/>
      <c r="QXJ82" s="570"/>
      <c r="QXK82" s="570"/>
      <c r="QXL82" s="570"/>
      <c r="QXM82" s="570"/>
      <c r="QXN82" s="570"/>
      <c r="QXO82" s="570"/>
      <c r="QXP82" s="570"/>
      <c r="QXQ82" s="570"/>
      <c r="QXR82" s="570"/>
      <c r="QXS82" s="570"/>
      <c r="QXT82" s="570"/>
      <c r="QXU82" s="570"/>
      <c r="QXV82" s="570"/>
      <c r="QXW82" s="570"/>
      <c r="QXX82" s="570"/>
      <c r="QXY82" s="570"/>
      <c r="QXZ82" s="570"/>
      <c r="QYA82" s="570"/>
      <c r="QYB82" s="570"/>
      <c r="QYC82" s="570"/>
      <c r="QYD82" s="570"/>
      <c r="QYE82" s="570"/>
      <c r="QYF82" s="570"/>
      <c r="QYG82" s="570"/>
      <c r="QYH82" s="570"/>
      <c r="QYI82" s="570"/>
      <c r="QYJ82" s="570"/>
      <c r="QYK82" s="570"/>
      <c r="QYL82" s="570"/>
      <c r="QYM82" s="570"/>
      <c r="QYN82" s="570"/>
      <c r="QYO82" s="570"/>
      <c r="QYP82" s="570"/>
      <c r="QYQ82" s="570"/>
      <c r="QYR82" s="570"/>
      <c r="QYS82" s="570"/>
      <c r="QYT82" s="570"/>
      <c r="QYU82" s="570"/>
      <c r="QYV82" s="570"/>
      <c r="QYW82" s="570"/>
      <c r="QYX82" s="570"/>
      <c r="QYY82" s="570"/>
      <c r="QYZ82" s="570"/>
      <c r="QZA82" s="570"/>
      <c r="QZB82" s="570"/>
      <c r="QZC82" s="570"/>
      <c r="QZD82" s="570"/>
      <c r="QZE82" s="570"/>
      <c r="QZF82" s="570"/>
      <c r="QZG82" s="570"/>
      <c r="QZH82" s="570"/>
      <c r="QZI82" s="570"/>
      <c r="QZJ82" s="570"/>
      <c r="QZK82" s="570"/>
      <c r="QZL82" s="570"/>
      <c r="QZM82" s="570"/>
      <c r="QZN82" s="570"/>
      <c r="QZO82" s="570"/>
      <c r="QZP82" s="570"/>
      <c r="QZQ82" s="570"/>
      <c r="QZR82" s="570"/>
      <c r="QZS82" s="570"/>
      <c r="QZT82" s="570"/>
      <c r="QZU82" s="570"/>
      <c r="QZV82" s="570"/>
      <c r="QZW82" s="570"/>
      <c r="QZX82" s="570"/>
      <c r="QZY82" s="570"/>
      <c r="QZZ82" s="570"/>
      <c r="RAA82" s="570"/>
      <c r="RAB82" s="570"/>
      <c r="RAC82" s="570"/>
      <c r="RAD82" s="570"/>
      <c r="RAE82" s="570"/>
      <c r="RAF82" s="570"/>
      <c r="RAG82" s="570"/>
      <c r="RAH82" s="570"/>
      <c r="RAI82" s="570"/>
      <c r="RAJ82" s="570"/>
      <c r="RAK82" s="570"/>
      <c r="RAL82" s="570"/>
      <c r="RAM82" s="570"/>
      <c r="RAN82" s="570"/>
      <c r="RAO82" s="570"/>
      <c r="RAP82" s="570"/>
      <c r="RAQ82" s="570"/>
      <c r="RAR82" s="570"/>
      <c r="RAS82" s="570"/>
      <c r="RAT82" s="570"/>
      <c r="RAU82" s="570"/>
      <c r="RAV82" s="570"/>
      <c r="RAW82" s="570"/>
      <c r="RAX82" s="570"/>
      <c r="RAY82" s="570"/>
      <c r="RAZ82" s="570"/>
      <c r="RBA82" s="570"/>
      <c r="RBB82" s="570"/>
      <c r="RBC82" s="570"/>
      <c r="RBD82" s="570"/>
      <c r="RBE82" s="570"/>
      <c r="RBF82" s="570"/>
      <c r="RBG82" s="570"/>
      <c r="RBH82" s="570"/>
      <c r="RBI82" s="570"/>
      <c r="RBJ82" s="570"/>
      <c r="RBK82" s="570"/>
      <c r="RBL82" s="570"/>
      <c r="RBM82" s="570"/>
      <c r="RBN82" s="570"/>
      <c r="RBO82" s="570"/>
      <c r="RBP82" s="570"/>
      <c r="RBQ82" s="570"/>
      <c r="RBR82" s="570"/>
      <c r="RBS82" s="570"/>
      <c r="RBT82" s="570"/>
      <c r="RBU82" s="570"/>
      <c r="RBV82" s="570"/>
      <c r="RBW82" s="570"/>
      <c r="RBX82" s="570"/>
      <c r="RBY82" s="570"/>
      <c r="RBZ82" s="570"/>
      <c r="RCA82" s="570"/>
      <c r="RCB82" s="570"/>
      <c r="RCC82" s="570"/>
      <c r="RCD82" s="570"/>
      <c r="RCE82" s="570"/>
      <c r="RCF82" s="570"/>
      <c r="RCG82" s="570"/>
      <c r="RCH82" s="570"/>
      <c r="RCI82" s="570"/>
      <c r="RCJ82" s="570"/>
      <c r="RCK82" s="570"/>
      <c r="RCL82" s="570"/>
      <c r="RCM82" s="570"/>
      <c r="RCN82" s="570"/>
      <c r="RCO82" s="570"/>
      <c r="RCP82" s="570"/>
      <c r="RCQ82" s="570"/>
      <c r="RCR82" s="570"/>
      <c r="RCS82" s="570"/>
      <c r="RCT82" s="570"/>
      <c r="RCU82" s="570"/>
      <c r="RCV82" s="570"/>
      <c r="RCW82" s="570"/>
      <c r="RCX82" s="570"/>
      <c r="RCY82" s="570"/>
      <c r="RCZ82" s="570"/>
      <c r="RDA82" s="570"/>
      <c r="RDB82" s="570"/>
      <c r="RDC82" s="570"/>
      <c r="RDD82" s="570"/>
      <c r="RDE82" s="570"/>
      <c r="RDF82" s="570"/>
      <c r="RDG82" s="570"/>
      <c r="RDH82" s="570"/>
      <c r="RDI82" s="570"/>
      <c r="RDJ82" s="570"/>
      <c r="RDK82" s="570"/>
      <c r="RDL82" s="570"/>
      <c r="RDM82" s="570"/>
      <c r="RDN82" s="570"/>
      <c r="RDO82" s="570"/>
      <c r="RDP82" s="570"/>
      <c r="RDQ82" s="570"/>
      <c r="RDR82" s="570"/>
      <c r="RDS82" s="570"/>
      <c r="RDT82" s="570"/>
      <c r="RDU82" s="570"/>
      <c r="RDV82" s="570"/>
      <c r="RDW82" s="570"/>
      <c r="RDX82" s="570"/>
      <c r="RDY82" s="570"/>
      <c r="RDZ82" s="570"/>
      <c r="REA82" s="570"/>
      <c r="REB82" s="570"/>
      <c r="REC82" s="570"/>
      <c r="RED82" s="570"/>
      <c r="REE82" s="570"/>
      <c r="REF82" s="570"/>
      <c r="REG82" s="570"/>
      <c r="REH82" s="570"/>
      <c r="REI82" s="570"/>
      <c r="REJ82" s="570"/>
      <c r="REK82" s="570"/>
      <c r="REL82" s="570"/>
      <c r="REM82" s="570"/>
      <c r="REN82" s="570"/>
      <c r="REO82" s="570"/>
      <c r="REP82" s="570"/>
      <c r="REQ82" s="570"/>
      <c r="RER82" s="570"/>
      <c r="RES82" s="570"/>
      <c r="RET82" s="570"/>
      <c r="REU82" s="570"/>
      <c r="REV82" s="570"/>
      <c r="REW82" s="570"/>
      <c r="REX82" s="570"/>
      <c r="REY82" s="570"/>
      <c r="REZ82" s="570"/>
      <c r="RFA82" s="570"/>
      <c r="RFB82" s="570"/>
      <c r="RFC82" s="570"/>
      <c r="RFD82" s="570"/>
      <c r="RFE82" s="570"/>
      <c r="RFF82" s="570"/>
      <c r="RFG82" s="570"/>
      <c r="RFH82" s="570"/>
      <c r="RFI82" s="570"/>
      <c r="RFJ82" s="570"/>
      <c r="RFK82" s="570"/>
      <c r="RFL82" s="570"/>
      <c r="RFM82" s="570"/>
      <c r="RFN82" s="570"/>
      <c r="RFO82" s="570"/>
      <c r="RFP82" s="570"/>
      <c r="RFQ82" s="570"/>
      <c r="RFR82" s="570"/>
      <c r="RFS82" s="570"/>
      <c r="RFT82" s="570"/>
      <c r="RFU82" s="570"/>
      <c r="RFV82" s="570"/>
      <c r="RFW82" s="570"/>
      <c r="RFX82" s="570"/>
      <c r="RFY82" s="570"/>
      <c r="RFZ82" s="570"/>
      <c r="RGA82" s="570"/>
      <c r="RGB82" s="570"/>
      <c r="RGC82" s="570"/>
      <c r="RGD82" s="570"/>
      <c r="RGE82" s="570"/>
      <c r="RGF82" s="570"/>
      <c r="RGG82" s="570"/>
      <c r="RGH82" s="570"/>
      <c r="RGI82" s="570"/>
      <c r="RGJ82" s="570"/>
      <c r="RGK82" s="570"/>
      <c r="RGL82" s="570"/>
      <c r="RGM82" s="570"/>
      <c r="RGN82" s="570"/>
      <c r="RGO82" s="570"/>
      <c r="RGP82" s="570"/>
      <c r="RGQ82" s="570"/>
      <c r="RGR82" s="570"/>
      <c r="RGS82" s="570"/>
      <c r="RGT82" s="570"/>
      <c r="RGU82" s="570"/>
      <c r="RGV82" s="570"/>
      <c r="RGW82" s="570"/>
      <c r="RGX82" s="570"/>
      <c r="RGY82" s="570"/>
      <c r="RGZ82" s="570"/>
      <c r="RHA82" s="570"/>
      <c r="RHB82" s="570"/>
      <c r="RHC82" s="570"/>
      <c r="RHD82" s="570"/>
      <c r="RHE82" s="570"/>
      <c r="RHF82" s="570"/>
      <c r="RHG82" s="570"/>
      <c r="RHH82" s="570"/>
      <c r="RHI82" s="570"/>
      <c r="RHJ82" s="570"/>
      <c r="RHK82" s="570"/>
      <c r="RHL82" s="570"/>
      <c r="RHM82" s="570"/>
      <c r="RHN82" s="570"/>
      <c r="RHO82" s="570"/>
      <c r="RHP82" s="570"/>
      <c r="RHQ82" s="570"/>
      <c r="RHR82" s="570"/>
      <c r="RHS82" s="570"/>
      <c r="RHT82" s="570"/>
      <c r="RHU82" s="570"/>
      <c r="RHV82" s="570"/>
      <c r="RHW82" s="570"/>
      <c r="RHX82" s="570"/>
      <c r="RHY82" s="570"/>
      <c r="RHZ82" s="570"/>
      <c r="RIA82" s="570"/>
      <c r="RIB82" s="570"/>
      <c r="RIC82" s="570"/>
      <c r="RID82" s="570"/>
      <c r="RIE82" s="570"/>
      <c r="RIF82" s="570"/>
      <c r="RIG82" s="570"/>
      <c r="RIH82" s="570"/>
      <c r="RII82" s="570"/>
      <c r="RIJ82" s="570"/>
      <c r="RIK82" s="570"/>
      <c r="RIL82" s="570"/>
      <c r="RIM82" s="570"/>
      <c r="RIN82" s="570"/>
      <c r="RIO82" s="570"/>
      <c r="RIP82" s="570"/>
      <c r="RIQ82" s="570"/>
      <c r="RIR82" s="570"/>
      <c r="RIS82" s="570"/>
      <c r="RIT82" s="570"/>
      <c r="RIU82" s="570"/>
      <c r="RIV82" s="570"/>
      <c r="RIW82" s="570"/>
      <c r="RIX82" s="570"/>
      <c r="RIY82" s="570"/>
      <c r="RIZ82" s="570"/>
      <c r="RJA82" s="570"/>
      <c r="RJB82" s="570"/>
      <c r="RJC82" s="570"/>
      <c r="RJD82" s="570"/>
      <c r="RJE82" s="570"/>
      <c r="RJF82" s="570"/>
      <c r="RJG82" s="570"/>
      <c r="RJH82" s="570"/>
      <c r="RJI82" s="570"/>
      <c r="RJJ82" s="570"/>
      <c r="RJK82" s="570"/>
      <c r="RJL82" s="570"/>
      <c r="RJM82" s="570"/>
      <c r="RJN82" s="570"/>
      <c r="RJO82" s="570"/>
      <c r="RJP82" s="570"/>
      <c r="RJQ82" s="570"/>
      <c r="RJR82" s="570"/>
      <c r="RJS82" s="570"/>
      <c r="RJT82" s="570"/>
      <c r="RJU82" s="570"/>
      <c r="RJV82" s="570"/>
      <c r="RJW82" s="570"/>
      <c r="RJX82" s="570"/>
      <c r="RJY82" s="570"/>
      <c r="RJZ82" s="570"/>
      <c r="RKA82" s="570"/>
      <c r="RKB82" s="570"/>
      <c r="RKC82" s="570"/>
      <c r="RKD82" s="570"/>
      <c r="RKE82" s="570"/>
      <c r="RKF82" s="570"/>
      <c r="RKG82" s="570"/>
      <c r="RKH82" s="570"/>
      <c r="RKI82" s="570"/>
      <c r="RKJ82" s="570"/>
      <c r="RKK82" s="570"/>
      <c r="RKL82" s="570"/>
      <c r="RKM82" s="570"/>
      <c r="RKN82" s="570"/>
      <c r="RKO82" s="570"/>
      <c r="RKP82" s="570"/>
      <c r="RKQ82" s="570"/>
      <c r="RKR82" s="570"/>
      <c r="RKS82" s="570"/>
      <c r="RKT82" s="570"/>
      <c r="RKU82" s="570"/>
      <c r="RKV82" s="570"/>
      <c r="RKW82" s="570"/>
      <c r="RKX82" s="570"/>
      <c r="RKY82" s="570"/>
      <c r="RKZ82" s="570"/>
      <c r="RLA82" s="570"/>
      <c r="RLB82" s="570"/>
      <c r="RLC82" s="570"/>
      <c r="RLD82" s="570"/>
      <c r="RLE82" s="570"/>
      <c r="RLF82" s="570"/>
      <c r="RLG82" s="570"/>
      <c r="RLH82" s="570"/>
      <c r="RLI82" s="570"/>
      <c r="RLJ82" s="570"/>
      <c r="RLK82" s="570"/>
      <c r="RLL82" s="570"/>
      <c r="RLM82" s="570"/>
      <c r="RLN82" s="570"/>
      <c r="RLO82" s="570"/>
      <c r="RLP82" s="570"/>
      <c r="RLQ82" s="570"/>
      <c r="RLR82" s="570"/>
      <c r="RLS82" s="570"/>
      <c r="RLT82" s="570"/>
      <c r="RLU82" s="570"/>
      <c r="RLV82" s="570"/>
      <c r="RLW82" s="570"/>
      <c r="RLX82" s="570"/>
      <c r="RLY82" s="570"/>
      <c r="RLZ82" s="570"/>
      <c r="RMA82" s="570"/>
      <c r="RMB82" s="570"/>
      <c r="RMC82" s="570"/>
      <c r="RMD82" s="570"/>
      <c r="RME82" s="570"/>
      <c r="RMF82" s="570"/>
      <c r="RMG82" s="570"/>
      <c r="RMH82" s="570"/>
      <c r="RMI82" s="570"/>
      <c r="RMJ82" s="570"/>
      <c r="RMK82" s="570"/>
      <c r="RML82" s="570"/>
      <c r="RMM82" s="570"/>
      <c r="RMN82" s="570"/>
      <c r="RMO82" s="570"/>
      <c r="RMP82" s="570"/>
      <c r="RMQ82" s="570"/>
      <c r="RMR82" s="570"/>
      <c r="RMS82" s="570"/>
      <c r="RMT82" s="570"/>
      <c r="RMU82" s="570"/>
      <c r="RMV82" s="570"/>
      <c r="RMW82" s="570"/>
      <c r="RMX82" s="570"/>
      <c r="RMY82" s="570"/>
      <c r="RMZ82" s="570"/>
      <c r="RNA82" s="570"/>
      <c r="RNB82" s="570"/>
      <c r="RNC82" s="570"/>
      <c r="RND82" s="570"/>
      <c r="RNE82" s="570"/>
      <c r="RNF82" s="570"/>
      <c r="RNG82" s="570"/>
      <c r="RNH82" s="570"/>
      <c r="RNI82" s="570"/>
      <c r="RNJ82" s="570"/>
      <c r="RNK82" s="570"/>
      <c r="RNL82" s="570"/>
      <c r="RNM82" s="570"/>
      <c r="RNN82" s="570"/>
      <c r="RNO82" s="570"/>
      <c r="RNP82" s="570"/>
      <c r="RNQ82" s="570"/>
      <c r="RNR82" s="570"/>
      <c r="RNS82" s="570"/>
      <c r="RNT82" s="570"/>
      <c r="RNU82" s="570"/>
      <c r="RNV82" s="570"/>
      <c r="RNW82" s="570"/>
      <c r="RNX82" s="570"/>
      <c r="RNY82" s="570"/>
      <c r="RNZ82" s="570"/>
      <c r="ROA82" s="570"/>
      <c r="ROB82" s="570"/>
      <c r="ROC82" s="570"/>
      <c r="ROD82" s="570"/>
      <c r="ROE82" s="570"/>
      <c r="ROF82" s="570"/>
      <c r="ROG82" s="570"/>
      <c r="ROH82" s="570"/>
      <c r="ROI82" s="570"/>
      <c r="ROJ82" s="570"/>
      <c r="ROK82" s="570"/>
      <c r="ROL82" s="570"/>
      <c r="ROM82" s="570"/>
      <c r="RON82" s="570"/>
      <c r="ROO82" s="570"/>
      <c r="ROP82" s="570"/>
      <c r="ROQ82" s="570"/>
      <c r="ROR82" s="570"/>
      <c r="ROS82" s="570"/>
      <c r="ROT82" s="570"/>
      <c r="ROU82" s="570"/>
      <c r="ROV82" s="570"/>
      <c r="ROW82" s="570"/>
      <c r="ROX82" s="570"/>
      <c r="ROY82" s="570"/>
      <c r="ROZ82" s="570"/>
      <c r="RPA82" s="570"/>
      <c r="RPB82" s="570"/>
      <c r="RPC82" s="570"/>
      <c r="RPD82" s="570"/>
      <c r="RPE82" s="570"/>
      <c r="RPF82" s="570"/>
      <c r="RPG82" s="570"/>
      <c r="RPH82" s="570"/>
      <c r="RPI82" s="570"/>
      <c r="RPJ82" s="570"/>
      <c r="RPK82" s="570"/>
      <c r="RPL82" s="570"/>
      <c r="RPM82" s="570"/>
      <c r="RPN82" s="570"/>
      <c r="RPO82" s="570"/>
      <c r="RPP82" s="570"/>
      <c r="RPQ82" s="570"/>
      <c r="RPR82" s="570"/>
      <c r="RPS82" s="570"/>
      <c r="RPT82" s="570"/>
      <c r="RPU82" s="570"/>
      <c r="RPV82" s="570"/>
      <c r="RPW82" s="570"/>
      <c r="RPX82" s="570"/>
      <c r="RPY82" s="570"/>
      <c r="RPZ82" s="570"/>
      <c r="RQA82" s="570"/>
      <c r="RQB82" s="570"/>
      <c r="RQC82" s="570"/>
      <c r="RQD82" s="570"/>
      <c r="RQE82" s="570"/>
      <c r="RQF82" s="570"/>
      <c r="RQG82" s="570"/>
      <c r="RQH82" s="570"/>
      <c r="RQI82" s="570"/>
      <c r="RQJ82" s="570"/>
      <c r="RQK82" s="570"/>
      <c r="RQL82" s="570"/>
      <c r="RQM82" s="570"/>
      <c r="RQN82" s="570"/>
      <c r="RQO82" s="570"/>
      <c r="RQP82" s="570"/>
      <c r="RQQ82" s="570"/>
      <c r="RQR82" s="570"/>
      <c r="RQS82" s="570"/>
      <c r="RQT82" s="570"/>
      <c r="RQU82" s="570"/>
      <c r="RQV82" s="570"/>
      <c r="RQW82" s="570"/>
      <c r="RQX82" s="570"/>
      <c r="RQY82" s="570"/>
      <c r="RQZ82" s="570"/>
      <c r="RRA82" s="570"/>
      <c r="RRB82" s="570"/>
      <c r="RRC82" s="570"/>
      <c r="RRD82" s="570"/>
      <c r="RRE82" s="570"/>
      <c r="RRF82" s="570"/>
      <c r="RRG82" s="570"/>
      <c r="RRH82" s="570"/>
      <c r="RRI82" s="570"/>
      <c r="RRJ82" s="570"/>
      <c r="RRK82" s="570"/>
      <c r="RRL82" s="570"/>
      <c r="RRM82" s="570"/>
      <c r="RRN82" s="570"/>
      <c r="RRO82" s="570"/>
      <c r="RRP82" s="570"/>
      <c r="RRQ82" s="570"/>
      <c r="RRR82" s="570"/>
      <c r="RRS82" s="570"/>
      <c r="RRT82" s="570"/>
      <c r="RRU82" s="570"/>
      <c r="RRV82" s="570"/>
      <c r="RRW82" s="570"/>
      <c r="RRX82" s="570"/>
      <c r="RRY82" s="570"/>
      <c r="RRZ82" s="570"/>
      <c r="RSA82" s="570"/>
      <c r="RSB82" s="570"/>
      <c r="RSC82" s="570"/>
      <c r="RSD82" s="570"/>
      <c r="RSE82" s="570"/>
      <c r="RSF82" s="570"/>
      <c r="RSG82" s="570"/>
      <c r="RSH82" s="570"/>
      <c r="RSI82" s="570"/>
      <c r="RSJ82" s="570"/>
      <c r="RSK82" s="570"/>
      <c r="RSL82" s="570"/>
      <c r="RSM82" s="570"/>
      <c r="RSN82" s="570"/>
      <c r="RSO82" s="570"/>
      <c r="RSP82" s="570"/>
      <c r="RSQ82" s="570"/>
      <c r="RSR82" s="570"/>
      <c r="RSS82" s="570"/>
      <c r="RST82" s="570"/>
      <c r="RSU82" s="570"/>
      <c r="RSV82" s="570"/>
      <c r="RSW82" s="570"/>
      <c r="RSX82" s="570"/>
      <c r="RSY82" s="570"/>
      <c r="RSZ82" s="570"/>
      <c r="RTA82" s="570"/>
      <c r="RTB82" s="570"/>
      <c r="RTC82" s="570"/>
      <c r="RTD82" s="570"/>
      <c r="RTE82" s="570"/>
      <c r="RTF82" s="570"/>
      <c r="RTG82" s="570"/>
      <c r="RTH82" s="570"/>
      <c r="RTI82" s="570"/>
      <c r="RTJ82" s="570"/>
      <c r="RTK82" s="570"/>
      <c r="RTL82" s="570"/>
      <c r="RTM82" s="570"/>
      <c r="RTN82" s="570"/>
      <c r="RTO82" s="570"/>
      <c r="RTP82" s="570"/>
      <c r="RTQ82" s="570"/>
      <c r="RTR82" s="570"/>
      <c r="RTS82" s="570"/>
      <c r="RTT82" s="570"/>
      <c r="RTU82" s="570"/>
      <c r="RTV82" s="570"/>
      <c r="RTW82" s="570"/>
      <c r="RTX82" s="570"/>
      <c r="RTY82" s="570"/>
      <c r="RTZ82" s="570"/>
      <c r="RUA82" s="570"/>
      <c r="RUB82" s="570"/>
      <c r="RUC82" s="570"/>
      <c r="RUD82" s="570"/>
      <c r="RUE82" s="570"/>
      <c r="RUF82" s="570"/>
      <c r="RUG82" s="570"/>
      <c r="RUH82" s="570"/>
      <c r="RUI82" s="570"/>
      <c r="RUJ82" s="570"/>
      <c r="RUK82" s="570"/>
      <c r="RUL82" s="570"/>
      <c r="RUM82" s="570"/>
      <c r="RUN82" s="570"/>
      <c r="RUO82" s="570"/>
      <c r="RUP82" s="570"/>
      <c r="RUQ82" s="570"/>
      <c r="RUR82" s="570"/>
      <c r="RUS82" s="570"/>
      <c r="RUT82" s="570"/>
      <c r="RUU82" s="570"/>
      <c r="RUV82" s="570"/>
      <c r="RUW82" s="570"/>
      <c r="RUX82" s="570"/>
      <c r="RUY82" s="570"/>
      <c r="RUZ82" s="570"/>
      <c r="RVA82" s="570"/>
      <c r="RVB82" s="570"/>
      <c r="RVC82" s="570"/>
      <c r="RVD82" s="570"/>
      <c r="RVE82" s="570"/>
      <c r="RVF82" s="570"/>
      <c r="RVG82" s="570"/>
      <c r="RVH82" s="570"/>
      <c r="RVI82" s="570"/>
      <c r="RVJ82" s="570"/>
      <c r="RVK82" s="570"/>
      <c r="RVL82" s="570"/>
      <c r="RVM82" s="570"/>
      <c r="RVN82" s="570"/>
      <c r="RVO82" s="570"/>
      <c r="RVP82" s="570"/>
      <c r="RVQ82" s="570"/>
      <c r="RVR82" s="570"/>
      <c r="RVS82" s="570"/>
      <c r="RVT82" s="570"/>
      <c r="RVU82" s="570"/>
      <c r="RVV82" s="570"/>
      <c r="RVW82" s="570"/>
      <c r="RVX82" s="570"/>
      <c r="RVY82" s="570"/>
      <c r="RVZ82" s="570"/>
      <c r="RWA82" s="570"/>
      <c r="RWB82" s="570"/>
      <c r="RWC82" s="570"/>
      <c r="RWD82" s="570"/>
      <c r="RWE82" s="570"/>
      <c r="RWF82" s="570"/>
      <c r="RWG82" s="570"/>
      <c r="RWH82" s="570"/>
      <c r="RWI82" s="570"/>
      <c r="RWJ82" s="570"/>
      <c r="RWK82" s="570"/>
      <c r="RWL82" s="570"/>
      <c r="RWM82" s="570"/>
      <c r="RWN82" s="570"/>
      <c r="RWO82" s="570"/>
      <c r="RWP82" s="570"/>
      <c r="RWQ82" s="570"/>
      <c r="RWR82" s="570"/>
      <c r="RWS82" s="570"/>
      <c r="RWT82" s="570"/>
      <c r="RWU82" s="570"/>
      <c r="RWV82" s="570"/>
      <c r="RWW82" s="570"/>
      <c r="RWX82" s="570"/>
      <c r="RWY82" s="570"/>
      <c r="RWZ82" s="570"/>
      <c r="RXA82" s="570"/>
      <c r="RXB82" s="570"/>
      <c r="RXC82" s="570"/>
      <c r="RXD82" s="570"/>
      <c r="RXE82" s="570"/>
      <c r="RXF82" s="570"/>
      <c r="RXG82" s="570"/>
      <c r="RXH82" s="570"/>
      <c r="RXI82" s="570"/>
      <c r="RXJ82" s="570"/>
      <c r="RXK82" s="570"/>
      <c r="RXL82" s="570"/>
      <c r="RXM82" s="570"/>
      <c r="RXN82" s="570"/>
      <c r="RXO82" s="570"/>
      <c r="RXP82" s="570"/>
      <c r="RXQ82" s="570"/>
      <c r="RXR82" s="570"/>
      <c r="RXS82" s="570"/>
      <c r="RXT82" s="570"/>
      <c r="RXU82" s="570"/>
      <c r="RXV82" s="570"/>
      <c r="RXW82" s="570"/>
      <c r="RXX82" s="570"/>
      <c r="RXY82" s="570"/>
      <c r="RXZ82" s="570"/>
      <c r="RYA82" s="570"/>
      <c r="RYB82" s="570"/>
      <c r="RYC82" s="570"/>
      <c r="RYD82" s="570"/>
      <c r="RYE82" s="570"/>
      <c r="RYF82" s="570"/>
      <c r="RYG82" s="570"/>
      <c r="RYH82" s="570"/>
      <c r="RYI82" s="570"/>
      <c r="RYJ82" s="570"/>
      <c r="RYK82" s="570"/>
      <c r="RYL82" s="570"/>
      <c r="RYM82" s="570"/>
      <c r="RYN82" s="570"/>
      <c r="RYO82" s="570"/>
      <c r="RYP82" s="570"/>
      <c r="RYQ82" s="570"/>
      <c r="RYR82" s="570"/>
      <c r="RYS82" s="570"/>
      <c r="RYT82" s="570"/>
      <c r="RYU82" s="570"/>
      <c r="RYV82" s="570"/>
      <c r="RYW82" s="570"/>
      <c r="RYX82" s="570"/>
      <c r="RYY82" s="570"/>
      <c r="RYZ82" s="570"/>
      <c r="RZA82" s="570"/>
      <c r="RZB82" s="570"/>
      <c r="RZC82" s="570"/>
      <c r="RZD82" s="570"/>
      <c r="RZE82" s="570"/>
      <c r="RZF82" s="570"/>
      <c r="RZG82" s="570"/>
      <c r="RZH82" s="570"/>
      <c r="RZI82" s="570"/>
      <c r="RZJ82" s="570"/>
      <c r="RZK82" s="570"/>
      <c r="RZL82" s="570"/>
      <c r="RZM82" s="570"/>
      <c r="RZN82" s="570"/>
      <c r="RZO82" s="570"/>
      <c r="RZP82" s="570"/>
      <c r="RZQ82" s="570"/>
      <c r="RZR82" s="570"/>
      <c r="RZS82" s="570"/>
      <c r="RZT82" s="570"/>
      <c r="RZU82" s="570"/>
      <c r="RZV82" s="570"/>
      <c r="RZW82" s="570"/>
      <c r="RZX82" s="570"/>
      <c r="RZY82" s="570"/>
      <c r="RZZ82" s="570"/>
      <c r="SAA82" s="570"/>
      <c r="SAB82" s="570"/>
      <c r="SAC82" s="570"/>
      <c r="SAD82" s="570"/>
      <c r="SAE82" s="570"/>
      <c r="SAF82" s="570"/>
      <c r="SAG82" s="570"/>
      <c r="SAH82" s="570"/>
      <c r="SAI82" s="570"/>
      <c r="SAJ82" s="570"/>
      <c r="SAK82" s="570"/>
      <c r="SAL82" s="570"/>
      <c r="SAM82" s="570"/>
      <c r="SAN82" s="570"/>
      <c r="SAO82" s="570"/>
      <c r="SAP82" s="570"/>
      <c r="SAQ82" s="570"/>
      <c r="SAR82" s="570"/>
      <c r="SAS82" s="570"/>
      <c r="SAT82" s="570"/>
      <c r="SAU82" s="570"/>
      <c r="SAV82" s="570"/>
      <c r="SAW82" s="570"/>
      <c r="SAX82" s="570"/>
      <c r="SAY82" s="570"/>
      <c r="SAZ82" s="570"/>
      <c r="SBA82" s="570"/>
      <c r="SBB82" s="570"/>
      <c r="SBC82" s="570"/>
      <c r="SBD82" s="570"/>
      <c r="SBE82" s="570"/>
      <c r="SBF82" s="570"/>
      <c r="SBG82" s="570"/>
      <c r="SBH82" s="570"/>
      <c r="SBI82" s="570"/>
      <c r="SBJ82" s="570"/>
      <c r="SBK82" s="570"/>
      <c r="SBL82" s="570"/>
      <c r="SBM82" s="570"/>
      <c r="SBN82" s="570"/>
      <c r="SBO82" s="570"/>
      <c r="SBP82" s="570"/>
      <c r="SBQ82" s="570"/>
      <c r="SBR82" s="570"/>
      <c r="SBS82" s="570"/>
      <c r="SBT82" s="570"/>
      <c r="SBU82" s="570"/>
      <c r="SBV82" s="570"/>
      <c r="SBW82" s="570"/>
      <c r="SBX82" s="570"/>
      <c r="SBY82" s="570"/>
      <c r="SBZ82" s="570"/>
      <c r="SCA82" s="570"/>
      <c r="SCB82" s="570"/>
      <c r="SCC82" s="570"/>
      <c r="SCD82" s="570"/>
      <c r="SCE82" s="570"/>
      <c r="SCF82" s="570"/>
      <c r="SCG82" s="570"/>
      <c r="SCH82" s="570"/>
      <c r="SCI82" s="570"/>
      <c r="SCJ82" s="570"/>
      <c r="SCK82" s="570"/>
      <c r="SCL82" s="570"/>
      <c r="SCM82" s="570"/>
      <c r="SCN82" s="570"/>
      <c r="SCO82" s="570"/>
      <c r="SCP82" s="570"/>
      <c r="SCQ82" s="570"/>
      <c r="SCR82" s="570"/>
      <c r="SCS82" s="570"/>
      <c r="SCT82" s="570"/>
      <c r="SCU82" s="570"/>
      <c r="SCV82" s="570"/>
      <c r="SCW82" s="570"/>
      <c r="SCX82" s="570"/>
      <c r="SCY82" s="570"/>
      <c r="SCZ82" s="570"/>
      <c r="SDA82" s="570"/>
      <c r="SDB82" s="570"/>
      <c r="SDC82" s="570"/>
      <c r="SDD82" s="570"/>
      <c r="SDE82" s="570"/>
      <c r="SDF82" s="570"/>
      <c r="SDG82" s="570"/>
      <c r="SDH82" s="570"/>
      <c r="SDI82" s="570"/>
      <c r="SDJ82" s="570"/>
      <c r="SDK82" s="570"/>
      <c r="SDL82" s="570"/>
      <c r="SDM82" s="570"/>
      <c r="SDN82" s="570"/>
      <c r="SDO82" s="570"/>
      <c r="SDP82" s="570"/>
      <c r="SDQ82" s="570"/>
      <c r="SDR82" s="570"/>
      <c r="SDS82" s="570"/>
      <c r="SDT82" s="570"/>
      <c r="SDU82" s="570"/>
      <c r="SDV82" s="570"/>
      <c r="SDW82" s="570"/>
      <c r="SDX82" s="570"/>
      <c r="SDY82" s="570"/>
      <c r="SDZ82" s="570"/>
      <c r="SEA82" s="570"/>
      <c r="SEB82" s="570"/>
      <c r="SEC82" s="570"/>
      <c r="SED82" s="570"/>
      <c r="SEE82" s="570"/>
      <c r="SEF82" s="570"/>
      <c r="SEG82" s="570"/>
      <c r="SEH82" s="570"/>
      <c r="SEI82" s="570"/>
      <c r="SEJ82" s="570"/>
      <c r="SEK82" s="570"/>
      <c r="SEL82" s="570"/>
      <c r="SEM82" s="570"/>
      <c r="SEN82" s="570"/>
      <c r="SEO82" s="570"/>
      <c r="SEP82" s="570"/>
      <c r="SEQ82" s="570"/>
      <c r="SER82" s="570"/>
      <c r="SES82" s="570"/>
      <c r="SET82" s="570"/>
      <c r="SEU82" s="570"/>
      <c r="SEV82" s="570"/>
      <c r="SEW82" s="570"/>
      <c r="SEX82" s="570"/>
      <c r="SEY82" s="570"/>
      <c r="SEZ82" s="570"/>
      <c r="SFA82" s="570"/>
      <c r="SFB82" s="570"/>
      <c r="SFC82" s="570"/>
      <c r="SFD82" s="570"/>
      <c r="SFE82" s="570"/>
      <c r="SFF82" s="570"/>
      <c r="SFG82" s="570"/>
      <c r="SFH82" s="570"/>
      <c r="SFI82" s="570"/>
      <c r="SFJ82" s="570"/>
      <c r="SFK82" s="570"/>
      <c r="SFL82" s="570"/>
      <c r="SFM82" s="570"/>
      <c r="SFN82" s="570"/>
      <c r="SFO82" s="570"/>
      <c r="SFP82" s="570"/>
      <c r="SFQ82" s="570"/>
      <c r="SFR82" s="570"/>
      <c r="SFS82" s="570"/>
      <c r="SFT82" s="570"/>
      <c r="SFU82" s="570"/>
      <c r="SFV82" s="570"/>
      <c r="SFW82" s="570"/>
      <c r="SFX82" s="570"/>
      <c r="SFY82" s="570"/>
      <c r="SFZ82" s="570"/>
      <c r="SGA82" s="570"/>
      <c r="SGB82" s="570"/>
      <c r="SGC82" s="570"/>
      <c r="SGD82" s="570"/>
      <c r="SGE82" s="570"/>
      <c r="SGF82" s="570"/>
      <c r="SGG82" s="570"/>
      <c r="SGH82" s="570"/>
      <c r="SGI82" s="570"/>
      <c r="SGJ82" s="570"/>
      <c r="SGK82" s="570"/>
      <c r="SGL82" s="570"/>
      <c r="SGM82" s="570"/>
      <c r="SGN82" s="570"/>
      <c r="SGO82" s="570"/>
      <c r="SGP82" s="570"/>
      <c r="SGQ82" s="570"/>
      <c r="SGR82" s="570"/>
      <c r="SGS82" s="570"/>
      <c r="SGT82" s="570"/>
      <c r="SGU82" s="570"/>
      <c r="SGV82" s="570"/>
      <c r="SGW82" s="570"/>
      <c r="SGX82" s="570"/>
      <c r="SGY82" s="570"/>
      <c r="SGZ82" s="570"/>
      <c r="SHA82" s="570"/>
      <c r="SHB82" s="570"/>
      <c r="SHC82" s="570"/>
      <c r="SHD82" s="570"/>
      <c r="SHE82" s="570"/>
      <c r="SHF82" s="570"/>
      <c r="SHG82" s="570"/>
      <c r="SHH82" s="570"/>
      <c r="SHI82" s="570"/>
      <c r="SHJ82" s="570"/>
      <c r="SHK82" s="570"/>
      <c r="SHL82" s="570"/>
      <c r="SHM82" s="570"/>
      <c r="SHN82" s="570"/>
      <c r="SHO82" s="570"/>
      <c r="SHP82" s="570"/>
      <c r="SHQ82" s="570"/>
      <c r="SHR82" s="570"/>
      <c r="SHS82" s="570"/>
      <c r="SHT82" s="570"/>
      <c r="SHU82" s="570"/>
      <c r="SHV82" s="570"/>
      <c r="SHW82" s="570"/>
      <c r="SHX82" s="570"/>
      <c r="SHY82" s="570"/>
      <c r="SHZ82" s="570"/>
      <c r="SIA82" s="570"/>
      <c r="SIB82" s="570"/>
      <c r="SIC82" s="570"/>
      <c r="SID82" s="570"/>
      <c r="SIE82" s="570"/>
      <c r="SIF82" s="570"/>
      <c r="SIG82" s="570"/>
      <c r="SIH82" s="570"/>
      <c r="SII82" s="570"/>
      <c r="SIJ82" s="570"/>
      <c r="SIK82" s="570"/>
      <c r="SIL82" s="570"/>
      <c r="SIM82" s="570"/>
      <c r="SIN82" s="570"/>
      <c r="SIO82" s="570"/>
      <c r="SIP82" s="570"/>
      <c r="SIQ82" s="570"/>
      <c r="SIR82" s="570"/>
      <c r="SIS82" s="570"/>
      <c r="SIT82" s="570"/>
      <c r="SIU82" s="570"/>
      <c r="SIV82" s="570"/>
      <c r="SIW82" s="570"/>
      <c r="SIX82" s="570"/>
      <c r="SIY82" s="570"/>
      <c r="SIZ82" s="570"/>
      <c r="SJA82" s="570"/>
      <c r="SJB82" s="570"/>
      <c r="SJC82" s="570"/>
      <c r="SJD82" s="570"/>
      <c r="SJE82" s="570"/>
      <c r="SJF82" s="570"/>
      <c r="SJG82" s="570"/>
      <c r="SJH82" s="570"/>
      <c r="SJI82" s="570"/>
      <c r="SJJ82" s="570"/>
      <c r="SJK82" s="570"/>
      <c r="SJL82" s="570"/>
      <c r="SJM82" s="570"/>
      <c r="SJN82" s="570"/>
      <c r="SJO82" s="570"/>
      <c r="SJP82" s="570"/>
      <c r="SJQ82" s="570"/>
      <c r="SJR82" s="570"/>
      <c r="SJS82" s="570"/>
      <c r="SJT82" s="570"/>
      <c r="SJU82" s="570"/>
      <c r="SJV82" s="570"/>
      <c r="SJW82" s="570"/>
      <c r="SJX82" s="570"/>
      <c r="SJY82" s="570"/>
      <c r="SJZ82" s="570"/>
      <c r="SKA82" s="570"/>
      <c r="SKB82" s="570"/>
      <c r="SKC82" s="570"/>
      <c r="SKD82" s="570"/>
      <c r="SKE82" s="570"/>
      <c r="SKF82" s="570"/>
      <c r="SKG82" s="570"/>
      <c r="SKH82" s="570"/>
      <c r="SKI82" s="570"/>
      <c r="SKJ82" s="570"/>
      <c r="SKK82" s="570"/>
      <c r="SKL82" s="570"/>
      <c r="SKM82" s="570"/>
      <c r="SKN82" s="570"/>
      <c r="SKO82" s="570"/>
      <c r="SKP82" s="570"/>
      <c r="SKQ82" s="570"/>
      <c r="SKR82" s="570"/>
      <c r="SKS82" s="570"/>
      <c r="SKT82" s="570"/>
      <c r="SKU82" s="570"/>
      <c r="SKV82" s="570"/>
      <c r="SKW82" s="570"/>
      <c r="SKX82" s="570"/>
      <c r="SKY82" s="570"/>
      <c r="SKZ82" s="570"/>
      <c r="SLA82" s="570"/>
      <c r="SLB82" s="570"/>
      <c r="SLC82" s="570"/>
      <c r="SLD82" s="570"/>
      <c r="SLE82" s="570"/>
      <c r="SLF82" s="570"/>
      <c r="SLG82" s="570"/>
      <c r="SLH82" s="570"/>
      <c r="SLI82" s="570"/>
      <c r="SLJ82" s="570"/>
      <c r="SLK82" s="570"/>
      <c r="SLL82" s="570"/>
      <c r="SLM82" s="570"/>
      <c r="SLN82" s="570"/>
      <c r="SLO82" s="570"/>
      <c r="SLP82" s="570"/>
      <c r="SLQ82" s="570"/>
      <c r="SLR82" s="570"/>
      <c r="SLS82" s="570"/>
      <c r="SLT82" s="570"/>
      <c r="SLU82" s="570"/>
      <c r="SLV82" s="570"/>
      <c r="SLW82" s="570"/>
      <c r="SLX82" s="570"/>
      <c r="SLY82" s="570"/>
      <c r="SLZ82" s="570"/>
      <c r="SMA82" s="570"/>
      <c r="SMB82" s="570"/>
      <c r="SMC82" s="570"/>
      <c r="SMD82" s="570"/>
      <c r="SME82" s="570"/>
      <c r="SMF82" s="570"/>
      <c r="SMG82" s="570"/>
      <c r="SMH82" s="570"/>
      <c r="SMI82" s="570"/>
      <c r="SMJ82" s="570"/>
      <c r="SMK82" s="570"/>
      <c r="SML82" s="570"/>
      <c r="SMM82" s="570"/>
      <c r="SMN82" s="570"/>
      <c r="SMO82" s="570"/>
      <c r="SMP82" s="570"/>
      <c r="SMQ82" s="570"/>
      <c r="SMR82" s="570"/>
      <c r="SMS82" s="570"/>
      <c r="SMT82" s="570"/>
      <c r="SMU82" s="570"/>
      <c r="SMV82" s="570"/>
      <c r="SMW82" s="570"/>
      <c r="SMX82" s="570"/>
      <c r="SMY82" s="570"/>
      <c r="SMZ82" s="570"/>
      <c r="SNA82" s="570"/>
      <c r="SNB82" s="570"/>
      <c r="SNC82" s="570"/>
      <c r="SND82" s="570"/>
      <c r="SNE82" s="570"/>
      <c r="SNF82" s="570"/>
      <c r="SNG82" s="570"/>
      <c r="SNH82" s="570"/>
      <c r="SNI82" s="570"/>
      <c r="SNJ82" s="570"/>
      <c r="SNK82" s="570"/>
      <c r="SNL82" s="570"/>
      <c r="SNM82" s="570"/>
      <c r="SNN82" s="570"/>
      <c r="SNO82" s="570"/>
      <c r="SNP82" s="570"/>
      <c r="SNQ82" s="570"/>
      <c r="SNR82" s="570"/>
      <c r="SNS82" s="570"/>
      <c r="SNT82" s="570"/>
      <c r="SNU82" s="570"/>
      <c r="SNV82" s="570"/>
      <c r="SNW82" s="570"/>
      <c r="SNX82" s="570"/>
      <c r="SNY82" s="570"/>
      <c r="SNZ82" s="570"/>
      <c r="SOA82" s="570"/>
      <c r="SOB82" s="570"/>
      <c r="SOC82" s="570"/>
      <c r="SOD82" s="570"/>
      <c r="SOE82" s="570"/>
      <c r="SOF82" s="570"/>
      <c r="SOG82" s="570"/>
      <c r="SOH82" s="570"/>
      <c r="SOI82" s="570"/>
      <c r="SOJ82" s="570"/>
      <c r="SOK82" s="570"/>
      <c r="SOL82" s="570"/>
      <c r="SOM82" s="570"/>
      <c r="SON82" s="570"/>
      <c r="SOO82" s="570"/>
      <c r="SOP82" s="570"/>
      <c r="SOQ82" s="570"/>
      <c r="SOR82" s="570"/>
      <c r="SOS82" s="570"/>
      <c r="SOT82" s="570"/>
      <c r="SOU82" s="570"/>
      <c r="SOV82" s="570"/>
      <c r="SOW82" s="570"/>
      <c r="SOX82" s="570"/>
      <c r="SOY82" s="570"/>
      <c r="SOZ82" s="570"/>
      <c r="SPA82" s="570"/>
      <c r="SPB82" s="570"/>
      <c r="SPC82" s="570"/>
      <c r="SPD82" s="570"/>
      <c r="SPE82" s="570"/>
      <c r="SPF82" s="570"/>
      <c r="SPG82" s="570"/>
      <c r="SPH82" s="570"/>
      <c r="SPI82" s="570"/>
      <c r="SPJ82" s="570"/>
      <c r="SPK82" s="570"/>
      <c r="SPL82" s="570"/>
      <c r="SPM82" s="570"/>
      <c r="SPN82" s="570"/>
      <c r="SPO82" s="570"/>
      <c r="SPP82" s="570"/>
      <c r="SPQ82" s="570"/>
      <c r="SPR82" s="570"/>
      <c r="SPS82" s="570"/>
      <c r="SPT82" s="570"/>
      <c r="SPU82" s="570"/>
      <c r="SPV82" s="570"/>
      <c r="SPW82" s="570"/>
      <c r="SPX82" s="570"/>
      <c r="SPY82" s="570"/>
      <c r="SPZ82" s="570"/>
      <c r="SQA82" s="570"/>
      <c r="SQB82" s="570"/>
      <c r="SQC82" s="570"/>
      <c r="SQD82" s="570"/>
      <c r="SQE82" s="570"/>
      <c r="SQF82" s="570"/>
      <c r="SQG82" s="570"/>
      <c r="SQH82" s="570"/>
      <c r="SQI82" s="570"/>
      <c r="SQJ82" s="570"/>
      <c r="SQK82" s="570"/>
      <c r="SQL82" s="570"/>
      <c r="SQM82" s="570"/>
      <c r="SQN82" s="570"/>
      <c r="SQO82" s="570"/>
      <c r="SQP82" s="570"/>
      <c r="SQQ82" s="570"/>
      <c r="SQR82" s="570"/>
      <c r="SQS82" s="570"/>
      <c r="SQT82" s="570"/>
      <c r="SQU82" s="570"/>
      <c r="SQV82" s="570"/>
      <c r="SQW82" s="570"/>
      <c r="SQX82" s="570"/>
      <c r="SQY82" s="570"/>
      <c r="SQZ82" s="570"/>
      <c r="SRA82" s="570"/>
      <c r="SRB82" s="570"/>
      <c r="SRC82" s="570"/>
      <c r="SRD82" s="570"/>
      <c r="SRE82" s="570"/>
      <c r="SRF82" s="570"/>
      <c r="SRG82" s="570"/>
      <c r="SRH82" s="570"/>
      <c r="SRI82" s="570"/>
      <c r="SRJ82" s="570"/>
      <c r="SRK82" s="570"/>
      <c r="SRL82" s="570"/>
      <c r="SRM82" s="570"/>
      <c r="SRN82" s="570"/>
      <c r="SRO82" s="570"/>
      <c r="SRP82" s="570"/>
      <c r="SRQ82" s="570"/>
      <c r="SRR82" s="570"/>
      <c r="SRS82" s="570"/>
      <c r="SRT82" s="570"/>
      <c r="SRU82" s="570"/>
      <c r="SRV82" s="570"/>
      <c r="SRW82" s="570"/>
      <c r="SRX82" s="570"/>
      <c r="SRY82" s="570"/>
      <c r="SRZ82" s="570"/>
      <c r="SSA82" s="570"/>
      <c r="SSB82" s="570"/>
      <c r="SSC82" s="570"/>
      <c r="SSD82" s="570"/>
      <c r="SSE82" s="570"/>
      <c r="SSF82" s="570"/>
      <c r="SSG82" s="570"/>
      <c r="SSH82" s="570"/>
      <c r="SSI82" s="570"/>
      <c r="SSJ82" s="570"/>
      <c r="SSK82" s="570"/>
      <c r="SSL82" s="570"/>
      <c r="SSM82" s="570"/>
      <c r="SSN82" s="570"/>
      <c r="SSO82" s="570"/>
      <c r="SSP82" s="570"/>
      <c r="SSQ82" s="570"/>
      <c r="SSR82" s="570"/>
      <c r="SSS82" s="570"/>
      <c r="SST82" s="570"/>
      <c r="SSU82" s="570"/>
      <c r="SSV82" s="570"/>
      <c r="SSW82" s="570"/>
      <c r="SSX82" s="570"/>
      <c r="SSY82" s="570"/>
      <c r="SSZ82" s="570"/>
      <c r="STA82" s="570"/>
      <c r="STB82" s="570"/>
      <c r="STC82" s="570"/>
      <c r="STD82" s="570"/>
      <c r="STE82" s="570"/>
      <c r="STF82" s="570"/>
      <c r="STG82" s="570"/>
      <c r="STH82" s="570"/>
      <c r="STI82" s="570"/>
      <c r="STJ82" s="570"/>
      <c r="STK82" s="570"/>
      <c r="STL82" s="570"/>
      <c r="STM82" s="570"/>
      <c r="STN82" s="570"/>
      <c r="STO82" s="570"/>
      <c r="STP82" s="570"/>
      <c r="STQ82" s="570"/>
      <c r="STR82" s="570"/>
      <c r="STS82" s="570"/>
      <c r="STT82" s="570"/>
      <c r="STU82" s="570"/>
      <c r="STV82" s="570"/>
      <c r="STW82" s="570"/>
      <c r="STX82" s="570"/>
      <c r="STY82" s="570"/>
      <c r="STZ82" s="570"/>
      <c r="SUA82" s="570"/>
      <c r="SUB82" s="570"/>
      <c r="SUC82" s="570"/>
      <c r="SUD82" s="570"/>
      <c r="SUE82" s="570"/>
      <c r="SUF82" s="570"/>
      <c r="SUG82" s="570"/>
      <c r="SUH82" s="570"/>
      <c r="SUI82" s="570"/>
      <c r="SUJ82" s="570"/>
      <c r="SUK82" s="570"/>
      <c r="SUL82" s="570"/>
      <c r="SUM82" s="570"/>
      <c r="SUN82" s="570"/>
      <c r="SUO82" s="570"/>
      <c r="SUP82" s="570"/>
      <c r="SUQ82" s="570"/>
      <c r="SUR82" s="570"/>
      <c r="SUS82" s="570"/>
      <c r="SUT82" s="570"/>
      <c r="SUU82" s="570"/>
      <c r="SUV82" s="570"/>
      <c r="SUW82" s="570"/>
      <c r="SUX82" s="570"/>
      <c r="SUY82" s="570"/>
      <c r="SUZ82" s="570"/>
      <c r="SVA82" s="570"/>
      <c r="SVB82" s="570"/>
      <c r="SVC82" s="570"/>
      <c r="SVD82" s="570"/>
      <c r="SVE82" s="570"/>
      <c r="SVF82" s="570"/>
      <c r="SVG82" s="570"/>
      <c r="SVH82" s="570"/>
      <c r="SVI82" s="570"/>
      <c r="SVJ82" s="570"/>
      <c r="SVK82" s="570"/>
      <c r="SVL82" s="570"/>
      <c r="SVM82" s="570"/>
      <c r="SVN82" s="570"/>
      <c r="SVO82" s="570"/>
      <c r="SVP82" s="570"/>
      <c r="SVQ82" s="570"/>
      <c r="SVR82" s="570"/>
      <c r="SVS82" s="570"/>
      <c r="SVT82" s="570"/>
      <c r="SVU82" s="570"/>
      <c r="SVV82" s="570"/>
      <c r="SVW82" s="570"/>
      <c r="SVX82" s="570"/>
      <c r="SVY82" s="570"/>
      <c r="SVZ82" s="570"/>
      <c r="SWA82" s="570"/>
      <c r="SWB82" s="570"/>
      <c r="SWC82" s="570"/>
      <c r="SWD82" s="570"/>
      <c r="SWE82" s="570"/>
      <c r="SWF82" s="570"/>
      <c r="SWG82" s="570"/>
      <c r="SWH82" s="570"/>
      <c r="SWI82" s="570"/>
      <c r="SWJ82" s="570"/>
      <c r="SWK82" s="570"/>
      <c r="SWL82" s="570"/>
      <c r="SWM82" s="570"/>
      <c r="SWN82" s="570"/>
      <c r="SWO82" s="570"/>
      <c r="SWP82" s="570"/>
      <c r="SWQ82" s="570"/>
      <c r="SWR82" s="570"/>
      <c r="SWS82" s="570"/>
      <c r="SWT82" s="570"/>
      <c r="SWU82" s="570"/>
      <c r="SWV82" s="570"/>
      <c r="SWW82" s="570"/>
      <c r="SWX82" s="570"/>
      <c r="SWY82" s="570"/>
      <c r="SWZ82" s="570"/>
      <c r="SXA82" s="570"/>
      <c r="SXB82" s="570"/>
      <c r="SXC82" s="570"/>
      <c r="SXD82" s="570"/>
      <c r="SXE82" s="570"/>
      <c r="SXF82" s="570"/>
      <c r="SXG82" s="570"/>
      <c r="SXH82" s="570"/>
      <c r="SXI82" s="570"/>
      <c r="SXJ82" s="570"/>
      <c r="SXK82" s="570"/>
      <c r="SXL82" s="570"/>
      <c r="SXM82" s="570"/>
      <c r="SXN82" s="570"/>
      <c r="SXO82" s="570"/>
      <c r="SXP82" s="570"/>
      <c r="SXQ82" s="570"/>
      <c r="SXR82" s="570"/>
      <c r="SXS82" s="570"/>
      <c r="SXT82" s="570"/>
      <c r="SXU82" s="570"/>
      <c r="SXV82" s="570"/>
      <c r="SXW82" s="570"/>
      <c r="SXX82" s="570"/>
      <c r="SXY82" s="570"/>
      <c r="SXZ82" s="570"/>
      <c r="SYA82" s="570"/>
      <c r="SYB82" s="570"/>
      <c r="SYC82" s="570"/>
      <c r="SYD82" s="570"/>
      <c r="SYE82" s="570"/>
      <c r="SYF82" s="570"/>
      <c r="SYG82" s="570"/>
      <c r="SYH82" s="570"/>
      <c r="SYI82" s="570"/>
      <c r="SYJ82" s="570"/>
      <c r="SYK82" s="570"/>
      <c r="SYL82" s="570"/>
      <c r="SYM82" s="570"/>
      <c r="SYN82" s="570"/>
      <c r="SYO82" s="570"/>
      <c r="SYP82" s="570"/>
      <c r="SYQ82" s="570"/>
      <c r="SYR82" s="570"/>
      <c r="SYS82" s="570"/>
      <c r="SYT82" s="570"/>
      <c r="SYU82" s="570"/>
      <c r="SYV82" s="570"/>
      <c r="SYW82" s="570"/>
      <c r="SYX82" s="570"/>
      <c r="SYY82" s="570"/>
      <c r="SYZ82" s="570"/>
      <c r="SZA82" s="570"/>
      <c r="SZB82" s="570"/>
      <c r="SZC82" s="570"/>
      <c r="SZD82" s="570"/>
      <c r="SZE82" s="570"/>
      <c r="SZF82" s="570"/>
      <c r="SZG82" s="570"/>
      <c r="SZH82" s="570"/>
      <c r="SZI82" s="570"/>
      <c r="SZJ82" s="570"/>
      <c r="SZK82" s="570"/>
      <c r="SZL82" s="570"/>
      <c r="SZM82" s="570"/>
      <c r="SZN82" s="570"/>
      <c r="SZO82" s="570"/>
      <c r="SZP82" s="570"/>
      <c r="SZQ82" s="570"/>
      <c r="SZR82" s="570"/>
      <c r="SZS82" s="570"/>
      <c r="SZT82" s="570"/>
      <c r="SZU82" s="570"/>
      <c r="SZV82" s="570"/>
      <c r="SZW82" s="570"/>
      <c r="SZX82" s="570"/>
      <c r="SZY82" s="570"/>
      <c r="SZZ82" s="570"/>
      <c r="TAA82" s="570"/>
      <c r="TAB82" s="570"/>
      <c r="TAC82" s="570"/>
      <c r="TAD82" s="570"/>
      <c r="TAE82" s="570"/>
      <c r="TAF82" s="570"/>
      <c r="TAG82" s="570"/>
      <c r="TAH82" s="570"/>
      <c r="TAI82" s="570"/>
      <c r="TAJ82" s="570"/>
      <c r="TAK82" s="570"/>
      <c r="TAL82" s="570"/>
      <c r="TAM82" s="570"/>
      <c r="TAN82" s="570"/>
      <c r="TAO82" s="570"/>
      <c r="TAP82" s="570"/>
      <c r="TAQ82" s="570"/>
      <c r="TAR82" s="570"/>
      <c r="TAS82" s="570"/>
      <c r="TAT82" s="570"/>
      <c r="TAU82" s="570"/>
      <c r="TAV82" s="570"/>
      <c r="TAW82" s="570"/>
      <c r="TAX82" s="570"/>
      <c r="TAY82" s="570"/>
      <c r="TAZ82" s="570"/>
      <c r="TBA82" s="570"/>
      <c r="TBB82" s="570"/>
      <c r="TBC82" s="570"/>
      <c r="TBD82" s="570"/>
      <c r="TBE82" s="570"/>
      <c r="TBF82" s="570"/>
      <c r="TBG82" s="570"/>
      <c r="TBH82" s="570"/>
      <c r="TBI82" s="570"/>
      <c r="TBJ82" s="570"/>
      <c r="TBK82" s="570"/>
      <c r="TBL82" s="570"/>
      <c r="TBM82" s="570"/>
      <c r="TBN82" s="570"/>
      <c r="TBO82" s="570"/>
      <c r="TBP82" s="570"/>
      <c r="TBQ82" s="570"/>
      <c r="TBR82" s="570"/>
      <c r="TBS82" s="570"/>
      <c r="TBT82" s="570"/>
      <c r="TBU82" s="570"/>
      <c r="TBV82" s="570"/>
      <c r="TBW82" s="570"/>
      <c r="TBX82" s="570"/>
      <c r="TBY82" s="570"/>
      <c r="TBZ82" s="570"/>
      <c r="TCA82" s="570"/>
      <c r="TCB82" s="570"/>
      <c r="TCC82" s="570"/>
      <c r="TCD82" s="570"/>
      <c r="TCE82" s="570"/>
      <c r="TCF82" s="570"/>
      <c r="TCG82" s="570"/>
      <c r="TCH82" s="570"/>
      <c r="TCI82" s="570"/>
      <c r="TCJ82" s="570"/>
      <c r="TCK82" s="570"/>
      <c r="TCL82" s="570"/>
      <c r="TCM82" s="570"/>
      <c r="TCN82" s="570"/>
      <c r="TCO82" s="570"/>
      <c r="TCP82" s="570"/>
      <c r="TCQ82" s="570"/>
      <c r="TCR82" s="570"/>
      <c r="TCS82" s="570"/>
      <c r="TCT82" s="570"/>
      <c r="TCU82" s="570"/>
      <c r="TCV82" s="570"/>
      <c r="TCW82" s="570"/>
      <c r="TCX82" s="570"/>
      <c r="TCY82" s="570"/>
      <c r="TCZ82" s="570"/>
      <c r="TDA82" s="570"/>
      <c r="TDB82" s="570"/>
      <c r="TDC82" s="570"/>
      <c r="TDD82" s="570"/>
      <c r="TDE82" s="570"/>
      <c r="TDF82" s="570"/>
      <c r="TDG82" s="570"/>
      <c r="TDH82" s="570"/>
      <c r="TDI82" s="570"/>
      <c r="TDJ82" s="570"/>
      <c r="TDK82" s="570"/>
      <c r="TDL82" s="570"/>
      <c r="TDM82" s="570"/>
      <c r="TDN82" s="570"/>
      <c r="TDO82" s="570"/>
      <c r="TDP82" s="570"/>
      <c r="TDQ82" s="570"/>
      <c r="TDR82" s="570"/>
      <c r="TDS82" s="570"/>
      <c r="TDT82" s="570"/>
      <c r="TDU82" s="570"/>
      <c r="TDV82" s="570"/>
      <c r="TDW82" s="570"/>
      <c r="TDX82" s="570"/>
      <c r="TDY82" s="570"/>
      <c r="TDZ82" s="570"/>
      <c r="TEA82" s="570"/>
      <c r="TEB82" s="570"/>
      <c r="TEC82" s="570"/>
      <c r="TED82" s="570"/>
      <c r="TEE82" s="570"/>
      <c r="TEF82" s="570"/>
      <c r="TEG82" s="570"/>
      <c r="TEH82" s="570"/>
      <c r="TEI82" s="570"/>
      <c r="TEJ82" s="570"/>
      <c r="TEK82" s="570"/>
      <c r="TEL82" s="570"/>
      <c r="TEM82" s="570"/>
      <c r="TEN82" s="570"/>
      <c r="TEO82" s="570"/>
      <c r="TEP82" s="570"/>
      <c r="TEQ82" s="570"/>
      <c r="TER82" s="570"/>
      <c r="TES82" s="570"/>
      <c r="TET82" s="570"/>
      <c r="TEU82" s="570"/>
      <c r="TEV82" s="570"/>
      <c r="TEW82" s="570"/>
      <c r="TEX82" s="570"/>
      <c r="TEY82" s="570"/>
      <c r="TEZ82" s="570"/>
      <c r="TFA82" s="570"/>
      <c r="TFB82" s="570"/>
      <c r="TFC82" s="570"/>
      <c r="TFD82" s="570"/>
      <c r="TFE82" s="570"/>
      <c r="TFF82" s="570"/>
      <c r="TFG82" s="570"/>
      <c r="TFH82" s="570"/>
      <c r="TFI82" s="570"/>
      <c r="TFJ82" s="570"/>
      <c r="TFK82" s="570"/>
      <c r="TFL82" s="570"/>
      <c r="TFM82" s="570"/>
      <c r="TFN82" s="570"/>
      <c r="TFO82" s="570"/>
      <c r="TFP82" s="570"/>
      <c r="TFQ82" s="570"/>
      <c r="TFR82" s="570"/>
      <c r="TFS82" s="570"/>
      <c r="TFT82" s="570"/>
      <c r="TFU82" s="570"/>
      <c r="TFV82" s="570"/>
      <c r="TFW82" s="570"/>
      <c r="TFX82" s="570"/>
      <c r="TFY82" s="570"/>
      <c r="TFZ82" s="570"/>
      <c r="TGA82" s="570"/>
      <c r="TGB82" s="570"/>
      <c r="TGC82" s="570"/>
      <c r="TGD82" s="570"/>
      <c r="TGE82" s="570"/>
      <c r="TGF82" s="570"/>
      <c r="TGG82" s="570"/>
      <c r="TGH82" s="570"/>
      <c r="TGI82" s="570"/>
      <c r="TGJ82" s="570"/>
      <c r="TGK82" s="570"/>
      <c r="TGL82" s="570"/>
      <c r="TGM82" s="570"/>
      <c r="TGN82" s="570"/>
      <c r="TGO82" s="570"/>
      <c r="TGP82" s="570"/>
      <c r="TGQ82" s="570"/>
      <c r="TGR82" s="570"/>
      <c r="TGS82" s="570"/>
      <c r="TGT82" s="570"/>
      <c r="TGU82" s="570"/>
      <c r="TGV82" s="570"/>
      <c r="TGW82" s="570"/>
      <c r="TGX82" s="570"/>
      <c r="TGY82" s="570"/>
      <c r="TGZ82" s="570"/>
      <c r="THA82" s="570"/>
      <c r="THB82" s="570"/>
      <c r="THC82" s="570"/>
      <c r="THD82" s="570"/>
      <c r="THE82" s="570"/>
      <c r="THF82" s="570"/>
      <c r="THG82" s="570"/>
      <c r="THH82" s="570"/>
      <c r="THI82" s="570"/>
      <c r="THJ82" s="570"/>
      <c r="THK82" s="570"/>
      <c r="THL82" s="570"/>
      <c r="THM82" s="570"/>
      <c r="THN82" s="570"/>
      <c r="THO82" s="570"/>
      <c r="THP82" s="570"/>
      <c r="THQ82" s="570"/>
      <c r="THR82" s="570"/>
      <c r="THS82" s="570"/>
      <c r="THT82" s="570"/>
      <c r="THU82" s="570"/>
      <c r="THV82" s="570"/>
      <c r="THW82" s="570"/>
      <c r="THX82" s="570"/>
      <c r="THY82" s="570"/>
      <c r="THZ82" s="570"/>
      <c r="TIA82" s="570"/>
      <c r="TIB82" s="570"/>
      <c r="TIC82" s="570"/>
      <c r="TID82" s="570"/>
      <c r="TIE82" s="570"/>
      <c r="TIF82" s="570"/>
      <c r="TIG82" s="570"/>
      <c r="TIH82" s="570"/>
      <c r="TII82" s="570"/>
      <c r="TIJ82" s="570"/>
      <c r="TIK82" s="570"/>
      <c r="TIL82" s="570"/>
      <c r="TIM82" s="570"/>
      <c r="TIN82" s="570"/>
      <c r="TIO82" s="570"/>
      <c r="TIP82" s="570"/>
      <c r="TIQ82" s="570"/>
      <c r="TIR82" s="570"/>
      <c r="TIS82" s="570"/>
      <c r="TIT82" s="570"/>
      <c r="TIU82" s="570"/>
      <c r="TIV82" s="570"/>
      <c r="TIW82" s="570"/>
      <c r="TIX82" s="570"/>
      <c r="TIY82" s="570"/>
      <c r="TIZ82" s="570"/>
      <c r="TJA82" s="570"/>
      <c r="TJB82" s="570"/>
      <c r="TJC82" s="570"/>
      <c r="TJD82" s="570"/>
      <c r="TJE82" s="570"/>
      <c r="TJF82" s="570"/>
      <c r="TJG82" s="570"/>
      <c r="TJH82" s="570"/>
      <c r="TJI82" s="570"/>
      <c r="TJJ82" s="570"/>
      <c r="TJK82" s="570"/>
      <c r="TJL82" s="570"/>
      <c r="TJM82" s="570"/>
      <c r="TJN82" s="570"/>
      <c r="TJO82" s="570"/>
      <c r="TJP82" s="570"/>
      <c r="TJQ82" s="570"/>
      <c r="TJR82" s="570"/>
      <c r="TJS82" s="570"/>
      <c r="TJT82" s="570"/>
      <c r="TJU82" s="570"/>
      <c r="TJV82" s="570"/>
      <c r="TJW82" s="570"/>
      <c r="TJX82" s="570"/>
      <c r="TJY82" s="570"/>
      <c r="TJZ82" s="570"/>
      <c r="TKA82" s="570"/>
      <c r="TKB82" s="570"/>
      <c r="TKC82" s="570"/>
      <c r="TKD82" s="570"/>
      <c r="TKE82" s="570"/>
      <c r="TKF82" s="570"/>
      <c r="TKG82" s="570"/>
      <c r="TKH82" s="570"/>
      <c r="TKI82" s="570"/>
      <c r="TKJ82" s="570"/>
      <c r="TKK82" s="570"/>
      <c r="TKL82" s="570"/>
      <c r="TKM82" s="570"/>
      <c r="TKN82" s="570"/>
      <c r="TKO82" s="570"/>
      <c r="TKP82" s="570"/>
      <c r="TKQ82" s="570"/>
      <c r="TKR82" s="570"/>
      <c r="TKS82" s="570"/>
      <c r="TKT82" s="570"/>
      <c r="TKU82" s="570"/>
      <c r="TKV82" s="570"/>
      <c r="TKW82" s="570"/>
      <c r="TKX82" s="570"/>
      <c r="TKY82" s="570"/>
      <c r="TKZ82" s="570"/>
      <c r="TLA82" s="570"/>
      <c r="TLB82" s="570"/>
      <c r="TLC82" s="570"/>
      <c r="TLD82" s="570"/>
      <c r="TLE82" s="570"/>
      <c r="TLF82" s="570"/>
      <c r="TLG82" s="570"/>
      <c r="TLH82" s="570"/>
      <c r="TLI82" s="570"/>
      <c r="TLJ82" s="570"/>
      <c r="TLK82" s="570"/>
      <c r="TLL82" s="570"/>
      <c r="TLM82" s="570"/>
      <c r="TLN82" s="570"/>
      <c r="TLO82" s="570"/>
      <c r="TLP82" s="570"/>
      <c r="TLQ82" s="570"/>
      <c r="TLR82" s="570"/>
      <c r="TLS82" s="570"/>
      <c r="TLT82" s="570"/>
      <c r="TLU82" s="570"/>
      <c r="TLV82" s="570"/>
      <c r="TLW82" s="570"/>
      <c r="TLX82" s="570"/>
      <c r="TLY82" s="570"/>
      <c r="TLZ82" s="570"/>
      <c r="TMA82" s="570"/>
      <c r="TMB82" s="570"/>
      <c r="TMC82" s="570"/>
      <c r="TMD82" s="570"/>
      <c r="TME82" s="570"/>
      <c r="TMF82" s="570"/>
      <c r="TMG82" s="570"/>
      <c r="TMH82" s="570"/>
      <c r="TMI82" s="570"/>
      <c r="TMJ82" s="570"/>
      <c r="TMK82" s="570"/>
      <c r="TML82" s="570"/>
      <c r="TMM82" s="570"/>
      <c r="TMN82" s="570"/>
      <c r="TMO82" s="570"/>
      <c r="TMP82" s="570"/>
      <c r="TMQ82" s="570"/>
      <c r="TMR82" s="570"/>
      <c r="TMS82" s="570"/>
      <c r="TMT82" s="570"/>
      <c r="TMU82" s="570"/>
      <c r="TMV82" s="570"/>
      <c r="TMW82" s="570"/>
      <c r="TMX82" s="570"/>
      <c r="TMY82" s="570"/>
      <c r="TMZ82" s="570"/>
      <c r="TNA82" s="570"/>
      <c r="TNB82" s="570"/>
      <c r="TNC82" s="570"/>
      <c r="TND82" s="570"/>
      <c r="TNE82" s="570"/>
      <c r="TNF82" s="570"/>
      <c r="TNG82" s="570"/>
      <c r="TNH82" s="570"/>
      <c r="TNI82" s="570"/>
      <c r="TNJ82" s="570"/>
      <c r="TNK82" s="570"/>
      <c r="TNL82" s="570"/>
      <c r="TNM82" s="570"/>
      <c r="TNN82" s="570"/>
      <c r="TNO82" s="570"/>
      <c r="TNP82" s="570"/>
      <c r="TNQ82" s="570"/>
      <c r="TNR82" s="570"/>
      <c r="TNS82" s="570"/>
      <c r="TNT82" s="570"/>
      <c r="TNU82" s="570"/>
      <c r="TNV82" s="570"/>
      <c r="TNW82" s="570"/>
      <c r="TNX82" s="570"/>
      <c r="TNY82" s="570"/>
      <c r="TNZ82" s="570"/>
      <c r="TOA82" s="570"/>
      <c r="TOB82" s="570"/>
      <c r="TOC82" s="570"/>
      <c r="TOD82" s="570"/>
      <c r="TOE82" s="570"/>
      <c r="TOF82" s="570"/>
      <c r="TOG82" s="570"/>
      <c r="TOH82" s="570"/>
      <c r="TOI82" s="570"/>
      <c r="TOJ82" s="570"/>
      <c r="TOK82" s="570"/>
      <c r="TOL82" s="570"/>
      <c r="TOM82" s="570"/>
      <c r="TON82" s="570"/>
      <c r="TOO82" s="570"/>
      <c r="TOP82" s="570"/>
      <c r="TOQ82" s="570"/>
      <c r="TOR82" s="570"/>
      <c r="TOS82" s="570"/>
      <c r="TOT82" s="570"/>
      <c r="TOU82" s="570"/>
      <c r="TOV82" s="570"/>
      <c r="TOW82" s="570"/>
      <c r="TOX82" s="570"/>
      <c r="TOY82" s="570"/>
      <c r="TOZ82" s="570"/>
      <c r="TPA82" s="570"/>
      <c r="TPB82" s="570"/>
      <c r="TPC82" s="570"/>
      <c r="TPD82" s="570"/>
      <c r="TPE82" s="570"/>
      <c r="TPF82" s="570"/>
      <c r="TPG82" s="570"/>
      <c r="TPH82" s="570"/>
      <c r="TPI82" s="570"/>
      <c r="TPJ82" s="570"/>
      <c r="TPK82" s="570"/>
      <c r="TPL82" s="570"/>
      <c r="TPM82" s="570"/>
      <c r="TPN82" s="570"/>
      <c r="TPO82" s="570"/>
      <c r="TPP82" s="570"/>
      <c r="TPQ82" s="570"/>
      <c r="TPR82" s="570"/>
      <c r="TPS82" s="570"/>
      <c r="TPT82" s="570"/>
      <c r="TPU82" s="570"/>
      <c r="TPV82" s="570"/>
      <c r="TPW82" s="570"/>
      <c r="TPX82" s="570"/>
      <c r="TPY82" s="570"/>
      <c r="TPZ82" s="570"/>
      <c r="TQA82" s="570"/>
      <c r="TQB82" s="570"/>
      <c r="TQC82" s="570"/>
      <c r="TQD82" s="570"/>
      <c r="TQE82" s="570"/>
      <c r="TQF82" s="570"/>
      <c r="TQG82" s="570"/>
      <c r="TQH82" s="570"/>
      <c r="TQI82" s="570"/>
      <c r="TQJ82" s="570"/>
      <c r="TQK82" s="570"/>
      <c r="TQL82" s="570"/>
      <c r="TQM82" s="570"/>
      <c r="TQN82" s="570"/>
      <c r="TQO82" s="570"/>
      <c r="TQP82" s="570"/>
      <c r="TQQ82" s="570"/>
      <c r="TQR82" s="570"/>
      <c r="TQS82" s="570"/>
      <c r="TQT82" s="570"/>
      <c r="TQU82" s="570"/>
      <c r="TQV82" s="570"/>
      <c r="TQW82" s="570"/>
      <c r="TQX82" s="570"/>
      <c r="TQY82" s="570"/>
      <c r="TQZ82" s="570"/>
      <c r="TRA82" s="570"/>
      <c r="TRB82" s="570"/>
      <c r="TRC82" s="570"/>
      <c r="TRD82" s="570"/>
      <c r="TRE82" s="570"/>
      <c r="TRF82" s="570"/>
      <c r="TRG82" s="570"/>
      <c r="TRH82" s="570"/>
      <c r="TRI82" s="570"/>
      <c r="TRJ82" s="570"/>
      <c r="TRK82" s="570"/>
      <c r="TRL82" s="570"/>
      <c r="TRM82" s="570"/>
      <c r="TRN82" s="570"/>
      <c r="TRO82" s="570"/>
      <c r="TRP82" s="570"/>
      <c r="TRQ82" s="570"/>
      <c r="TRR82" s="570"/>
      <c r="TRS82" s="570"/>
      <c r="TRT82" s="570"/>
      <c r="TRU82" s="570"/>
      <c r="TRV82" s="570"/>
      <c r="TRW82" s="570"/>
      <c r="TRX82" s="570"/>
      <c r="TRY82" s="570"/>
      <c r="TRZ82" s="570"/>
      <c r="TSA82" s="570"/>
      <c r="TSB82" s="570"/>
      <c r="TSC82" s="570"/>
      <c r="TSD82" s="570"/>
      <c r="TSE82" s="570"/>
      <c r="TSF82" s="570"/>
      <c r="TSG82" s="570"/>
      <c r="TSH82" s="570"/>
      <c r="TSI82" s="570"/>
      <c r="TSJ82" s="570"/>
      <c r="TSK82" s="570"/>
      <c r="TSL82" s="570"/>
      <c r="TSM82" s="570"/>
      <c r="TSN82" s="570"/>
      <c r="TSO82" s="570"/>
      <c r="TSP82" s="570"/>
      <c r="TSQ82" s="570"/>
      <c r="TSR82" s="570"/>
      <c r="TSS82" s="570"/>
      <c r="TST82" s="570"/>
      <c r="TSU82" s="570"/>
      <c r="TSV82" s="570"/>
      <c r="TSW82" s="570"/>
      <c r="TSX82" s="570"/>
      <c r="TSY82" s="570"/>
      <c r="TSZ82" s="570"/>
      <c r="TTA82" s="570"/>
      <c r="TTB82" s="570"/>
      <c r="TTC82" s="570"/>
      <c r="TTD82" s="570"/>
      <c r="TTE82" s="570"/>
      <c r="TTF82" s="570"/>
      <c r="TTG82" s="570"/>
      <c r="TTH82" s="570"/>
      <c r="TTI82" s="570"/>
      <c r="TTJ82" s="570"/>
      <c r="TTK82" s="570"/>
      <c r="TTL82" s="570"/>
      <c r="TTM82" s="570"/>
      <c r="TTN82" s="570"/>
      <c r="TTO82" s="570"/>
      <c r="TTP82" s="570"/>
      <c r="TTQ82" s="570"/>
      <c r="TTR82" s="570"/>
      <c r="TTS82" s="570"/>
      <c r="TTT82" s="570"/>
      <c r="TTU82" s="570"/>
      <c r="TTV82" s="570"/>
      <c r="TTW82" s="570"/>
      <c r="TTX82" s="570"/>
      <c r="TTY82" s="570"/>
      <c r="TTZ82" s="570"/>
      <c r="TUA82" s="570"/>
      <c r="TUB82" s="570"/>
      <c r="TUC82" s="570"/>
      <c r="TUD82" s="570"/>
      <c r="TUE82" s="570"/>
      <c r="TUF82" s="570"/>
      <c r="TUG82" s="570"/>
      <c r="TUH82" s="570"/>
      <c r="TUI82" s="570"/>
      <c r="TUJ82" s="570"/>
      <c r="TUK82" s="570"/>
      <c r="TUL82" s="570"/>
      <c r="TUM82" s="570"/>
      <c r="TUN82" s="570"/>
      <c r="TUO82" s="570"/>
      <c r="TUP82" s="570"/>
      <c r="TUQ82" s="570"/>
      <c r="TUR82" s="570"/>
      <c r="TUS82" s="570"/>
      <c r="TUT82" s="570"/>
      <c r="TUU82" s="570"/>
      <c r="TUV82" s="570"/>
      <c r="TUW82" s="570"/>
      <c r="TUX82" s="570"/>
      <c r="TUY82" s="570"/>
      <c r="TUZ82" s="570"/>
      <c r="TVA82" s="570"/>
      <c r="TVB82" s="570"/>
      <c r="TVC82" s="570"/>
      <c r="TVD82" s="570"/>
      <c r="TVE82" s="570"/>
      <c r="TVF82" s="570"/>
      <c r="TVG82" s="570"/>
      <c r="TVH82" s="570"/>
      <c r="TVI82" s="570"/>
      <c r="TVJ82" s="570"/>
      <c r="TVK82" s="570"/>
      <c r="TVL82" s="570"/>
      <c r="TVM82" s="570"/>
      <c r="TVN82" s="570"/>
      <c r="TVO82" s="570"/>
      <c r="TVP82" s="570"/>
      <c r="TVQ82" s="570"/>
      <c r="TVR82" s="570"/>
      <c r="TVS82" s="570"/>
      <c r="TVT82" s="570"/>
      <c r="TVU82" s="570"/>
      <c r="TVV82" s="570"/>
      <c r="TVW82" s="570"/>
      <c r="TVX82" s="570"/>
      <c r="TVY82" s="570"/>
      <c r="TVZ82" s="570"/>
      <c r="TWA82" s="570"/>
      <c r="TWB82" s="570"/>
      <c r="TWC82" s="570"/>
      <c r="TWD82" s="570"/>
      <c r="TWE82" s="570"/>
      <c r="TWF82" s="570"/>
      <c r="TWG82" s="570"/>
      <c r="TWH82" s="570"/>
      <c r="TWI82" s="570"/>
      <c r="TWJ82" s="570"/>
      <c r="TWK82" s="570"/>
      <c r="TWL82" s="570"/>
      <c r="TWM82" s="570"/>
      <c r="TWN82" s="570"/>
      <c r="TWO82" s="570"/>
      <c r="TWP82" s="570"/>
      <c r="TWQ82" s="570"/>
      <c r="TWR82" s="570"/>
      <c r="TWS82" s="570"/>
      <c r="TWT82" s="570"/>
      <c r="TWU82" s="570"/>
      <c r="TWV82" s="570"/>
      <c r="TWW82" s="570"/>
      <c r="TWX82" s="570"/>
      <c r="TWY82" s="570"/>
      <c r="TWZ82" s="570"/>
      <c r="TXA82" s="570"/>
      <c r="TXB82" s="570"/>
      <c r="TXC82" s="570"/>
      <c r="TXD82" s="570"/>
      <c r="TXE82" s="570"/>
      <c r="TXF82" s="570"/>
      <c r="TXG82" s="570"/>
      <c r="TXH82" s="570"/>
      <c r="TXI82" s="570"/>
      <c r="TXJ82" s="570"/>
      <c r="TXK82" s="570"/>
      <c r="TXL82" s="570"/>
      <c r="TXM82" s="570"/>
      <c r="TXN82" s="570"/>
      <c r="TXO82" s="570"/>
      <c r="TXP82" s="570"/>
      <c r="TXQ82" s="570"/>
      <c r="TXR82" s="570"/>
      <c r="TXS82" s="570"/>
      <c r="TXT82" s="570"/>
      <c r="TXU82" s="570"/>
      <c r="TXV82" s="570"/>
      <c r="TXW82" s="570"/>
      <c r="TXX82" s="570"/>
      <c r="TXY82" s="570"/>
      <c r="TXZ82" s="570"/>
      <c r="TYA82" s="570"/>
      <c r="TYB82" s="570"/>
      <c r="TYC82" s="570"/>
      <c r="TYD82" s="570"/>
      <c r="TYE82" s="570"/>
      <c r="TYF82" s="570"/>
      <c r="TYG82" s="570"/>
      <c r="TYH82" s="570"/>
      <c r="TYI82" s="570"/>
      <c r="TYJ82" s="570"/>
      <c r="TYK82" s="570"/>
      <c r="TYL82" s="570"/>
      <c r="TYM82" s="570"/>
      <c r="TYN82" s="570"/>
      <c r="TYO82" s="570"/>
      <c r="TYP82" s="570"/>
      <c r="TYQ82" s="570"/>
      <c r="TYR82" s="570"/>
      <c r="TYS82" s="570"/>
      <c r="TYT82" s="570"/>
      <c r="TYU82" s="570"/>
      <c r="TYV82" s="570"/>
      <c r="TYW82" s="570"/>
      <c r="TYX82" s="570"/>
      <c r="TYY82" s="570"/>
      <c r="TYZ82" s="570"/>
      <c r="TZA82" s="570"/>
      <c r="TZB82" s="570"/>
      <c r="TZC82" s="570"/>
      <c r="TZD82" s="570"/>
      <c r="TZE82" s="570"/>
      <c r="TZF82" s="570"/>
      <c r="TZG82" s="570"/>
      <c r="TZH82" s="570"/>
      <c r="TZI82" s="570"/>
      <c r="TZJ82" s="570"/>
      <c r="TZK82" s="570"/>
      <c r="TZL82" s="570"/>
      <c r="TZM82" s="570"/>
      <c r="TZN82" s="570"/>
      <c r="TZO82" s="570"/>
      <c r="TZP82" s="570"/>
      <c r="TZQ82" s="570"/>
      <c r="TZR82" s="570"/>
      <c r="TZS82" s="570"/>
      <c r="TZT82" s="570"/>
      <c r="TZU82" s="570"/>
      <c r="TZV82" s="570"/>
      <c r="TZW82" s="570"/>
      <c r="TZX82" s="570"/>
      <c r="TZY82" s="570"/>
      <c r="TZZ82" s="570"/>
      <c r="UAA82" s="570"/>
      <c r="UAB82" s="570"/>
      <c r="UAC82" s="570"/>
      <c r="UAD82" s="570"/>
      <c r="UAE82" s="570"/>
      <c r="UAF82" s="570"/>
      <c r="UAG82" s="570"/>
      <c r="UAH82" s="570"/>
      <c r="UAI82" s="570"/>
      <c r="UAJ82" s="570"/>
      <c r="UAK82" s="570"/>
      <c r="UAL82" s="570"/>
      <c r="UAM82" s="570"/>
      <c r="UAN82" s="570"/>
      <c r="UAO82" s="570"/>
      <c r="UAP82" s="570"/>
      <c r="UAQ82" s="570"/>
      <c r="UAR82" s="570"/>
      <c r="UAS82" s="570"/>
      <c r="UAT82" s="570"/>
      <c r="UAU82" s="570"/>
      <c r="UAV82" s="570"/>
      <c r="UAW82" s="570"/>
      <c r="UAX82" s="570"/>
      <c r="UAY82" s="570"/>
      <c r="UAZ82" s="570"/>
      <c r="UBA82" s="570"/>
      <c r="UBB82" s="570"/>
      <c r="UBC82" s="570"/>
      <c r="UBD82" s="570"/>
      <c r="UBE82" s="570"/>
      <c r="UBF82" s="570"/>
      <c r="UBG82" s="570"/>
      <c r="UBH82" s="570"/>
      <c r="UBI82" s="570"/>
      <c r="UBJ82" s="570"/>
      <c r="UBK82" s="570"/>
      <c r="UBL82" s="570"/>
      <c r="UBM82" s="570"/>
      <c r="UBN82" s="570"/>
      <c r="UBO82" s="570"/>
      <c r="UBP82" s="570"/>
      <c r="UBQ82" s="570"/>
      <c r="UBR82" s="570"/>
      <c r="UBS82" s="570"/>
      <c r="UBT82" s="570"/>
      <c r="UBU82" s="570"/>
      <c r="UBV82" s="570"/>
      <c r="UBW82" s="570"/>
      <c r="UBX82" s="570"/>
      <c r="UBY82" s="570"/>
      <c r="UBZ82" s="570"/>
      <c r="UCA82" s="570"/>
      <c r="UCB82" s="570"/>
      <c r="UCC82" s="570"/>
      <c r="UCD82" s="570"/>
      <c r="UCE82" s="570"/>
      <c r="UCF82" s="570"/>
      <c r="UCG82" s="570"/>
      <c r="UCH82" s="570"/>
      <c r="UCI82" s="570"/>
      <c r="UCJ82" s="570"/>
      <c r="UCK82" s="570"/>
      <c r="UCL82" s="570"/>
      <c r="UCM82" s="570"/>
      <c r="UCN82" s="570"/>
      <c r="UCO82" s="570"/>
      <c r="UCP82" s="570"/>
      <c r="UCQ82" s="570"/>
      <c r="UCR82" s="570"/>
      <c r="UCS82" s="570"/>
      <c r="UCT82" s="570"/>
      <c r="UCU82" s="570"/>
      <c r="UCV82" s="570"/>
      <c r="UCW82" s="570"/>
      <c r="UCX82" s="570"/>
      <c r="UCY82" s="570"/>
      <c r="UCZ82" s="570"/>
      <c r="UDA82" s="570"/>
      <c r="UDB82" s="570"/>
      <c r="UDC82" s="570"/>
      <c r="UDD82" s="570"/>
      <c r="UDE82" s="570"/>
      <c r="UDF82" s="570"/>
      <c r="UDG82" s="570"/>
      <c r="UDH82" s="570"/>
      <c r="UDI82" s="570"/>
      <c r="UDJ82" s="570"/>
      <c r="UDK82" s="570"/>
      <c r="UDL82" s="570"/>
      <c r="UDM82" s="570"/>
      <c r="UDN82" s="570"/>
      <c r="UDO82" s="570"/>
      <c r="UDP82" s="570"/>
      <c r="UDQ82" s="570"/>
      <c r="UDR82" s="570"/>
      <c r="UDS82" s="570"/>
      <c r="UDT82" s="570"/>
      <c r="UDU82" s="570"/>
      <c r="UDV82" s="570"/>
      <c r="UDW82" s="570"/>
      <c r="UDX82" s="570"/>
      <c r="UDY82" s="570"/>
      <c r="UDZ82" s="570"/>
      <c r="UEA82" s="570"/>
      <c r="UEB82" s="570"/>
      <c r="UEC82" s="570"/>
      <c r="UED82" s="570"/>
      <c r="UEE82" s="570"/>
      <c r="UEF82" s="570"/>
      <c r="UEG82" s="570"/>
      <c r="UEH82" s="570"/>
      <c r="UEI82" s="570"/>
      <c r="UEJ82" s="570"/>
      <c r="UEK82" s="570"/>
      <c r="UEL82" s="570"/>
      <c r="UEM82" s="570"/>
      <c r="UEN82" s="570"/>
      <c r="UEO82" s="570"/>
      <c r="UEP82" s="570"/>
      <c r="UEQ82" s="570"/>
      <c r="UER82" s="570"/>
      <c r="UES82" s="570"/>
      <c r="UET82" s="570"/>
      <c r="UEU82" s="570"/>
      <c r="UEV82" s="570"/>
      <c r="UEW82" s="570"/>
      <c r="UEX82" s="570"/>
      <c r="UEY82" s="570"/>
      <c r="UEZ82" s="570"/>
      <c r="UFA82" s="570"/>
      <c r="UFB82" s="570"/>
      <c r="UFC82" s="570"/>
      <c r="UFD82" s="570"/>
      <c r="UFE82" s="570"/>
      <c r="UFF82" s="570"/>
      <c r="UFG82" s="570"/>
      <c r="UFH82" s="570"/>
      <c r="UFI82" s="570"/>
      <c r="UFJ82" s="570"/>
      <c r="UFK82" s="570"/>
      <c r="UFL82" s="570"/>
      <c r="UFM82" s="570"/>
      <c r="UFN82" s="570"/>
      <c r="UFO82" s="570"/>
      <c r="UFP82" s="570"/>
      <c r="UFQ82" s="570"/>
      <c r="UFR82" s="570"/>
      <c r="UFS82" s="570"/>
      <c r="UFT82" s="570"/>
      <c r="UFU82" s="570"/>
      <c r="UFV82" s="570"/>
      <c r="UFW82" s="570"/>
      <c r="UFX82" s="570"/>
      <c r="UFY82" s="570"/>
      <c r="UFZ82" s="570"/>
      <c r="UGA82" s="570"/>
      <c r="UGB82" s="570"/>
      <c r="UGC82" s="570"/>
      <c r="UGD82" s="570"/>
      <c r="UGE82" s="570"/>
      <c r="UGF82" s="570"/>
      <c r="UGG82" s="570"/>
      <c r="UGH82" s="570"/>
      <c r="UGI82" s="570"/>
      <c r="UGJ82" s="570"/>
      <c r="UGK82" s="570"/>
      <c r="UGL82" s="570"/>
      <c r="UGM82" s="570"/>
      <c r="UGN82" s="570"/>
      <c r="UGO82" s="570"/>
      <c r="UGP82" s="570"/>
      <c r="UGQ82" s="570"/>
      <c r="UGR82" s="570"/>
      <c r="UGS82" s="570"/>
      <c r="UGT82" s="570"/>
      <c r="UGU82" s="570"/>
      <c r="UGV82" s="570"/>
      <c r="UGW82" s="570"/>
      <c r="UGX82" s="570"/>
      <c r="UGY82" s="570"/>
      <c r="UGZ82" s="570"/>
      <c r="UHA82" s="570"/>
      <c r="UHB82" s="570"/>
      <c r="UHC82" s="570"/>
      <c r="UHD82" s="570"/>
      <c r="UHE82" s="570"/>
      <c r="UHF82" s="570"/>
      <c r="UHG82" s="570"/>
      <c r="UHH82" s="570"/>
      <c r="UHI82" s="570"/>
      <c r="UHJ82" s="570"/>
      <c r="UHK82" s="570"/>
      <c r="UHL82" s="570"/>
      <c r="UHM82" s="570"/>
      <c r="UHN82" s="570"/>
      <c r="UHO82" s="570"/>
      <c r="UHP82" s="570"/>
      <c r="UHQ82" s="570"/>
      <c r="UHR82" s="570"/>
      <c r="UHS82" s="570"/>
      <c r="UHT82" s="570"/>
      <c r="UHU82" s="570"/>
      <c r="UHV82" s="570"/>
      <c r="UHW82" s="570"/>
      <c r="UHX82" s="570"/>
      <c r="UHY82" s="570"/>
      <c r="UHZ82" s="570"/>
      <c r="UIA82" s="570"/>
      <c r="UIB82" s="570"/>
      <c r="UIC82" s="570"/>
      <c r="UID82" s="570"/>
      <c r="UIE82" s="570"/>
      <c r="UIF82" s="570"/>
      <c r="UIG82" s="570"/>
      <c r="UIH82" s="570"/>
      <c r="UII82" s="570"/>
      <c r="UIJ82" s="570"/>
      <c r="UIK82" s="570"/>
      <c r="UIL82" s="570"/>
      <c r="UIM82" s="570"/>
      <c r="UIN82" s="570"/>
      <c r="UIO82" s="570"/>
      <c r="UIP82" s="570"/>
      <c r="UIQ82" s="570"/>
      <c r="UIR82" s="570"/>
      <c r="UIS82" s="570"/>
      <c r="UIT82" s="570"/>
      <c r="UIU82" s="570"/>
      <c r="UIV82" s="570"/>
      <c r="UIW82" s="570"/>
      <c r="UIX82" s="570"/>
      <c r="UIY82" s="570"/>
      <c r="UIZ82" s="570"/>
      <c r="UJA82" s="570"/>
      <c r="UJB82" s="570"/>
      <c r="UJC82" s="570"/>
      <c r="UJD82" s="570"/>
      <c r="UJE82" s="570"/>
      <c r="UJF82" s="570"/>
      <c r="UJG82" s="570"/>
      <c r="UJH82" s="570"/>
      <c r="UJI82" s="570"/>
      <c r="UJJ82" s="570"/>
      <c r="UJK82" s="570"/>
      <c r="UJL82" s="570"/>
      <c r="UJM82" s="570"/>
      <c r="UJN82" s="570"/>
      <c r="UJO82" s="570"/>
      <c r="UJP82" s="570"/>
      <c r="UJQ82" s="570"/>
      <c r="UJR82" s="570"/>
      <c r="UJS82" s="570"/>
      <c r="UJT82" s="570"/>
      <c r="UJU82" s="570"/>
      <c r="UJV82" s="570"/>
      <c r="UJW82" s="570"/>
      <c r="UJX82" s="570"/>
      <c r="UJY82" s="570"/>
      <c r="UJZ82" s="570"/>
      <c r="UKA82" s="570"/>
      <c r="UKB82" s="570"/>
      <c r="UKC82" s="570"/>
      <c r="UKD82" s="570"/>
      <c r="UKE82" s="570"/>
      <c r="UKF82" s="570"/>
      <c r="UKG82" s="570"/>
      <c r="UKH82" s="570"/>
      <c r="UKI82" s="570"/>
      <c r="UKJ82" s="570"/>
      <c r="UKK82" s="570"/>
      <c r="UKL82" s="570"/>
      <c r="UKM82" s="570"/>
      <c r="UKN82" s="570"/>
      <c r="UKO82" s="570"/>
      <c r="UKP82" s="570"/>
      <c r="UKQ82" s="570"/>
      <c r="UKR82" s="570"/>
      <c r="UKS82" s="570"/>
      <c r="UKT82" s="570"/>
      <c r="UKU82" s="570"/>
      <c r="UKV82" s="570"/>
      <c r="UKW82" s="570"/>
      <c r="UKX82" s="570"/>
      <c r="UKY82" s="570"/>
      <c r="UKZ82" s="570"/>
      <c r="ULA82" s="570"/>
      <c r="ULB82" s="570"/>
      <c r="ULC82" s="570"/>
      <c r="ULD82" s="570"/>
      <c r="ULE82" s="570"/>
      <c r="ULF82" s="570"/>
      <c r="ULG82" s="570"/>
      <c r="ULH82" s="570"/>
      <c r="ULI82" s="570"/>
      <c r="ULJ82" s="570"/>
      <c r="ULK82" s="570"/>
      <c r="ULL82" s="570"/>
      <c r="ULM82" s="570"/>
      <c r="ULN82" s="570"/>
      <c r="ULO82" s="570"/>
      <c r="ULP82" s="570"/>
      <c r="ULQ82" s="570"/>
      <c r="ULR82" s="570"/>
      <c r="ULS82" s="570"/>
      <c r="ULT82" s="570"/>
      <c r="ULU82" s="570"/>
      <c r="ULV82" s="570"/>
      <c r="ULW82" s="570"/>
      <c r="ULX82" s="570"/>
      <c r="ULY82" s="570"/>
      <c r="ULZ82" s="570"/>
      <c r="UMA82" s="570"/>
      <c r="UMB82" s="570"/>
      <c r="UMC82" s="570"/>
      <c r="UMD82" s="570"/>
      <c r="UME82" s="570"/>
      <c r="UMF82" s="570"/>
      <c r="UMG82" s="570"/>
      <c r="UMH82" s="570"/>
      <c r="UMI82" s="570"/>
      <c r="UMJ82" s="570"/>
      <c r="UMK82" s="570"/>
      <c r="UML82" s="570"/>
      <c r="UMM82" s="570"/>
      <c r="UMN82" s="570"/>
      <c r="UMO82" s="570"/>
      <c r="UMP82" s="570"/>
      <c r="UMQ82" s="570"/>
      <c r="UMR82" s="570"/>
      <c r="UMS82" s="570"/>
      <c r="UMT82" s="570"/>
      <c r="UMU82" s="570"/>
      <c r="UMV82" s="570"/>
      <c r="UMW82" s="570"/>
      <c r="UMX82" s="570"/>
      <c r="UMY82" s="570"/>
      <c r="UMZ82" s="570"/>
      <c r="UNA82" s="570"/>
      <c r="UNB82" s="570"/>
      <c r="UNC82" s="570"/>
      <c r="UND82" s="570"/>
      <c r="UNE82" s="570"/>
      <c r="UNF82" s="570"/>
      <c r="UNG82" s="570"/>
      <c r="UNH82" s="570"/>
      <c r="UNI82" s="570"/>
      <c r="UNJ82" s="570"/>
      <c r="UNK82" s="570"/>
      <c r="UNL82" s="570"/>
      <c r="UNM82" s="570"/>
      <c r="UNN82" s="570"/>
      <c r="UNO82" s="570"/>
      <c r="UNP82" s="570"/>
      <c r="UNQ82" s="570"/>
      <c r="UNR82" s="570"/>
      <c r="UNS82" s="570"/>
      <c r="UNT82" s="570"/>
      <c r="UNU82" s="570"/>
      <c r="UNV82" s="570"/>
      <c r="UNW82" s="570"/>
      <c r="UNX82" s="570"/>
      <c r="UNY82" s="570"/>
      <c r="UNZ82" s="570"/>
      <c r="UOA82" s="570"/>
      <c r="UOB82" s="570"/>
      <c r="UOC82" s="570"/>
      <c r="UOD82" s="570"/>
      <c r="UOE82" s="570"/>
      <c r="UOF82" s="570"/>
      <c r="UOG82" s="570"/>
      <c r="UOH82" s="570"/>
      <c r="UOI82" s="570"/>
      <c r="UOJ82" s="570"/>
      <c r="UOK82" s="570"/>
      <c r="UOL82" s="570"/>
      <c r="UOM82" s="570"/>
      <c r="UON82" s="570"/>
      <c r="UOO82" s="570"/>
      <c r="UOP82" s="570"/>
      <c r="UOQ82" s="570"/>
      <c r="UOR82" s="570"/>
      <c r="UOS82" s="570"/>
      <c r="UOT82" s="570"/>
      <c r="UOU82" s="570"/>
      <c r="UOV82" s="570"/>
      <c r="UOW82" s="570"/>
      <c r="UOX82" s="570"/>
      <c r="UOY82" s="570"/>
      <c r="UOZ82" s="570"/>
      <c r="UPA82" s="570"/>
      <c r="UPB82" s="570"/>
      <c r="UPC82" s="570"/>
      <c r="UPD82" s="570"/>
      <c r="UPE82" s="570"/>
      <c r="UPF82" s="570"/>
      <c r="UPG82" s="570"/>
      <c r="UPH82" s="570"/>
      <c r="UPI82" s="570"/>
      <c r="UPJ82" s="570"/>
      <c r="UPK82" s="570"/>
      <c r="UPL82" s="570"/>
      <c r="UPM82" s="570"/>
      <c r="UPN82" s="570"/>
      <c r="UPO82" s="570"/>
      <c r="UPP82" s="570"/>
      <c r="UPQ82" s="570"/>
      <c r="UPR82" s="570"/>
      <c r="UPS82" s="570"/>
      <c r="UPT82" s="570"/>
      <c r="UPU82" s="570"/>
      <c r="UPV82" s="570"/>
      <c r="UPW82" s="570"/>
      <c r="UPX82" s="570"/>
      <c r="UPY82" s="570"/>
      <c r="UPZ82" s="570"/>
      <c r="UQA82" s="570"/>
      <c r="UQB82" s="570"/>
      <c r="UQC82" s="570"/>
      <c r="UQD82" s="570"/>
      <c r="UQE82" s="570"/>
      <c r="UQF82" s="570"/>
      <c r="UQG82" s="570"/>
      <c r="UQH82" s="570"/>
      <c r="UQI82" s="570"/>
      <c r="UQJ82" s="570"/>
      <c r="UQK82" s="570"/>
      <c r="UQL82" s="570"/>
      <c r="UQM82" s="570"/>
      <c r="UQN82" s="570"/>
      <c r="UQO82" s="570"/>
      <c r="UQP82" s="570"/>
      <c r="UQQ82" s="570"/>
      <c r="UQR82" s="570"/>
      <c r="UQS82" s="570"/>
      <c r="UQT82" s="570"/>
      <c r="UQU82" s="570"/>
      <c r="UQV82" s="570"/>
      <c r="UQW82" s="570"/>
      <c r="UQX82" s="570"/>
      <c r="UQY82" s="570"/>
      <c r="UQZ82" s="570"/>
      <c r="URA82" s="570"/>
      <c r="URB82" s="570"/>
      <c r="URC82" s="570"/>
      <c r="URD82" s="570"/>
      <c r="URE82" s="570"/>
      <c r="URF82" s="570"/>
      <c r="URG82" s="570"/>
      <c r="URH82" s="570"/>
      <c r="URI82" s="570"/>
      <c r="URJ82" s="570"/>
      <c r="URK82" s="570"/>
      <c r="URL82" s="570"/>
      <c r="URM82" s="570"/>
      <c r="URN82" s="570"/>
      <c r="URO82" s="570"/>
      <c r="URP82" s="570"/>
      <c r="URQ82" s="570"/>
      <c r="URR82" s="570"/>
      <c r="URS82" s="570"/>
      <c r="URT82" s="570"/>
      <c r="URU82" s="570"/>
      <c r="URV82" s="570"/>
      <c r="URW82" s="570"/>
      <c r="URX82" s="570"/>
      <c r="URY82" s="570"/>
      <c r="URZ82" s="570"/>
      <c r="USA82" s="570"/>
      <c r="USB82" s="570"/>
      <c r="USC82" s="570"/>
      <c r="USD82" s="570"/>
      <c r="USE82" s="570"/>
      <c r="USF82" s="570"/>
      <c r="USG82" s="570"/>
      <c r="USH82" s="570"/>
      <c r="USI82" s="570"/>
      <c r="USJ82" s="570"/>
      <c r="USK82" s="570"/>
      <c r="USL82" s="570"/>
      <c r="USM82" s="570"/>
      <c r="USN82" s="570"/>
      <c r="USO82" s="570"/>
      <c r="USP82" s="570"/>
      <c r="USQ82" s="570"/>
      <c r="USR82" s="570"/>
      <c r="USS82" s="570"/>
      <c r="UST82" s="570"/>
      <c r="USU82" s="570"/>
      <c r="USV82" s="570"/>
      <c r="USW82" s="570"/>
      <c r="USX82" s="570"/>
      <c r="USY82" s="570"/>
      <c r="USZ82" s="570"/>
      <c r="UTA82" s="570"/>
      <c r="UTB82" s="570"/>
      <c r="UTC82" s="570"/>
      <c r="UTD82" s="570"/>
      <c r="UTE82" s="570"/>
      <c r="UTF82" s="570"/>
      <c r="UTG82" s="570"/>
      <c r="UTH82" s="570"/>
      <c r="UTI82" s="570"/>
      <c r="UTJ82" s="570"/>
      <c r="UTK82" s="570"/>
      <c r="UTL82" s="570"/>
      <c r="UTM82" s="570"/>
      <c r="UTN82" s="570"/>
      <c r="UTO82" s="570"/>
      <c r="UTP82" s="570"/>
      <c r="UTQ82" s="570"/>
      <c r="UTR82" s="570"/>
      <c r="UTS82" s="570"/>
      <c r="UTT82" s="570"/>
      <c r="UTU82" s="570"/>
      <c r="UTV82" s="570"/>
      <c r="UTW82" s="570"/>
      <c r="UTX82" s="570"/>
      <c r="UTY82" s="570"/>
      <c r="UTZ82" s="570"/>
      <c r="UUA82" s="570"/>
      <c r="UUB82" s="570"/>
      <c r="UUC82" s="570"/>
      <c r="UUD82" s="570"/>
      <c r="UUE82" s="570"/>
      <c r="UUF82" s="570"/>
      <c r="UUG82" s="570"/>
      <c r="UUH82" s="570"/>
      <c r="UUI82" s="570"/>
      <c r="UUJ82" s="570"/>
      <c r="UUK82" s="570"/>
      <c r="UUL82" s="570"/>
      <c r="UUM82" s="570"/>
      <c r="UUN82" s="570"/>
      <c r="UUO82" s="570"/>
      <c r="UUP82" s="570"/>
      <c r="UUQ82" s="570"/>
      <c r="UUR82" s="570"/>
      <c r="UUS82" s="570"/>
      <c r="UUT82" s="570"/>
      <c r="UUU82" s="570"/>
      <c r="UUV82" s="570"/>
      <c r="UUW82" s="570"/>
      <c r="UUX82" s="570"/>
      <c r="UUY82" s="570"/>
      <c r="UUZ82" s="570"/>
      <c r="UVA82" s="570"/>
      <c r="UVB82" s="570"/>
      <c r="UVC82" s="570"/>
      <c r="UVD82" s="570"/>
      <c r="UVE82" s="570"/>
      <c r="UVF82" s="570"/>
      <c r="UVG82" s="570"/>
      <c r="UVH82" s="570"/>
      <c r="UVI82" s="570"/>
      <c r="UVJ82" s="570"/>
      <c r="UVK82" s="570"/>
      <c r="UVL82" s="570"/>
      <c r="UVM82" s="570"/>
      <c r="UVN82" s="570"/>
      <c r="UVO82" s="570"/>
      <c r="UVP82" s="570"/>
      <c r="UVQ82" s="570"/>
      <c r="UVR82" s="570"/>
      <c r="UVS82" s="570"/>
      <c r="UVT82" s="570"/>
      <c r="UVU82" s="570"/>
      <c r="UVV82" s="570"/>
      <c r="UVW82" s="570"/>
      <c r="UVX82" s="570"/>
      <c r="UVY82" s="570"/>
      <c r="UVZ82" s="570"/>
      <c r="UWA82" s="570"/>
      <c r="UWB82" s="570"/>
      <c r="UWC82" s="570"/>
      <c r="UWD82" s="570"/>
      <c r="UWE82" s="570"/>
      <c r="UWF82" s="570"/>
      <c r="UWG82" s="570"/>
      <c r="UWH82" s="570"/>
      <c r="UWI82" s="570"/>
      <c r="UWJ82" s="570"/>
      <c r="UWK82" s="570"/>
      <c r="UWL82" s="570"/>
      <c r="UWM82" s="570"/>
      <c r="UWN82" s="570"/>
      <c r="UWO82" s="570"/>
      <c r="UWP82" s="570"/>
      <c r="UWQ82" s="570"/>
      <c r="UWR82" s="570"/>
      <c r="UWS82" s="570"/>
      <c r="UWT82" s="570"/>
      <c r="UWU82" s="570"/>
      <c r="UWV82" s="570"/>
      <c r="UWW82" s="570"/>
      <c r="UWX82" s="570"/>
      <c r="UWY82" s="570"/>
      <c r="UWZ82" s="570"/>
      <c r="UXA82" s="570"/>
      <c r="UXB82" s="570"/>
      <c r="UXC82" s="570"/>
      <c r="UXD82" s="570"/>
      <c r="UXE82" s="570"/>
      <c r="UXF82" s="570"/>
      <c r="UXG82" s="570"/>
      <c r="UXH82" s="570"/>
      <c r="UXI82" s="570"/>
      <c r="UXJ82" s="570"/>
      <c r="UXK82" s="570"/>
      <c r="UXL82" s="570"/>
      <c r="UXM82" s="570"/>
      <c r="UXN82" s="570"/>
      <c r="UXO82" s="570"/>
      <c r="UXP82" s="570"/>
      <c r="UXQ82" s="570"/>
      <c r="UXR82" s="570"/>
      <c r="UXS82" s="570"/>
      <c r="UXT82" s="570"/>
      <c r="UXU82" s="570"/>
      <c r="UXV82" s="570"/>
      <c r="UXW82" s="570"/>
      <c r="UXX82" s="570"/>
      <c r="UXY82" s="570"/>
      <c r="UXZ82" s="570"/>
      <c r="UYA82" s="570"/>
      <c r="UYB82" s="570"/>
      <c r="UYC82" s="570"/>
      <c r="UYD82" s="570"/>
      <c r="UYE82" s="570"/>
      <c r="UYF82" s="570"/>
      <c r="UYG82" s="570"/>
      <c r="UYH82" s="570"/>
      <c r="UYI82" s="570"/>
      <c r="UYJ82" s="570"/>
      <c r="UYK82" s="570"/>
      <c r="UYL82" s="570"/>
      <c r="UYM82" s="570"/>
      <c r="UYN82" s="570"/>
      <c r="UYO82" s="570"/>
      <c r="UYP82" s="570"/>
      <c r="UYQ82" s="570"/>
      <c r="UYR82" s="570"/>
      <c r="UYS82" s="570"/>
      <c r="UYT82" s="570"/>
      <c r="UYU82" s="570"/>
      <c r="UYV82" s="570"/>
      <c r="UYW82" s="570"/>
      <c r="UYX82" s="570"/>
      <c r="UYY82" s="570"/>
      <c r="UYZ82" s="570"/>
      <c r="UZA82" s="570"/>
      <c r="UZB82" s="570"/>
      <c r="UZC82" s="570"/>
      <c r="UZD82" s="570"/>
      <c r="UZE82" s="570"/>
      <c r="UZF82" s="570"/>
      <c r="UZG82" s="570"/>
      <c r="UZH82" s="570"/>
      <c r="UZI82" s="570"/>
      <c r="UZJ82" s="570"/>
      <c r="UZK82" s="570"/>
      <c r="UZL82" s="570"/>
      <c r="UZM82" s="570"/>
      <c r="UZN82" s="570"/>
      <c r="UZO82" s="570"/>
      <c r="UZP82" s="570"/>
      <c r="UZQ82" s="570"/>
      <c r="UZR82" s="570"/>
      <c r="UZS82" s="570"/>
      <c r="UZT82" s="570"/>
      <c r="UZU82" s="570"/>
      <c r="UZV82" s="570"/>
      <c r="UZW82" s="570"/>
      <c r="UZX82" s="570"/>
      <c r="UZY82" s="570"/>
      <c r="UZZ82" s="570"/>
      <c r="VAA82" s="570"/>
      <c r="VAB82" s="570"/>
      <c r="VAC82" s="570"/>
      <c r="VAD82" s="570"/>
      <c r="VAE82" s="570"/>
      <c r="VAF82" s="570"/>
      <c r="VAG82" s="570"/>
      <c r="VAH82" s="570"/>
      <c r="VAI82" s="570"/>
      <c r="VAJ82" s="570"/>
      <c r="VAK82" s="570"/>
      <c r="VAL82" s="570"/>
      <c r="VAM82" s="570"/>
      <c r="VAN82" s="570"/>
      <c r="VAO82" s="570"/>
      <c r="VAP82" s="570"/>
      <c r="VAQ82" s="570"/>
      <c r="VAR82" s="570"/>
      <c r="VAS82" s="570"/>
      <c r="VAT82" s="570"/>
      <c r="VAU82" s="570"/>
      <c r="VAV82" s="570"/>
      <c r="VAW82" s="570"/>
      <c r="VAX82" s="570"/>
      <c r="VAY82" s="570"/>
      <c r="VAZ82" s="570"/>
      <c r="VBA82" s="570"/>
      <c r="VBB82" s="570"/>
      <c r="VBC82" s="570"/>
      <c r="VBD82" s="570"/>
      <c r="VBE82" s="570"/>
      <c r="VBF82" s="570"/>
      <c r="VBG82" s="570"/>
      <c r="VBH82" s="570"/>
      <c r="VBI82" s="570"/>
      <c r="VBJ82" s="570"/>
      <c r="VBK82" s="570"/>
      <c r="VBL82" s="570"/>
      <c r="VBM82" s="570"/>
      <c r="VBN82" s="570"/>
      <c r="VBO82" s="570"/>
      <c r="VBP82" s="570"/>
      <c r="VBQ82" s="570"/>
      <c r="VBR82" s="570"/>
      <c r="VBS82" s="570"/>
      <c r="VBT82" s="570"/>
      <c r="VBU82" s="570"/>
      <c r="VBV82" s="570"/>
      <c r="VBW82" s="570"/>
      <c r="VBX82" s="570"/>
      <c r="VBY82" s="570"/>
      <c r="VBZ82" s="570"/>
      <c r="VCA82" s="570"/>
      <c r="VCB82" s="570"/>
      <c r="VCC82" s="570"/>
      <c r="VCD82" s="570"/>
      <c r="VCE82" s="570"/>
      <c r="VCF82" s="570"/>
      <c r="VCG82" s="570"/>
      <c r="VCH82" s="570"/>
      <c r="VCI82" s="570"/>
      <c r="VCJ82" s="570"/>
      <c r="VCK82" s="570"/>
      <c r="VCL82" s="570"/>
      <c r="VCM82" s="570"/>
      <c r="VCN82" s="570"/>
      <c r="VCO82" s="570"/>
      <c r="VCP82" s="570"/>
      <c r="VCQ82" s="570"/>
      <c r="VCR82" s="570"/>
      <c r="VCS82" s="570"/>
      <c r="VCT82" s="570"/>
      <c r="VCU82" s="570"/>
      <c r="VCV82" s="570"/>
      <c r="VCW82" s="570"/>
      <c r="VCX82" s="570"/>
      <c r="VCY82" s="570"/>
      <c r="VCZ82" s="570"/>
      <c r="VDA82" s="570"/>
      <c r="VDB82" s="570"/>
      <c r="VDC82" s="570"/>
      <c r="VDD82" s="570"/>
      <c r="VDE82" s="570"/>
      <c r="VDF82" s="570"/>
      <c r="VDG82" s="570"/>
      <c r="VDH82" s="570"/>
      <c r="VDI82" s="570"/>
      <c r="VDJ82" s="570"/>
      <c r="VDK82" s="570"/>
      <c r="VDL82" s="570"/>
      <c r="VDM82" s="570"/>
      <c r="VDN82" s="570"/>
      <c r="VDO82" s="570"/>
      <c r="VDP82" s="570"/>
      <c r="VDQ82" s="570"/>
      <c r="VDR82" s="570"/>
      <c r="VDS82" s="570"/>
      <c r="VDT82" s="570"/>
      <c r="VDU82" s="570"/>
      <c r="VDV82" s="570"/>
      <c r="VDW82" s="570"/>
      <c r="VDX82" s="570"/>
      <c r="VDY82" s="570"/>
      <c r="VDZ82" s="570"/>
      <c r="VEA82" s="570"/>
      <c r="VEB82" s="570"/>
      <c r="VEC82" s="570"/>
      <c r="VED82" s="570"/>
      <c r="VEE82" s="570"/>
      <c r="VEF82" s="570"/>
      <c r="VEG82" s="570"/>
      <c r="VEH82" s="570"/>
      <c r="VEI82" s="570"/>
      <c r="VEJ82" s="570"/>
      <c r="VEK82" s="570"/>
      <c r="VEL82" s="570"/>
      <c r="VEM82" s="570"/>
      <c r="VEN82" s="570"/>
      <c r="VEO82" s="570"/>
      <c r="VEP82" s="570"/>
      <c r="VEQ82" s="570"/>
      <c r="VER82" s="570"/>
      <c r="VES82" s="570"/>
      <c r="VET82" s="570"/>
      <c r="VEU82" s="570"/>
      <c r="VEV82" s="570"/>
      <c r="VEW82" s="570"/>
      <c r="VEX82" s="570"/>
      <c r="VEY82" s="570"/>
      <c r="VEZ82" s="570"/>
      <c r="VFA82" s="570"/>
      <c r="VFB82" s="570"/>
      <c r="VFC82" s="570"/>
      <c r="VFD82" s="570"/>
      <c r="VFE82" s="570"/>
      <c r="VFF82" s="570"/>
      <c r="VFG82" s="570"/>
      <c r="VFH82" s="570"/>
      <c r="VFI82" s="570"/>
      <c r="VFJ82" s="570"/>
      <c r="VFK82" s="570"/>
      <c r="VFL82" s="570"/>
      <c r="VFM82" s="570"/>
      <c r="VFN82" s="570"/>
      <c r="VFO82" s="570"/>
      <c r="VFP82" s="570"/>
      <c r="VFQ82" s="570"/>
      <c r="VFR82" s="570"/>
      <c r="VFS82" s="570"/>
      <c r="VFT82" s="570"/>
      <c r="VFU82" s="570"/>
      <c r="VFV82" s="570"/>
      <c r="VFW82" s="570"/>
      <c r="VFX82" s="570"/>
      <c r="VFY82" s="570"/>
      <c r="VFZ82" s="570"/>
      <c r="VGA82" s="570"/>
      <c r="VGB82" s="570"/>
      <c r="VGC82" s="570"/>
      <c r="VGD82" s="570"/>
      <c r="VGE82" s="570"/>
      <c r="VGF82" s="570"/>
      <c r="VGG82" s="570"/>
      <c r="VGH82" s="570"/>
      <c r="VGI82" s="570"/>
      <c r="VGJ82" s="570"/>
      <c r="VGK82" s="570"/>
      <c r="VGL82" s="570"/>
      <c r="VGM82" s="570"/>
      <c r="VGN82" s="570"/>
      <c r="VGO82" s="570"/>
      <c r="VGP82" s="570"/>
      <c r="VGQ82" s="570"/>
      <c r="VGR82" s="570"/>
      <c r="VGS82" s="570"/>
      <c r="VGT82" s="570"/>
      <c r="VGU82" s="570"/>
      <c r="VGV82" s="570"/>
      <c r="VGW82" s="570"/>
      <c r="VGX82" s="570"/>
      <c r="VGY82" s="570"/>
      <c r="VGZ82" s="570"/>
      <c r="VHA82" s="570"/>
      <c r="VHB82" s="570"/>
      <c r="VHC82" s="570"/>
      <c r="VHD82" s="570"/>
      <c r="VHE82" s="570"/>
      <c r="VHF82" s="570"/>
      <c r="VHG82" s="570"/>
      <c r="VHH82" s="570"/>
      <c r="VHI82" s="570"/>
      <c r="VHJ82" s="570"/>
      <c r="VHK82" s="570"/>
      <c r="VHL82" s="570"/>
      <c r="VHM82" s="570"/>
      <c r="VHN82" s="570"/>
      <c r="VHO82" s="570"/>
      <c r="VHP82" s="570"/>
      <c r="VHQ82" s="570"/>
      <c r="VHR82" s="570"/>
      <c r="VHS82" s="570"/>
      <c r="VHT82" s="570"/>
      <c r="VHU82" s="570"/>
      <c r="VHV82" s="570"/>
      <c r="VHW82" s="570"/>
      <c r="VHX82" s="570"/>
      <c r="VHY82" s="570"/>
      <c r="VHZ82" s="570"/>
      <c r="VIA82" s="570"/>
      <c r="VIB82" s="570"/>
      <c r="VIC82" s="570"/>
      <c r="VID82" s="570"/>
      <c r="VIE82" s="570"/>
      <c r="VIF82" s="570"/>
      <c r="VIG82" s="570"/>
      <c r="VIH82" s="570"/>
      <c r="VII82" s="570"/>
      <c r="VIJ82" s="570"/>
      <c r="VIK82" s="570"/>
      <c r="VIL82" s="570"/>
      <c r="VIM82" s="570"/>
      <c r="VIN82" s="570"/>
      <c r="VIO82" s="570"/>
      <c r="VIP82" s="570"/>
      <c r="VIQ82" s="570"/>
      <c r="VIR82" s="570"/>
      <c r="VIS82" s="570"/>
      <c r="VIT82" s="570"/>
      <c r="VIU82" s="570"/>
      <c r="VIV82" s="570"/>
      <c r="VIW82" s="570"/>
      <c r="VIX82" s="570"/>
      <c r="VIY82" s="570"/>
      <c r="VIZ82" s="570"/>
      <c r="VJA82" s="570"/>
      <c r="VJB82" s="570"/>
      <c r="VJC82" s="570"/>
      <c r="VJD82" s="570"/>
      <c r="VJE82" s="570"/>
      <c r="VJF82" s="570"/>
      <c r="VJG82" s="570"/>
      <c r="VJH82" s="570"/>
      <c r="VJI82" s="570"/>
      <c r="VJJ82" s="570"/>
      <c r="VJK82" s="570"/>
      <c r="VJL82" s="570"/>
      <c r="VJM82" s="570"/>
      <c r="VJN82" s="570"/>
      <c r="VJO82" s="570"/>
      <c r="VJP82" s="570"/>
      <c r="VJQ82" s="570"/>
      <c r="VJR82" s="570"/>
      <c r="VJS82" s="570"/>
      <c r="VJT82" s="570"/>
      <c r="VJU82" s="570"/>
      <c r="VJV82" s="570"/>
      <c r="VJW82" s="570"/>
      <c r="VJX82" s="570"/>
      <c r="VJY82" s="570"/>
      <c r="VJZ82" s="570"/>
      <c r="VKA82" s="570"/>
      <c r="VKB82" s="570"/>
      <c r="VKC82" s="570"/>
      <c r="VKD82" s="570"/>
      <c r="VKE82" s="570"/>
      <c r="VKF82" s="570"/>
      <c r="VKG82" s="570"/>
      <c r="VKH82" s="570"/>
      <c r="VKI82" s="570"/>
      <c r="VKJ82" s="570"/>
      <c r="VKK82" s="570"/>
      <c r="VKL82" s="570"/>
      <c r="VKM82" s="570"/>
      <c r="VKN82" s="570"/>
      <c r="VKO82" s="570"/>
      <c r="VKP82" s="570"/>
      <c r="VKQ82" s="570"/>
      <c r="VKR82" s="570"/>
      <c r="VKS82" s="570"/>
      <c r="VKT82" s="570"/>
      <c r="VKU82" s="570"/>
      <c r="VKV82" s="570"/>
      <c r="VKW82" s="570"/>
      <c r="VKX82" s="570"/>
      <c r="VKY82" s="570"/>
      <c r="VKZ82" s="570"/>
      <c r="VLA82" s="570"/>
      <c r="VLB82" s="570"/>
      <c r="VLC82" s="570"/>
      <c r="VLD82" s="570"/>
      <c r="VLE82" s="570"/>
      <c r="VLF82" s="570"/>
      <c r="VLG82" s="570"/>
      <c r="VLH82" s="570"/>
      <c r="VLI82" s="570"/>
      <c r="VLJ82" s="570"/>
      <c r="VLK82" s="570"/>
      <c r="VLL82" s="570"/>
      <c r="VLM82" s="570"/>
      <c r="VLN82" s="570"/>
      <c r="VLO82" s="570"/>
      <c r="VLP82" s="570"/>
      <c r="VLQ82" s="570"/>
      <c r="VLR82" s="570"/>
      <c r="VLS82" s="570"/>
      <c r="VLT82" s="570"/>
      <c r="VLU82" s="570"/>
      <c r="VLV82" s="570"/>
      <c r="VLW82" s="570"/>
      <c r="VLX82" s="570"/>
      <c r="VLY82" s="570"/>
      <c r="VLZ82" s="570"/>
      <c r="VMA82" s="570"/>
      <c r="VMB82" s="570"/>
      <c r="VMC82" s="570"/>
      <c r="VMD82" s="570"/>
      <c r="VME82" s="570"/>
      <c r="VMF82" s="570"/>
      <c r="VMG82" s="570"/>
      <c r="VMH82" s="570"/>
      <c r="VMI82" s="570"/>
      <c r="VMJ82" s="570"/>
      <c r="VMK82" s="570"/>
      <c r="VML82" s="570"/>
      <c r="VMM82" s="570"/>
      <c r="VMN82" s="570"/>
      <c r="VMO82" s="570"/>
      <c r="VMP82" s="570"/>
      <c r="VMQ82" s="570"/>
      <c r="VMR82" s="570"/>
      <c r="VMS82" s="570"/>
      <c r="VMT82" s="570"/>
      <c r="VMU82" s="570"/>
      <c r="VMV82" s="570"/>
      <c r="VMW82" s="570"/>
      <c r="VMX82" s="570"/>
      <c r="VMY82" s="570"/>
      <c r="VMZ82" s="570"/>
      <c r="VNA82" s="570"/>
      <c r="VNB82" s="570"/>
      <c r="VNC82" s="570"/>
      <c r="VND82" s="570"/>
      <c r="VNE82" s="570"/>
      <c r="VNF82" s="570"/>
      <c r="VNG82" s="570"/>
      <c r="VNH82" s="570"/>
      <c r="VNI82" s="570"/>
      <c r="VNJ82" s="570"/>
      <c r="VNK82" s="570"/>
      <c r="VNL82" s="570"/>
      <c r="VNM82" s="570"/>
      <c r="VNN82" s="570"/>
      <c r="VNO82" s="570"/>
      <c r="VNP82" s="570"/>
      <c r="VNQ82" s="570"/>
      <c r="VNR82" s="570"/>
      <c r="VNS82" s="570"/>
      <c r="VNT82" s="570"/>
      <c r="VNU82" s="570"/>
      <c r="VNV82" s="570"/>
      <c r="VNW82" s="570"/>
      <c r="VNX82" s="570"/>
      <c r="VNY82" s="570"/>
      <c r="VNZ82" s="570"/>
      <c r="VOA82" s="570"/>
      <c r="VOB82" s="570"/>
      <c r="VOC82" s="570"/>
      <c r="VOD82" s="570"/>
      <c r="VOE82" s="570"/>
      <c r="VOF82" s="570"/>
      <c r="VOG82" s="570"/>
      <c r="VOH82" s="570"/>
      <c r="VOI82" s="570"/>
      <c r="VOJ82" s="570"/>
      <c r="VOK82" s="570"/>
      <c r="VOL82" s="570"/>
      <c r="VOM82" s="570"/>
      <c r="VON82" s="570"/>
      <c r="VOO82" s="570"/>
      <c r="VOP82" s="570"/>
      <c r="VOQ82" s="570"/>
      <c r="VOR82" s="570"/>
      <c r="VOS82" s="570"/>
      <c r="VOT82" s="570"/>
      <c r="VOU82" s="570"/>
      <c r="VOV82" s="570"/>
      <c r="VOW82" s="570"/>
      <c r="VOX82" s="570"/>
      <c r="VOY82" s="570"/>
      <c r="VOZ82" s="570"/>
      <c r="VPA82" s="570"/>
      <c r="VPB82" s="570"/>
      <c r="VPC82" s="570"/>
      <c r="VPD82" s="570"/>
      <c r="VPE82" s="570"/>
      <c r="VPF82" s="570"/>
      <c r="VPG82" s="570"/>
      <c r="VPH82" s="570"/>
      <c r="VPI82" s="570"/>
      <c r="VPJ82" s="570"/>
      <c r="VPK82" s="570"/>
      <c r="VPL82" s="570"/>
      <c r="VPM82" s="570"/>
      <c r="VPN82" s="570"/>
      <c r="VPO82" s="570"/>
      <c r="VPP82" s="570"/>
      <c r="VPQ82" s="570"/>
      <c r="VPR82" s="570"/>
      <c r="VPS82" s="570"/>
      <c r="VPT82" s="570"/>
      <c r="VPU82" s="570"/>
      <c r="VPV82" s="570"/>
      <c r="VPW82" s="570"/>
      <c r="VPX82" s="570"/>
      <c r="VPY82" s="570"/>
      <c r="VPZ82" s="570"/>
      <c r="VQA82" s="570"/>
      <c r="VQB82" s="570"/>
      <c r="VQC82" s="570"/>
      <c r="VQD82" s="570"/>
      <c r="VQE82" s="570"/>
      <c r="VQF82" s="570"/>
      <c r="VQG82" s="570"/>
      <c r="VQH82" s="570"/>
      <c r="VQI82" s="570"/>
      <c r="VQJ82" s="570"/>
      <c r="VQK82" s="570"/>
      <c r="VQL82" s="570"/>
      <c r="VQM82" s="570"/>
      <c r="VQN82" s="570"/>
      <c r="VQO82" s="570"/>
      <c r="VQP82" s="570"/>
      <c r="VQQ82" s="570"/>
      <c r="VQR82" s="570"/>
      <c r="VQS82" s="570"/>
      <c r="VQT82" s="570"/>
      <c r="VQU82" s="570"/>
      <c r="VQV82" s="570"/>
      <c r="VQW82" s="570"/>
      <c r="VQX82" s="570"/>
      <c r="VQY82" s="570"/>
      <c r="VQZ82" s="570"/>
      <c r="VRA82" s="570"/>
      <c r="VRB82" s="570"/>
      <c r="VRC82" s="570"/>
      <c r="VRD82" s="570"/>
      <c r="VRE82" s="570"/>
      <c r="VRF82" s="570"/>
      <c r="VRG82" s="570"/>
      <c r="VRH82" s="570"/>
      <c r="VRI82" s="570"/>
      <c r="VRJ82" s="570"/>
      <c r="VRK82" s="570"/>
      <c r="VRL82" s="570"/>
      <c r="VRM82" s="570"/>
      <c r="VRN82" s="570"/>
      <c r="VRO82" s="570"/>
      <c r="VRP82" s="570"/>
      <c r="VRQ82" s="570"/>
      <c r="VRR82" s="570"/>
      <c r="VRS82" s="570"/>
      <c r="VRT82" s="570"/>
      <c r="VRU82" s="570"/>
      <c r="VRV82" s="570"/>
      <c r="VRW82" s="570"/>
      <c r="VRX82" s="570"/>
      <c r="VRY82" s="570"/>
      <c r="VRZ82" s="570"/>
      <c r="VSA82" s="570"/>
      <c r="VSB82" s="570"/>
      <c r="VSC82" s="570"/>
      <c r="VSD82" s="570"/>
      <c r="VSE82" s="570"/>
      <c r="VSF82" s="570"/>
      <c r="VSG82" s="570"/>
      <c r="VSH82" s="570"/>
      <c r="VSI82" s="570"/>
      <c r="VSJ82" s="570"/>
      <c r="VSK82" s="570"/>
      <c r="VSL82" s="570"/>
      <c r="VSM82" s="570"/>
      <c r="VSN82" s="570"/>
      <c r="VSO82" s="570"/>
      <c r="VSP82" s="570"/>
      <c r="VSQ82" s="570"/>
      <c r="VSR82" s="570"/>
      <c r="VSS82" s="570"/>
      <c r="VST82" s="570"/>
      <c r="VSU82" s="570"/>
      <c r="VSV82" s="570"/>
      <c r="VSW82" s="570"/>
      <c r="VSX82" s="570"/>
      <c r="VSY82" s="570"/>
      <c r="VSZ82" s="570"/>
      <c r="VTA82" s="570"/>
      <c r="VTB82" s="570"/>
      <c r="VTC82" s="570"/>
      <c r="VTD82" s="570"/>
      <c r="VTE82" s="570"/>
      <c r="VTF82" s="570"/>
      <c r="VTG82" s="570"/>
      <c r="VTH82" s="570"/>
      <c r="VTI82" s="570"/>
      <c r="VTJ82" s="570"/>
      <c r="VTK82" s="570"/>
      <c r="VTL82" s="570"/>
      <c r="VTM82" s="570"/>
      <c r="VTN82" s="570"/>
      <c r="VTO82" s="570"/>
      <c r="VTP82" s="570"/>
      <c r="VTQ82" s="570"/>
      <c r="VTR82" s="570"/>
      <c r="VTS82" s="570"/>
      <c r="VTT82" s="570"/>
      <c r="VTU82" s="570"/>
      <c r="VTV82" s="570"/>
      <c r="VTW82" s="570"/>
      <c r="VTX82" s="570"/>
      <c r="VTY82" s="570"/>
      <c r="VTZ82" s="570"/>
      <c r="VUA82" s="570"/>
      <c r="VUB82" s="570"/>
      <c r="VUC82" s="570"/>
      <c r="VUD82" s="570"/>
      <c r="VUE82" s="570"/>
      <c r="VUF82" s="570"/>
      <c r="VUG82" s="570"/>
      <c r="VUH82" s="570"/>
      <c r="VUI82" s="570"/>
      <c r="VUJ82" s="570"/>
      <c r="VUK82" s="570"/>
      <c r="VUL82" s="570"/>
      <c r="VUM82" s="570"/>
      <c r="VUN82" s="570"/>
      <c r="VUO82" s="570"/>
      <c r="VUP82" s="570"/>
      <c r="VUQ82" s="570"/>
      <c r="VUR82" s="570"/>
      <c r="VUS82" s="570"/>
      <c r="VUT82" s="570"/>
      <c r="VUU82" s="570"/>
      <c r="VUV82" s="570"/>
      <c r="VUW82" s="570"/>
      <c r="VUX82" s="570"/>
      <c r="VUY82" s="570"/>
      <c r="VUZ82" s="570"/>
      <c r="VVA82" s="570"/>
      <c r="VVB82" s="570"/>
      <c r="VVC82" s="570"/>
      <c r="VVD82" s="570"/>
      <c r="VVE82" s="570"/>
      <c r="VVF82" s="570"/>
      <c r="VVG82" s="570"/>
      <c r="VVH82" s="570"/>
      <c r="VVI82" s="570"/>
      <c r="VVJ82" s="570"/>
      <c r="VVK82" s="570"/>
      <c r="VVL82" s="570"/>
      <c r="VVM82" s="570"/>
      <c r="VVN82" s="570"/>
      <c r="VVO82" s="570"/>
      <c r="VVP82" s="570"/>
      <c r="VVQ82" s="570"/>
      <c r="VVR82" s="570"/>
      <c r="VVS82" s="570"/>
      <c r="VVT82" s="570"/>
      <c r="VVU82" s="570"/>
      <c r="VVV82" s="570"/>
      <c r="VVW82" s="570"/>
      <c r="VVX82" s="570"/>
      <c r="VVY82" s="570"/>
      <c r="VVZ82" s="570"/>
      <c r="VWA82" s="570"/>
      <c r="VWB82" s="570"/>
      <c r="VWC82" s="570"/>
      <c r="VWD82" s="570"/>
      <c r="VWE82" s="570"/>
      <c r="VWF82" s="570"/>
      <c r="VWG82" s="570"/>
      <c r="VWH82" s="570"/>
      <c r="VWI82" s="570"/>
      <c r="VWJ82" s="570"/>
      <c r="VWK82" s="570"/>
      <c r="VWL82" s="570"/>
      <c r="VWM82" s="570"/>
      <c r="VWN82" s="570"/>
      <c r="VWO82" s="570"/>
      <c r="VWP82" s="570"/>
      <c r="VWQ82" s="570"/>
      <c r="VWR82" s="570"/>
      <c r="VWS82" s="570"/>
      <c r="VWT82" s="570"/>
      <c r="VWU82" s="570"/>
      <c r="VWV82" s="570"/>
      <c r="VWW82" s="570"/>
      <c r="VWX82" s="570"/>
      <c r="VWY82" s="570"/>
      <c r="VWZ82" s="570"/>
      <c r="VXA82" s="570"/>
      <c r="VXB82" s="570"/>
      <c r="VXC82" s="570"/>
      <c r="VXD82" s="570"/>
      <c r="VXE82" s="570"/>
      <c r="VXF82" s="570"/>
      <c r="VXG82" s="570"/>
      <c r="VXH82" s="570"/>
      <c r="VXI82" s="570"/>
      <c r="VXJ82" s="570"/>
      <c r="VXK82" s="570"/>
      <c r="VXL82" s="570"/>
      <c r="VXM82" s="570"/>
      <c r="VXN82" s="570"/>
      <c r="VXO82" s="570"/>
      <c r="VXP82" s="570"/>
      <c r="VXQ82" s="570"/>
      <c r="VXR82" s="570"/>
      <c r="VXS82" s="570"/>
      <c r="VXT82" s="570"/>
      <c r="VXU82" s="570"/>
      <c r="VXV82" s="570"/>
      <c r="VXW82" s="570"/>
      <c r="VXX82" s="570"/>
      <c r="VXY82" s="570"/>
      <c r="VXZ82" s="570"/>
      <c r="VYA82" s="570"/>
      <c r="VYB82" s="570"/>
      <c r="VYC82" s="570"/>
      <c r="VYD82" s="570"/>
      <c r="VYE82" s="570"/>
      <c r="VYF82" s="570"/>
      <c r="VYG82" s="570"/>
      <c r="VYH82" s="570"/>
      <c r="VYI82" s="570"/>
      <c r="VYJ82" s="570"/>
      <c r="VYK82" s="570"/>
      <c r="VYL82" s="570"/>
      <c r="VYM82" s="570"/>
      <c r="VYN82" s="570"/>
      <c r="VYO82" s="570"/>
      <c r="VYP82" s="570"/>
      <c r="VYQ82" s="570"/>
      <c r="VYR82" s="570"/>
      <c r="VYS82" s="570"/>
      <c r="VYT82" s="570"/>
      <c r="VYU82" s="570"/>
      <c r="VYV82" s="570"/>
      <c r="VYW82" s="570"/>
      <c r="VYX82" s="570"/>
      <c r="VYY82" s="570"/>
      <c r="VYZ82" s="570"/>
      <c r="VZA82" s="570"/>
      <c r="VZB82" s="570"/>
      <c r="VZC82" s="570"/>
      <c r="VZD82" s="570"/>
      <c r="VZE82" s="570"/>
      <c r="VZF82" s="570"/>
      <c r="VZG82" s="570"/>
      <c r="VZH82" s="570"/>
      <c r="VZI82" s="570"/>
      <c r="VZJ82" s="570"/>
      <c r="VZK82" s="570"/>
      <c r="VZL82" s="570"/>
      <c r="VZM82" s="570"/>
      <c r="VZN82" s="570"/>
      <c r="VZO82" s="570"/>
      <c r="VZP82" s="570"/>
      <c r="VZQ82" s="570"/>
      <c r="VZR82" s="570"/>
      <c r="VZS82" s="570"/>
      <c r="VZT82" s="570"/>
      <c r="VZU82" s="570"/>
      <c r="VZV82" s="570"/>
      <c r="VZW82" s="570"/>
      <c r="VZX82" s="570"/>
      <c r="VZY82" s="570"/>
      <c r="VZZ82" s="570"/>
      <c r="WAA82" s="570"/>
      <c r="WAB82" s="570"/>
      <c r="WAC82" s="570"/>
      <c r="WAD82" s="570"/>
      <c r="WAE82" s="570"/>
      <c r="WAF82" s="570"/>
      <c r="WAG82" s="570"/>
      <c r="WAH82" s="570"/>
      <c r="WAI82" s="570"/>
      <c r="WAJ82" s="570"/>
      <c r="WAK82" s="570"/>
      <c r="WAL82" s="570"/>
      <c r="WAM82" s="570"/>
      <c r="WAN82" s="570"/>
      <c r="WAO82" s="570"/>
      <c r="WAP82" s="570"/>
      <c r="WAQ82" s="570"/>
      <c r="WAR82" s="570"/>
      <c r="WAS82" s="570"/>
      <c r="WAT82" s="570"/>
      <c r="WAU82" s="570"/>
      <c r="WAV82" s="570"/>
      <c r="WAW82" s="570"/>
      <c r="WAX82" s="570"/>
      <c r="WAY82" s="570"/>
      <c r="WAZ82" s="570"/>
      <c r="WBA82" s="570"/>
      <c r="WBB82" s="570"/>
      <c r="WBC82" s="570"/>
      <c r="WBD82" s="570"/>
      <c r="WBE82" s="570"/>
      <c r="WBF82" s="570"/>
      <c r="WBG82" s="570"/>
      <c r="WBH82" s="570"/>
      <c r="WBI82" s="570"/>
      <c r="WBJ82" s="570"/>
      <c r="WBK82" s="570"/>
      <c r="WBL82" s="570"/>
      <c r="WBM82" s="570"/>
      <c r="WBN82" s="570"/>
      <c r="WBO82" s="570"/>
      <c r="WBP82" s="570"/>
      <c r="WBQ82" s="570"/>
      <c r="WBR82" s="570"/>
      <c r="WBS82" s="570"/>
      <c r="WBT82" s="570"/>
      <c r="WBU82" s="570"/>
      <c r="WBV82" s="570"/>
      <c r="WBW82" s="570"/>
      <c r="WBX82" s="570"/>
      <c r="WBY82" s="570"/>
      <c r="WBZ82" s="570"/>
      <c r="WCA82" s="570"/>
      <c r="WCB82" s="570"/>
      <c r="WCC82" s="570"/>
      <c r="WCD82" s="570"/>
      <c r="WCE82" s="570"/>
      <c r="WCF82" s="570"/>
      <c r="WCG82" s="570"/>
      <c r="WCH82" s="570"/>
      <c r="WCI82" s="570"/>
      <c r="WCJ82" s="570"/>
      <c r="WCK82" s="570"/>
      <c r="WCL82" s="570"/>
      <c r="WCM82" s="570"/>
      <c r="WCN82" s="570"/>
      <c r="WCO82" s="570"/>
      <c r="WCP82" s="570"/>
      <c r="WCQ82" s="570"/>
      <c r="WCR82" s="570"/>
      <c r="WCS82" s="570"/>
      <c r="WCT82" s="570"/>
      <c r="WCU82" s="570"/>
      <c r="WCV82" s="570"/>
      <c r="WCW82" s="570"/>
      <c r="WCX82" s="570"/>
      <c r="WCY82" s="570"/>
      <c r="WCZ82" s="570"/>
      <c r="WDA82" s="570"/>
      <c r="WDB82" s="570"/>
      <c r="WDC82" s="570"/>
      <c r="WDD82" s="570"/>
      <c r="WDE82" s="570"/>
      <c r="WDF82" s="570"/>
      <c r="WDG82" s="570"/>
      <c r="WDH82" s="570"/>
      <c r="WDI82" s="570"/>
      <c r="WDJ82" s="570"/>
      <c r="WDK82" s="570"/>
      <c r="WDL82" s="570"/>
      <c r="WDM82" s="570"/>
      <c r="WDN82" s="570"/>
      <c r="WDO82" s="570"/>
      <c r="WDP82" s="570"/>
      <c r="WDQ82" s="570"/>
      <c r="WDR82" s="570"/>
      <c r="WDS82" s="570"/>
      <c r="WDT82" s="570"/>
      <c r="WDU82" s="570"/>
      <c r="WDV82" s="570"/>
      <c r="WDW82" s="570"/>
      <c r="WDX82" s="570"/>
      <c r="WDY82" s="570"/>
      <c r="WDZ82" s="570"/>
      <c r="WEA82" s="570"/>
      <c r="WEB82" s="570"/>
      <c r="WEC82" s="570"/>
      <c r="WED82" s="570"/>
      <c r="WEE82" s="570"/>
      <c r="WEF82" s="570"/>
      <c r="WEG82" s="570"/>
      <c r="WEH82" s="570"/>
      <c r="WEI82" s="570"/>
      <c r="WEJ82" s="570"/>
      <c r="WEK82" s="570"/>
      <c r="WEL82" s="570"/>
      <c r="WEM82" s="570"/>
      <c r="WEN82" s="570"/>
      <c r="WEO82" s="570"/>
      <c r="WEP82" s="570"/>
      <c r="WEQ82" s="570"/>
      <c r="WER82" s="570"/>
      <c r="WES82" s="570"/>
      <c r="WET82" s="570"/>
      <c r="WEU82" s="570"/>
      <c r="WEV82" s="570"/>
      <c r="WEW82" s="570"/>
      <c r="WEX82" s="570"/>
      <c r="WEY82" s="570"/>
      <c r="WEZ82" s="570"/>
      <c r="WFA82" s="570"/>
      <c r="WFB82" s="570"/>
      <c r="WFC82" s="570"/>
      <c r="WFD82" s="570"/>
      <c r="WFE82" s="570"/>
      <c r="WFF82" s="570"/>
      <c r="WFG82" s="570"/>
      <c r="WFH82" s="570"/>
      <c r="WFI82" s="570"/>
      <c r="WFJ82" s="570"/>
      <c r="WFK82" s="570"/>
      <c r="WFL82" s="570"/>
      <c r="WFM82" s="570"/>
      <c r="WFN82" s="570"/>
      <c r="WFO82" s="570"/>
      <c r="WFP82" s="570"/>
      <c r="WFQ82" s="570"/>
      <c r="WFR82" s="570"/>
      <c r="WFS82" s="570"/>
      <c r="WFT82" s="570"/>
      <c r="WFU82" s="570"/>
      <c r="WFV82" s="570"/>
      <c r="WFW82" s="570"/>
      <c r="WFX82" s="570"/>
      <c r="WFY82" s="570"/>
      <c r="WFZ82" s="570"/>
      <c r="WGA82" s="570"/>
      <c r="WGB82" s="570"/>
      <c r="WGC82" s="570"/>
      <c r="WGD82" s="570"/>
      <c r="WGE82" s="570"/>
      <c r="WGF82" s="570"/>
      <c r="WGG82" s="570"/>
      <c r="WGH82" s="570"/>
      <c r="WGI82" s="570"/>
      <c r="WGJ82" s="570"/>
      <c r="WGK82" s="570"/>
      <c r="WGL82" s="570"/>
      <c r="WGM82" s="570"/>
      <c r="WGN82" s="570"/>
      <c r="WGO82" s="570"/>
      <c r="WGP82" s="570"/>
      <c r="WGQ82" s="570"/>
      <c r="WGR82" s="570"/>
      <c r="WGS82" s="570"/>
      <c r="WGT82" s="570"/>
      <c r="WGU82" s="570"/>
      <c r="WGV82" s="570"/>
      <c r="WGW82" s="570"/>
      <c r="WGX82" s="570"/>
      <c r="WGY82" s="570"/>
      <c r="WGZ82" s="570"/>
      <c r="WHA82" s="570"/>
      <c r="WHB82" s="570"/>
      <c r="WHC82" s="570"/>
      <c r="WHD82" s="570"/>
      <c r="WHE82" s="570"/>
      <c r="WHF82" s="570"/>
      <c r="WHG82" s="570"/>
      <c r="WHH82" s="570"/>
      <c r="WHI82" s="570"/>
      <c r="WHJ82" s="570"/>
      <c r="WHK82" s="570"/>
      <c r="WHL82" s="570"/>
      <c r="WHM82" s="570"/>
      <c r="WHN82" s="570"/>
      <c r="WHO82" s="570"/>
      <c r="WHP82" s="570"/>
      <c r="WHQ82" s="570"/>
      <c r="WHR82" s="570"/>
      <c r="WHS82" s="570"/>
      <c r="WHT82" s="570"/>
      <c r="WHU82" s="570"/>
      <c r="WHV82" s="570"/>
      <c r="WHW82" s="570"/>
      <c r="WHX82" s="570"/>
      <c r="WHY82" s="570"/>
      <c r="WHZ82" s="570"/>
      <c r="WIA82" s="570"/>
      <c r="WIB82" s="570"/>
      <c r="WIC82" s="570"/>
      <c r="WID82" s="570"/>
      <c r="WIE82" s="570"/>
      <c r="WIF82" s="570"/>
      <c r="WIG82" s="570"/>
      <c r="WIH82" s="570"/>
      <c r="WII82" s="570"/>
      <c r="WIJ82" s="570"/>
      <c r="WIK82" s="570"/>
      <c r="WIL82" s="570"/>
      <c r="WIM82" s="570"/>
      <c r="WIN82" s="570"/>
      <c r="WIO82" s="570"/>
      <c r="WIP82" s="570"/>
      <c r="WIQ82" s="570"/>
      <c r="WIR82" s="570"/>
      <c r="WIS82" s="570"/>
      <c r="WIT82" s="570"/>
      <c r="WIU82" s="570"/>
      <c r="WIV82" s="570"/>
      <c r="WIW82" s="570"/>
      <c r="WIX82" s="570"/>
      <c r="WIY82" s="570"/>
      <c r="WIZ82" s="570"/>
      <c r="WJA82" s="570"/>
      <c r="WJB82" s="570"/>
      <c r="WJC82" s="570"/>
      <c r="WJD82" s="570"/>
      <c r="WJE82" s="570"/>
      <c r="WJF82" s="570"/>
      <c r="WJG82" s="570"/>
      <c r="WJH82" s="570"/>
      <c r="WJI82" s="570"/>
      <c r="WJJ82" s="570"/>
      <c r="WJK82" s="570"/>
      <c r="WJL82" s="570"/>
      <c r="WJM82" s="570"/>
      <c r="WJN82" s="570"/>
      <c r="WJO82" s="570"/>
      <c r="WJP82" s="570"/>
      <c r="WJQ82" s="570"/>
      <c r="WJR82" s="570"/>
      <c r="WJS82" s="570"/>
      <c r="WJT82" s="570"/>
      <c r="WJU82" s="570"/>
      <c r="WJV82" s="570"/>
      <c r="WJW82" s="570"/>
      <c r="WJX82" s="570"/>
      <c r="WJY82" s="570"/>
      <c r="WJZ82" s="570"/>
      <c r="WKA82" s="570"/>
      <c r="WKB82" s="570"/>
      <c r="WKC82" s="570"/>
      <c r="WKD82" s="570"/>
      <c r="WKE82" s="570"/>
      <c r="WKF82" s="570"/>
      <c r="WKG82" s="570"/>
      <c r="WKH82" s="570"/>
      <c r="WKI82" s="570"/>
      <c r="WKJ82" s="570"/>
      <c r="WKK82" s="570"/>
      <c r="WKL82" s="570"/>
      <c r="WKM82" s="570"/>
      <c r="WKN82" s="570"/>
      <c r="WKO82" s="570"/>
      <c r="WKP82" s="570"/>
      <c r="WKQ82" s="570"/>
      <c r="WKR82" s="570"/>
      <c r="WKS82" s="570"/>
      <c r="WKT82" s="570"/>
      <c r="WKU82" s="570"/>
      <c r="WKV82" s="570"/>
      <c r="WKW82" s="570"/>
      <c r="WKX82" s="570"/>
      <c r="WKY82" s="570"/>
      <c r="WKZ82" s="570"/>
      <c r="WLA82" s="570"/>
      <c r="WLB82" s="570"/>
      <c r="WLC82" s="570"/>
      <c r="WLD82" s="570"/>
      <c r="WLE82" s="570"/>
      <c r="WLF82" s="570"/>
      <c r="WLG82" s="570"/>
      <c r="WLH82" s="570"/>
      <c r="WLI82" s="570"/>
      <c r="WLJ82" s="570"/>
      <c r="WLK82" s="570"/>
      <c r="WLL82" s="570"/>
      <c r="WLM82" s="570"/>
      <c r="WLN82" s="570"/>
      <c r="WLO82" s="570"/>
      <c r="WLP82" s="570"/>
      <c r="WLQ82" s="570"/>
      <c r="WLR82" s="570"/>
      <c r="WLS82" s="570"/>
      <c r="WLT82" s="570"/>
      <c r="WLU82" s="570"/>
      <c r="WLV82" s="570"/>
      <c r="WLW82" s="570"/>
      <c r="WLX82" s="570"/>
      <c r="WLY82" s="570"/>
      <c r="WLZ82" s="570"/>
      <c r="WMA82" s="570"/>
      <c r="WMB82" s="570"/>
      <c r="WMC82" s="570"/>
      <c r="WMD82" s="570"/>
      <c r="WME82" s="570"/>
      <c r="WMF82" s="570"/>
      <c r="WMG82" s="570"/>
      <c r="WMH82" s="570"/>
      <c r="WMI82" s="570"/>
      <c r="WMJ82" s="570"/>
      <c r="WMK82" s="570"/>
      <c r="WML82" s="570"/>
      <c r="WMM82" s="570"/>
      <c r="WMN82" s="570"/>
      <c r="WMO82" s="570"/>
      <c r="WMP82" s="570"/>
      <c r="WMQ82" s="570"/>
      <c r="WMR82" s="570"/>
      <c r="WMS82" s="570"/>
      <c r="WMT82" s="570"/>
      <c r="WMU82" s="570"/>
      <c r="WMV82" s="570"/>
      <c r="WMW82" s="570"/>
      <c r="WMX82" s="570"/>
      <c r="WMY82" s="570"/>
      <c r="WMZ82" s="570"/>
      <c r="WNA82" s="570"/>
      <c r="WNB82" s="570"/>
      <c r="WNC82" s="570"/>
      <c r="WND82" s="570"/>
      <c r="WNE82" s="570"/>
      <c r="WNF82" s="570"/>
      <c r="WNG82" s="570"/>
      <c r="WNH82" s="570"/>
      <c r="WNI82" s="570"/>
      <c r="WNJ82" s="570"/>
      <c r="WNK82" s="570"/>
      <c r="WNL82" s="570"/>
      <c r="WNM82" s="570"/>
      <c r="WNN82" s="570"/>
      <c r="WNO82" s="570"/>
      <c r="WNP82" s="570"/>
      <c r="WNQ82" s="570"/>
      <c r="WNR82" s="570"/>
      <c r="WNS82" s="570"/>
      <c r="WNT82" s="570"/>
      <c r="WNU82" s="570"/>
      <c r="WNV82" s="570"/>
      <c r="WNW82" s="570"/>
      <c r="WNX82" s="570"/>
      <c r="WNY82" s="570"/>
      <c r="WNZ82" s="570"/>
      <c r="WOA82" s="570"/>
      <c r="WOB82" s="570"/>
      <c r="WOC82" s="570"/>
      <c r="WOD82" s="570"/>
      <c r="WOE82" s="570"/>
      <c r="WOF82" s="570"/>
      <c r="WOG82" s="570"/>
      <c r="WOH82" s="570"/>
      <c r="WOI82" s="570"/>
      <c r="WOJ82" s="570"/>
      <c r="WOK82" s="570"/>
      <c r="WOL82" s="570"/>
      <c r="WOM82" s="570"/>
      <c r="WON82" s="570"/>
      <c r="WOO82" s="570"/>
      <c r="WOP82" s="570"/>
      <c r="WOQ82" s="570"/>
      <c r="WOR82" s="570"/>
      <c r="WOS82" s="570"/>
      <c r="WOT82" s="570"/>
      <c r="WOU82" s="570"/>
      <c r="WOV82" s="570"/>
      <c r="WOW82" s="570"/>
      <c r="WOX82" s="570"/>
      <c r="WOY82" s="570"/>
      <c r="WOZ82" s="570"/>
      <c r="WPA82" s="570"/>
      <c r="WPB82" s="570"/>
      <c r="WPC82" s="570"/>
      <c r="WPD82" s="570"/>
      <c r="WPE82" s="570"/>
      <c r="WPF82" s="570"/>
      <c r="WPG82" s="570"/>
      <c r="WPH82" s="570"/>
      <c r="WPI82" s="570"/>
      <c r="WPJ82" s="570"/>
      <c r="WPK82" s="570"/>
      <c r="WPL82" s="570"/>
      <c r="WPM82" s="570"/>
      <c r="WPN82" s="570"/>
      <c r="WPO82" s="570"/>
      <c r="WPP82" s="570"/>
      <c r="WPQ82" s="570"/>
      <c r="WPR82" s="570"/>
      <c r="WPS82" s="570"/>
      <c r="WPT82" s="570"/>
      <c r="WPU82" s="570"/>
      <c r="WPV82" s="570"/>
      <c r="WPW82" s="570"/>
      <c r="WPX82" s="570"/>
      <c r="WPY82" s="570"/>
      <c r="WPZ82" s="570"/>
      <c r="WQA82" s="570"/>
      <c r="WQB82" s="570"/>
      <c r="WQC82" s="570"/>
      <c r="WQD82" s="570"/>
      <c r="WQE82" s="570"/>
      <c r="WQF82" s="570"/>
      <c r="WQG82" s="570"/>
      <c r="WQH82" s="570"/>
      <c r="WQI82" s="570"/>
      <c r="WQJ82" s="570"/>
      <c r="WQK82" s="570"/>
      <c r="WQL82" s="570"/>
      <c r="WQM82" s="570"/>
      <c r="WQN82" s="570"/>
      <c r="WQO82" s="570"/>
      <c r="WQP82" s="570"/>
      <c r="WQQ82" s="570"/>
      <c r="WQR82" s="570"/>
      <c r="WQS82" s="570"/>
      <c r="WQT82" s="570"/>
      <c r="WQU82" s="570"/>
      <c r="WQV82" s="570"/>
      <c r="WQW82" s="570"/>
      <c r="WQX82" s="570"/>
      <c r="WQY82" s="570"/>
      <c r="WQZ82" s="570"/>
      <c r="WRA82" s="570"/>
      <c r="WRB82" s="570"/>
      <c r="WRC82" s="570"/>
      <c r="WRD82" s="570"/>
      <c r="WRE82" s="570"/>
      <c r="WRF82" s="570"/>
      <c r="WRG82" s="570"/>
      <c r="WRH82" s="570"/>
      <c r="WRI82" s="570"/>
      <c r="WRJ82" s="570"/>
      <c r="WRK82" s="570"/>
      <c r="WRL82" s="570"/>
      <c r="WRM82" s="570"/>
      <c r="WRN82" s="570"/>
      <c r="WRO82" s="570"/>
      <c r="WRP82" s="570"/>
      <c r="WRQ82" s="570"/>
      <c r="WRR82" s="570"/>
      <c r="WRS82" s="570"/>
      <c r="WRT82" s="570"/>
      <c r="WRU82" s="570"/>
      <c r="WRV82" s="570"/>
      <c r="WRW82" s="570"/>
      <c r="WRX82" s="570"/>
      <c r="WRY82" s="570"/>
      <c r="WRZ82" s="570"/>
      <c r="WSA82" s="570"/>
      <c r="WSB82" s="570"/>
      <c r="WSC82" s="570"/>
      <c r="WSD82" s="570"/>
      <c r="WSE82" s="570"/>
      <c r="WSF82" s="570"/>
      <c r="WSG82" s="570"/>
      <c r="WSH82" s="570"/>
      <c r="WSI82" s="570"/>
      <c r="WSJ82" s="570"/>
      <c r="WSK82" s="570"/>
      <c r="WSL82" s="570"/>
      <c r="WSM82" s="570"/>
      <c r="WSN82" s="570"/>
      <c r="WSO82" s="570"/>
      <c r="WSP82" s="570"/>
      <c r="WSQ82" s="570"/>
      <c r="WSR82" s="570"/>
      <c r="WSS82" s="570"/>
      <c r="WST82" s="570"/>
      <c r="WSU82" s="570"/>
      <c r="WSV82" s="570"/>
      <c r="WSW82" s="570"/>
      <c r="WSX82" s="570"/>
      <c r="WSY82" s="570"/>
      <c r="WSZ82" s="570"/>
      <c r="WTA82" s="570"/>
      <c r="WTB82" s="570"/>
      <c r="WTC82" s="570"/>
      <c r="WTD82" s="570"/>
      <c r="WTE82" s="570"/>
      <c r="WTF82" s="570"/>
      <c r="WTG82" s="570"/>
      <c r="WTH82" s="570"/>
      <c r="WTI82" s="570"/>
      <c r="WTJ82" s="570"/>
      <c r="WTK82" s="570"/>
      <c r="WTL82" s="570"/>
      <c r="WTM82" s="570"/>
      <c r="WTN82" s="570"/>
      <c r="WTO82" s="570"/>
      <c r="WTP82" s="570"/>
      <c r="WTQ82" s="570"/>
      <c r="WTR82" s="570"/>
      <c r="WTS82" s="570"/>
      <c r="WTT82" s="570"/>
      <c r="WTU82" s="570"/>
      <c r="WTV82" s="570"/>
      <c r="WTW82" s="570"/>
      <c r="WTX82" s="570"/>
      <c r="WTY82" s="570"/>
      <c r="WTZ82" s="570"/>
      <c r="WUA82" s="570"/>
      <c r="WUB82" s="570"/>
      <c r="WUC82" s="570"/>
      <c r="WUD82" s="570"/>
      <c r="WUE82" s="570"/>
      <c r="WUF82" s="570"/>
      <c r="WUG82" s="570"/>
      <c r="WUH82" s="570"/>
      <c r="WUI82" s="570"/>
      <c r="WUJ82" s="570"/>
      <c r="WUK82" s="570"/>
      <c r="WUL82" s="570"/>
      <c r="WUM82" s="570"/>
      <c r="WUN82" s="570"/>
      <c r="WUO82" s="570"/>
      <c r="WUP82" s="570"/>
      <c r="WUQ82" s="570"/>
      <c r="WUR82" s="570"/>
      <c r="WUS82" s="570"/>
      <c r="WUT82" s="570"/>
      <c r="WUU82" s="570"/>
      <c r="WUV82" s="570"/>
      <c r="WUW82" s="570"/>
      <c r="WUX82" s="570"/>
      <c r="WUY82" s="570"/>
      <c r="WUZ82" s="570"/>
      <c r="WVA82" s="570"/>
      <c r="WVB82" s="570"/>
      <c r="WVC82" s="570"/>
      <c r="WVD82" s="570"/>
      <c r="WVE82" s="570"/>
      <c r="WVF82" s="570"/>
      <c r="WVG82" s="570"/>
      <c r="WVH82" s="570"/>
      <c r="WVI82" s="570"/>
      <c r="WVJ82" s="570"/>
      <c r="WVK82" s="570"/>
      <c r="WVL82" s="570"/>
      <c r="WVM82" s="570"/>
      <c r="WVN82" s="570"/>
      <c r="WVO82" s="570"/>
    </row>
    <row r="83" spans="1:16135" s="516" customFormat="1" x14ac:dyDescent="0.25">
      <c r="A83" s="597"/>
      <c r="B83" s="570"/>
      <c r="C83" s="570"/>
      <c r="D83" s="570"/>
      <c r="E83" s="570"/>
    </row>
    <row r="84" spans="1:16135" s="516" customFormat="1" x14ac:dyDescent="0.25">
      <c r="A84" s="570"/>
      <c r="B84" s="570"/>
      <c r="C84" s="570"/>
      <c r="D84" s="570"/>
      <c r="E84" s="570"/>
      <c r="G84" s="6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9683-01D1-48EE-8AAF-CAA16D414828}">
  <dimension ref="A1:BR200"/>
  <sheetViews>
    <sheetView zoomScale="140" zoomScaleNormal="140" workbookViewId="0"/>
  </sheetViews>
  <sheetFormatPr defaultRowHeight="15" x14ac:dyDescent="0.25"/>
  <cols>
    <col min="1" max="1" width="4.85546875" style="570" customWidth="1"/>
    <col min="2" max="2" width="33.42578125" style="570" customWidth="1"/>
    <col min="3" max="3" width="8.5703125" style="570" customWidth="1"/>
    <col min="4" max="4" width="9.42578125" style="570" customWidth="1"/>
    <col min="5" max="5" width="8.140625" style="570" customWidth="1"/>
    <col min="6" max="6" width="13" style="516" customWidth="1"/>
    <col min="7" max="7" width="12.85546875" style="516" customWidth="1"/>
    <col min="8" max="70" width="9.140625" style="516"/>
    <col min="71" max="247" width="9.140625" style="570"/>
    <col min="248" max="248" width="5.28515625" style="570" customWidth="1"/>
    <col min="249" max="249" width="8" style="570" customWidth="1"/>
    <col min="250" max="250" width="5.85546875" style="570" customWidth="1"/>
    <col min="251" max="251" width="9.42578125" style="570" customWidth="1"/>
    <col min="252" max="252" width="11.28515625" style="570" customWidth="1"/>
    <col min="253" max="253" width="11" style="570" customWidth="1"/>
    <col min="254" max="254" width="13.140625" style="570" customWidth="1"/>
    <col min="255" max="255" width="11.7109375" style="570" customWidth="1"/>
    <col min="256" max="256" width="11.140625" style="570" customWidth="1"/>
    <col min="257" max="257" width="11.7109375" style="570" customWidth="1"/>
    <col min="258" max="503" width="9.140625" style="570"/>
    <col min="504" max="504" width="5.28515625" style="570" customWidth="1"/>
    <col min="505" max="505" width="8" style="570" customWidth="1"/>
    <col min="506" max="506" width="5.85546875" style="570" customWidth="1"/>
    <col min="507" max="507" width="9.42578125" style="570" customWidth="1"/>
    <col min="508" max="508" width="11.28515625" style="570" customWidth="1"/>
    <col min="509" max="509" width="11" style="570" customWidth="1"/>
    <col min="510" max="510" width="13.140625" style="570" customWidth="1"/>
    <col min="511" max="511" width="11.7109375" style="570" customWidth="1"/>
    <col min="512" max="512" width="11.140625" style="570" customWidth="1"/>
    <col min="513" max="513" width="11.7109375" style="570" customWidth="1"/>
    <col min="514" max="759" width="9.140625" style="570"/>
    <col min="760" max="760" width="5.28515625" style="570" customWidth="1"/>
    <col min="761" max="761" width="8" style="570" customWidth="1"/>
    <col min="762" max="762" width="5.85546875" style="570" customWidth="1"/>
    <col min="763" max="763" width="9.42578125" style="570" customWidth="1"/>
    <col min="764" max="764" width="11.28515625" style="570" customWidth="1"/>
    <col min="765" max="765" width="11" style="570" customWidth="1"/>
    <col min="766" max="766" width="13.140625" style="570" customWidth="1"/>
    <col min="767" max="767" width="11.7109375" style="570" customWidth="1"/>
    <col min="768" max="768" width="11.140625" style="570" customWidth="1"/>
    <col min="769" max="769" width="11.7109375" style="570" customWidth="1"/>
    <col min="770" max="1015" width="9.140625" style="570"/>
    <col min="1016" max="1016" width="5.28515625" style="570" customWidth="1"/>
    <col min="1017" max="1017" width="8" style="570" customWidth="1"/>
    <col min="1018" max="1018" width="5.85546875" style="570" customWidth="1"/>
    <col min="1019" max="1019" width="9.42578125" style="570" customWidth="1"/>
    <col min="1020" max="1020" width="11.28515625" style="570" customWidth="1"/>
    <col min="1021" max="1021" width="11" style="570" customWidth="1"/>
    <col min="1022" max="1022" width="13.140625" style="570" customWidth="1"/>
    <col min="1023" max="1023" width="11.7109375" style="570" customWidth="1"/>
    <col min="1024" max="1024" width="11.140625" style="570" customWidth="1"/>
    <col min="1025" max="1025" width="11.7109375" style="570" customWidth="1"/>
    <col min="1026" max="1271" width="9.140625" style="570"/>
    <col min="1272" max="1272" width="5.28515625" style="570" customWidth="1"/>
    <col min="1273" max="1273" width="8" style="570" customWidth="1"/>
    <col min="1274" max="1274" width="5.85546875" style="570" customWidth="1"/>
    <col min="1275" max="1275" width="9.42578125" style="570" customWidth="1"/>
    <col min="1276" max="1276" width="11.28515625" style="570" customWidth="1"/>
    <col min="1277" max="1277" width="11" style="570" customWidth="1"/>
    <col min="1278" max="1278" width="13.140625" style="570" customWidth="1"/>
    <col min="1279" max="1279" width="11.7109375" style="570" customWidth="1"/>
    <col min="1280" max="1280" width="11.140625" style="570" customWidth="1"/>
    <col min="1281" max="1281" width="11.7109375" style="570" customWidth="1"/>
    <col min="1282" max="1527" width="9.140625" style="570"/>
    <col min="1528" max="1528" width="5.28515625" style="570" customWidth="1"/>
    <col min="1529" max="1529" width="8" style="570" customWidth="1"/>
    <col min="1530" max="1530" width="5.85546875" style="570" customWidth="1"/>
    <col min="1531" max="1531" width="9.42578125" style="570" customWidth="1"/>
    <col min="1532" max="1532" width="11.28515625" style="570" customWidth="1"/>
    <col min="1533" max="1533" width="11" style="570" customWidth="1"/>
    <col min="1534" max="1534" width="13.140625" style="570" customWidth="1"/>
    <col min="1535" max="1535" width="11.7109375" style="570" customWidth="1"/>
    <col min="1536" max="1536" width="11.140625" style="570" customWidth="1"/>
    <col min="1537" max="1537" width="11.7109375" style="570" customWidth="1"/>
    <col min="1538" max="1783" width="9.140625" style="570"/>
    <col min="1784" max="1784" width="5.28515625" style="570" customWidth="1"/>
    <col min="1785" max="1785" width="8" style="570" customWidth="1"/>
    <col min="1786" max="1786" width="5.85546875" style="570" customWidth="1"/>
    <col min="1787" max="1787" width="9.42578125" style="570" customWidth="1"/>
    <col min="1788" max="1788" width="11.28515625" style="570" customWidth="1"/>
    <col min="1789" max="1789" width="11" style="570" customWidth="1"/>
    <col min="1790" max="1790" width="13.140625" style="570" customWidth="1"/>
    <col min="1791" max="1791" width="11.7109375" style="570" customWidth="1"/>
    <col min="1792" max="1792" width="11.140625" style="570" customWidth="1"/>
    <col min="1793" max="1793" width="11.7109375" style="570" customWidth="1"/>
    <col min="1794" max="2039" width="9.140625" style="570"/>
    <col min="2040" max="2040" width="5.28515625" style="570" customWidth="1"/>
    <col min="2041" max="2041" width="8" style="570" customWidth="1"/>
    <col min="2042" max="2042" width="5.85546875" style="570" customWidth="1"/>
    <col min="2043" max="2043" width="9.42578125" style="570" customWidth="1"/>
    <col min="2044" max="2044" width="11.28515625" style="570" customWidth="1"/>
    <col min="2045" max="2045" width="11" style="570" customWidth="1"/>
    <col min="2046" max="2046" width="13.140625" style="570" customWidth="1"/>
    <col min="2047" max="2047" width="11.7109375" style="570" customWidth="1"/>
    <col min="2048" max="2048" width="11.140625" style="570" customWidth="1"/>
    <col min="2049" max="2049" width="11.7109375" style="570" customWidth="1"/>
    <col min="2050" max="2295" width="9.140625" style="570"/>
    <col min="2296" max="2296" width="5.28515625" style="570" customWidth="1"/>
    <col min="2297" max="2297" width="8" style="570" customWidth="1"/>
    <col min="2298" max="2298" width="5.85546875" style="570" customWidth="1"/>
    <col min="2299" max="2299" width="9.42578125" style="570" customWidth="1"/>
    <col min="2300" max="2300" width="11.28515625" style="570" customWidth="1"/>
    <col min="2301" max="2301" width="11" style="570" customWidth="1"/>
    <col min="2302" max="2302" width="13.140625" style="570" customWidth="1"/>
    <col min="2303" max="2303" width="11.7109375" style="570" customWidth="1"/>
    <col min="2304" max="2304" width="11.140625" style="570" customWidth="1"/>
    <col min="2305" max="2305" width="11.7109375" style="570" customWidth="1"/>
    <col min="2306" max="2551" width="9.140625" style="570"/>
    <col min="2552" max="2552" width="5.28515625" style="570" customWidth="1"/>
    <col min="2553" max="2553" width="8" style="570" customWidth="1"/>
    <col min="2554" max="2554" width="5.85546875" style="570" customWidth="1"/>
    <col min="2555" max="2555" width="9.42578125" style="570" customWidth="1"/>
    <col min="2556" max="2556" width="11.28515625" style="570" customWidth="1"/>
    <col min="2557" max="2557" width="11" style="570" customWidth="1"/>
    <col min="2558" max="2558" width="13.140625" style="570" customWidth="1"/>
    <col min="2559" max="2559" width="11.7109375" style="570" customWidth="1"/>
    <col min="2560" max="2560" width="11.140625" style="570" customWidth="1"/>
    <col min="2561" max="2561" width="11.7109375" style="570" customWidth="1"/>
    <col min="2562" max="2807" width="9.140625" style="570"/>
    <col min="2808" max="2808" width="5.28515625" style="570" customWidth="1"/>
    <col min="2809" max="2809" width="8" style="570" customWidth="1"/>
    <col min="2810" max="2810" width="5.85546875" style="570" customWidth="1"/>
    <col min="2811" max="2811" width="9.42578125" style="570" customWidth="1"/>
    <col min="2812" max="2812" width="11.28515625" style="570" customWidth="1"/>
    <col min="2813" max="2813" width="11" style="570" customWidth="1"/>
    <col min="2814" max="2814" width="13.140625" style="570" customWidth="1"/>
    <col min="2815" max="2815" width="11.7109375" style="570" customWidth="1"/>
    <col min="2816" max="2816" width="11.140625" style="570" customWidth="1"/>
    <col min="2817" max="2817" width="11.7109375" style="570" customWidth="1"/>
    <col min="2818" max="3063" width="9.140625" style="570"/>
    <col min="3064" max="3064" width="5.28515625" style="570" customWidth="1"/>
    <col min="3065" max="3065" width="8" style="570" customWidth="1"/>
    <col min="3066" max="3066" width="5.85546875" style="570" customWidth="1"/>
    <col min="3067" max="3067" width="9.42578125" style="570" customWidth="1"/>
    <col min="3068" max="3068" width="11.28515625" style="570" customWidth="1"/>
    <col min="3069" max="3069" width="11" style="570" customWidth="1"/>
    <col min="3070" max="3070" width="13.140625" style="570" customWidth="1"/>
    <col min="3071" max="3071" width="11.7109375" style="570" customWidth="1"/>
    <col min="3072" max="3072" width="11.140625" style="570" customWidth="1"/>
    <col min="3073" max="3073" width="11.7109375" style="570" customWidth="1"/>
    <col min="3074" max="3319" width="9.140625" style="570"/>
    <col min="3320" max="3320" width="5.28515625" style="570" customWidth="1"/>
    <col min="3321" max="3321" width="8" style="570" customWidth="1"/>
    <col min="3322" max="3322" width="5.85546875" style="570" customWidth="1"/>
    <col min="3323" max="3323" width="9.42578125" style="570" customWidth="1"/>
    <col min="3324" max="3324" width="11.28515625" style="570" customWidth="1"/>
    <col min="3325" max="3325" width="11" style="570" customWidth="1"/>
    <col min="3326" max="3326" width="13.140625" style="570" customWidth="1"/>
    <col min="3327" max="3327" width="11.7109375" style="570" customWidth="1"/>
    <col min="3328" max="3328" width="11.140625" style="570" customWidth="1"/>
    <col min="3329" max="3329" width="11.7109375" style="570" customWidth="1"/>
    <col min="3330" max="3575" width="9.140625" style="570"/>
    <col min="3576" max="3576" width="5.28515625" style="570" customWidth="1"/>
    <col min="3577" max="3577" width="8" style="570" customWidth="1"/>
    <col min="3578" max="3578" width="5.85546875" style="570" customWidth="1"/>
    <col min="3579" max="3579" width="9.42578125" style="570" customWidth="1"/>
    <col min="3580" max="3580" width="11.28515625" style="570" customWidth="1"/>
    <col min="3581" max="3581" width="11" style="570" customWidth="1"/>
    <col min="3582" max="3582" width="13.140625" style="570" customWidth="1"/>
    <col min="3583" max="3583" width="11.7109375" style="570" customWidth="1"/>
    <col min="3584" max="3584" width="11.140625" style="570" customWidth="1"/>
    <col min="3585" max="3585" width="11.7109375" style="570" customWidth="1"/>
    <col min="3586" max="3831" width="9.140625" style="570"/>
    <col min="3832" max="3832" width="5.28515625" style="570" customWidth="1"/>
    <col min="3833" max="3833" width="8" style="570" customWidth="1"/>
    <col min="3834" max="3834" width="5.85546875" style="570" customWidth="1"/>
    <col min="3835" max="3835" width="9.42578125" style="570" customWidth="1"/>
    <col min="3836" max="3836" width="11.28515625" style="570" customWidth="1"/>
    <col min="3837" max="3837" width="11" style="570" customWidth="1"/>
    <col min="3838" max="3838" width="13.140625" style="570" customWidth="1"/>
    <col min="3839" max="3839" width="11.7109375" style="570" customWidth="1"/>
    <col min="3840" max="3840" width="11.140625" style="570" customWidth="1"/>
    <col min="3841" max="3841" width="11.7109375" style="570" customWidth="1"/>
    <col min="3842" max="4087" width="9.140625" style="570"/>
    <col min="4088" max="4088" width="5.28515625" style="570" customWidth="1"/>
    <col min="4089" max="4089" width="8" style="570" customWidth="1"/>
    <col min="4090" max="4090" width="5.85546875" style="570" customWidth="1"/>
    <col min="4091" max="4091" width="9.42578125" style="570" customWidth="1"/>
    <col min="4092" max="4092" width="11.28515625" style="570" customWidth="1"/>
    <col min="4093" max="4093" width="11" style="570" customWidth="1"/>
    <col min="4094" max="4094" width="13.140625" style="570" customWidth="1"/>
    <col min="4095" max="4095" width="11.7109375" style="570" customWidth="1"/>
    <col min="4096" max="4096" width="11.140625" style="570" customWidth="1"/>
    <col min="4097" max="4097" width="11.7109375" style="570" customWidth="1"/>
    <col min="4098" max="4343" width="9.140625" style="570"/>
    <col min="4344" max="4344" width="5.28515625" style="570" customWidth="1"/>
    <col min="4345" max="4345" width="8" style="570" customWidth="1"/>
    <col min="4346" max="4346" width="5.85546875" style="570" customWidth="1"/>
    <col min="4347" max="4347" width="9.42578125" style="570" customWidth="1"/>
    <col min="4348" max="4348" width="11.28515625" style="570" customWidth="1"/>
    <col min="4349" max="4349" width="11" style="570" customWidth="1"/>
    <col min="4350" max="4350" width="13.140625" style="570" customWidth="1"/>
    <col min="4351" max="4351" width="11.7109375" style="570" customWidth="1"/>
    <col min="4352" max="4352" width="11.140625" style="570" customWidth="1"/>
    <col min="4353" max="4353" width="11.7109375" style="570" customWidth="1"/>
    <col min="4354" max="4599" width="9.140625" style="570"/>
    <col min="4600" max="4600" width="5.28515625" style="570" customWidth="1"/>
    <col min="4601" max="4601" width="8" style="570" customWidth="1"/>
    <col min="4602" max="4602" width="5.85546875" style="570" customWidth="1"/>
    <col min="4603" max="4603" width="9.42578125" style="570" customWidth="1"/>
    <col min="4604" max="4604" width="11.28515625" style="570" customWidth="1"/>
    <col min="4605" max="4605" width="11" style="570" customWidth="1"/>
    <col min="4606" max="4606" width="13.140625" style="570" customWidth="1"/>
    <col min="4607" max="4607" width="11.7109375" style="570" customWidth="1"/>
    <col min="4608" max="4608" width="11.140625" style="570" customWidth="1"/>
    <col min="4609" max="4609" width="11.7109375" style="570" customWidth="1"/>
    <col min="4610" max="4855" width="9.140625" style="570"/>
    <col min="4856" max="4856" width="5.28515625" style="570" customWidth="1"/>
    <col min="4857" max="4857" width="8" style="570" customWidth="1"/>
    <col min="4858" max="4858" width="5.85546875" style="570" customWidth="1"/>
    <col min="4859" max="4859" width="9.42578125" style="570" customWidth="1"/>
    <col min="4860" max="4860" width="11.28515625" style="570" customWidth="1"/>
    <col min="4861" max="4861" width="11" style="570" customWidth="1"/>
    <col min="4862" max="4862" width="13.140625" style="570" customWidth="1"/>
    <col min="4863" max="4863" width="11.7109375" style="570" customWidth="1"/>
    <col min="4864" max="4864" width="11.140625" style="570" customWidth="1"/>
    <col min="4865" max="4865" width="11.7109375" style="570" customWidth="1"/>
    <col min="4866" max="5111" width="9.140625" style="570"/>
    <col min="5112" max="5112" width="5.28515625" style="570" customWidth="1"/>
    <col min="5113" max="5113" width="8" style="570" customWidth="1"/>
    <col min="5114" max="5114" width="5.85546875" style="570" customWidth="1"/>
    <col min="5115" max="5115" width="9.42578125" style="570" customWidth="1"/>
    <col min="5116" max="5116" width="11.28515625" style="570" customWidth="1"/>
    <col min="5117" max="5117" width="11" style="570" customWidth="1"/>
    <col min="5118" max="5118" width="13.140625" style="570" customWidth="1"/>
    <col min="5119" max="5119" width="11.7109375" style="570" customWidth="1"/>
    <col min="5120" max="5120" width="11.140625" style="570" customWidth="1"/>
    <col min="5121" max="5121" width="11.7109375" style="570" customWidth="1"/>
    <col min="5122" max="5367" width="9.140625" style="570"/>
    <col min="5368" max="5368" width="5.28515625" style="570" customWidth="1"/>
    <col min="5369" max="5369" width="8" style="570" customWidth="1"/>
    <col min="5370" max="5370" width="5.85546875" style="570" customWidth="1"/>
    <col min="5371" max="5371" width="9.42578125" style="570" customWidth="1"/>
    <col min="5372" max="5372" width="11.28515625" style="570" customWidth="1"/>
    <col min="5373" max="5373" width="11" style="570" customWidth="1"/>
    <col min="5374" max="5374" width="13.140625" style="570" customWidth="1"/>
    <col min="5375" max="5375" width="11.7109375" style="570" customWidth="1"/>
    <col min="5376" max="5376" width="11.140625" style="570" customWidth="1"/>
    <col min="5377" max="5377" width="11.7109375" style="570" customWidth="1"/>
    <col min="5378" max="5623" width="9.140625" style="570"/>
    <col min="5624" max="5624" width="5.28515625" style="570" customWidth="1"/>
    <col min="5625" max="5625" width="8" style="570" customWidth="1"/>
    <col min="5626" max="5626" width="5.85546875" style="570" customWidth="1"/>
    <col min="5627" max="5627" width="9.42578125" style="570" customWidth="1"/>
    <col min="5628" max="5628" width="11.28515625" style="570" customWidth="1"/>
    <col min="5629" max="5629" width="11" style="570" customWidth="1"/>
    <col min="5630" max="5630" width="13.140625" style="570" customWidth="1"/>
    <col min="5631" max="5631" width="11.7109375" style="570" customWidth="1"/>
    <col min="5632" max="5632" width="11.140625" style="570" customWidth="1"/>
    <col min="5633" max="5633" width="11.7109375" style="570" customWidth="1"/>
    <col min="5634" max="5879" width="9.140625" style="570"/>
    <col min="5880" max="5880" width="5.28515625" style="570" customWidth="1"/>
    <col min="5881" max="5881" width="8" style="570" customWidth="1"/>
    <col min="5882" max="5882" width="5.85546875" style="570" customWidth="1"/>
    <col min="5883" max="5883" width="9.42578125" style="570" customWidth="1"/>
    <col min="5884" max="5884" width="11.28515625" style="570" customWidth="1"/>
    <col min="5885" max="5885" width="11" style="570" customWidth="1"/>
    <col min="5886" max="5886" width="13.140625" style="570" customWidth="1"/>
    <col min="5887" max="5887" width="11.7109375" style="570" customWidth="1"/>
    <col min="5888" max="5888" width="11.140625" style="570" customWidth="1"/>
    <col min="5889" max="5889" width="11.7109375" style="570" customWidth="1"/>
    <col min="5890" max="6135" width="9.140625" style="570"/>
    <col min="6136" max="6136" width="5.28515625" style="570" customWidth="1"/>
    <col min="6137" max="6137" width="8" style="570" customWidth="1"/>
    <col min="6138" max="6138" width="5.85546875" style="570" customWidth="1"/>
    <col min="6139" max="6139" width="9.42578125" style="570" customWidth="1"/>
    <col min="6140" max="6140" width="11.28515625" style="570" customWidth="1"/>
    <col min="6141" max="6141" width="11" style="570" customWidth="1"/>
    <col min="6142" max="6142" width="13.140625" style="570" customWidth="1"/>
    <col min="6143" max="6143" width="11.7109375" style="570" customWidth="1"/>
    <col min="6144" max="6144" width="11.140625" style="570" customWidth="1"/>
    <col min="6145" max="6145" width="11.7109375" style="570" customWidth="1"/>
    <col min="6146" max="6391" width="9.140625" style="570"/>
    <col min="6392" max="6392" width="5.28515625" style="570" customWidth="1"/>
    <col min="6393" max="6393" width="8" style="570" customWidth="1"/>
    <col min="6394" max="6394" width="5.85546875" style="570" customWidth="1"/>
    <col min="6395" max="6395" width="9.42578125" style="570" customWidth="1"/>
    <col min="6396" max="6396" width="11.28515625" style="570" customWidth="1"/>
    <col min="6397" max="6397" width="11" style="570" customWidth="1"/>
    <col min="6398" max="6398" width="13.140625" style="570" customWidth="1"/>
    <col min="6399" max="6399" width="11.7109375" style="570" customWidth="1"/>
    <col min="6400" max="6400" width="11.140625" style="570" customWidth="1"/>
    <col min="6401" max="6401" width="11.7109375" style="570" customWidth="1"/>
    <col min="6402" max="6647" width="9.140625" style="570"/>
    <col min="6648" max="6648" width="5.28515625" style="570" customWidth="1"/>
    <col min="6649" max="6649" width="8" style="570" customWidth="1"/>
    <col min="6650" max="6650" width="5.85546875" style="570" customWidth="1"/>
    <col min="6651" max="6651" width="9.42578125" style="570" customWidth="1"/>
    <col min="6652" max="6652" width="11.28515625" style="570" customWidth="1"/>
    <col min="6653" max="6653" width="11" style="570" customWidth="1"/>
    <col min="6654" max="6654" width="13.140625" style="570" customWidth="1"/>
    <col min="6655" max="6655" width="11.7109375" style="570" customWidth="1"/>
    <col min="6656" max="6656" width="11.140625" style="570" customWidth="1"/>
    <col min="6657" max="6657" width="11.7109375" style="570" customWidth="1"/>
    <col min="6658" max="6903" width="9.140625" style="570"/>
    <col min="6904" max="6904" width="5.28515625" style="570" customWidth="1"/>
    <col min="6905" max="6905" width="8" style="570" customWidth="1"/>
    <col min="6906" max="6906" width="5.85546875" style="570" customWidth="1"/>
    <col min="6907" max="6907" width="9.42578125" style="570" customWidth="1"/>
    <col min="6908" max="6908" width="11.28515625" style="570" customWidth="1"/>
    <col min="6909" max="6909" width="11" style="570" customWidth="1"/>
    <col min="6910" max="6910" width="13.140625" style="570" customWidth="1"/>
    <col min="6911" max="6911" width="11.7109375" style="570" customWidth="1"/>
    <col min="6912" max="6912" width="11.140625" style="570" customWidth="1"/>
    <col min="6913" max="6913" width="11.7109375" style="570" customWidth="1"/>
    <col min="6914" max="7159" width="9.140625" style="570"/>
    <col min="7160" max="7160" width="5.28515625" style="570" customWidth="1"/>
    <col min="7161" max="7161" width="8" style="570" customWidth="1"/>
    <col min="7162" max="7162" width="5.85546875" style="570" customWidth="1"/>
    <col min="7163" max="7163" width="9.42578125" style="570" customWidth="1"/>
    <col min="7164" max="7164" width="11.28515625" style="570" customWidth="1"/>
    <col min="7165" max="7165" width="11" style="570" customWidth="1"/>
    <col min="7166" max="7166" width="13.140625" style="570" customWidth="1"/>
    <col min="7167" max="7167" width="11.7109375" style="570" customWidth="1"/>
    <col min="7168" max="7168" width="11.140625" style="570" customWidth="1"/>
    <col min="7169" max="7169" width="11.7109375" style="570" customWidth="1"/>
    <col min="7170" max="7415" width="9.140625" style="570"/>
    <col min="7416" max="7416" width="5.28515625" style="570" customWidth="1"/>
    <col min="7417" max="7417" width="8" style="570" customWidth="1"/>
    <col min="7418" max="7418" width="5.85546875" style="570" customWidth="1"/>
    <col min="7419" max="7419" width="9.42578125" style="570" customWidth="1"/>
    <col min="7420" max="7420" width="11.28515625" style="570" customWidth="1"/>
    <col min="7421" max="7421" width="11" style="570" customWidth="1"/>
    <col min="7422" max="7422" width="13.140625" style="570" customWidth="1"/>
    <col min="7423" max="7423" width="11.7109375" style="570" customWidth="1"/>
    <col min="7424" max="7424" width="11.140625" style="570" customWidth="1"/>
    <col min="7425" max="7425" width="11.7109375" style="570" customWidth="1"/>
    <col min="7426" max="7671" width="9.140625" style="570"/>
    <col min="7672" max="7672" width="5.28515625" style="570" customWidth="1"/>
    <col min="7673" max="7673" width="8" style="570" customWidth="1"/>
    <col min="7674" max="7674" width="5.85546875" style="570" customWidth="1"/>
    <col min="7675" max="7675" width="9.42578125" style="570" customWidth="1"/>
    <col min="7676" max="7676" width="11.28515625" style="570" customWidth="1"/>
    <col min="7677" max="7677" width="11" style="570" customWidth="1"/>
    <col min="7678" max="7678" width="13.140625" style="570" customWidth="1"/>
    <col min="7679" max="7679" width="11.7109375" style="570" customWidth="1"/>
    <col min="7680" max="7680" width="11.140625" style="570" customWidth="1"/>
    <col min="7681" max="7681" width="11.7109375" style="570" customWidth="1"/>
    <col min="7682" max="7927" width="9.140625" style="570"/>
    <col min="7928" max="7928" width="5.28515625" style="570" customWidth="1"/>
    <col min="7929" max="7929" width="8" style="570" customWidth="1"/>
    <col min="7930" max="7930" width="5.85546875" style="570" customWidth="1"/>
    <col min="7931" max="7931" width="9.42578125" style="570" customWidth="1"/>
    <col min="7932" max="7932" width="11.28515625" style="570" customWidth="1"/>
    <col min="7933" max="7933" width="11" style="570" customWidth="1"/>
    <col min="7934" max="7934" width="13.140625" style="570" customWidth="1"/>
    <col min="7935" max="7935" width="11.7109375" style="570" customWidth="1"/>
    <col min="7936" max="7936" width="11.140625" style="570" customWidth="1"/>
    <col min="7937" max="7937" width="11.7109375" style="570" customWidth="1"/>
    <col min="7938" max="8183" width="9.140625" style="570"/>
    <col min="8184" max="8184" width="5.28515625" style="570" customWidth="1"/>
    <col min="8185" max="8185" width="8" style="570" customWidth="1"/>
    <col min="8186" max="8186" width="5.85546875" style="570" customWidth="1"/>
    <col min="8187" max="8187" width="9.42578125" style="570" customWidth="1"/>
    <col min="8188" max="8188" width="11.28515625" style="570" customWidth="1"/>
    <col min="8189" max="8189" width="11" style="570" customWidth="1"/>
    <col min="8190" max="8190" width="13.140625" style="570" customWidth="1"/>
    <col min="8191" max="8191" width="11.7109375" style="570" customWidth="1"/>
    <col min="8192" max="8192" width="11.140625" style="570" customWidth="1"/>
    <col min="8193" max="8193" width="11.7109375" style="570" customWidth="1"/>
    <col min="8194" max="8439" width="9.140625" style="570"/>
    <col min="8440" max="8440" width="5.28515625" style="570" customWidth="1"/>
    <col min="8441" max="8441" width="8" style="570" customWidth="1"/>
    <col min="8442" max="8442" width="5.85546875" style="570" customWidth="1"/>
    <col min="8443" max="8443" width="9.42578125" style="570" customWidth="1"/>
    <col min="8444" max="8444" width="11.28515625" style="570" customWidth="1"/>
    <col min="8445" max="8445" width="11" style="570" customWidth="1"/>
    <col min="8446" max="8446" width="13.140625" style="570" customWidth="1"/>
    <col min="8447" max="8447" width="11.7109375" style="570" customWidth="1"/>
    <col min="8448" max="8448" width="11.140625" style="570" customWidth="1"/>
    <col min="8449" max="8449" width="11.7109375" style="570" customWidth="1"/>
    <col min="8450" max="8695" width="9.140625" style="570"/>
    <col min="8696" max="8696" width="5.28515625" style="570" customWidth="1"/>
    <col min="8697" max="8697" width="8" style="570" customWidth="1"/>
    <col min="8698" max="8698" width="5.85546875" style="570" customWidth="1"/>
    <col min="8699" max="8699" width="9.42578125" style="570" customWidth="1"/>
    <col min="8700" max="8700" width="11.28515625" style="570" customWidth="1"/>
    <col min="8701" max="8701" width="11" style="570" customWidth="1"/>
    <col min="8702" max="8702" width="13.140625" style="570" customWidth="1"/>
    <col min="8703" max="8703" width="11.7109375" style="570" customWidth="1"/>
    <col min="8704" max="8704" width="11.140625" style="570" customWidth="1"/>
    <col min="8705" max="8705" width="11.7109375" style="570" customWidth="1"/>
    <col min="8706" max="8951" width="9.140625" style="570"/>
    <col min="8952" max="8952" width="5.28515625" style="570" customWidth="1"/>
    <col min="8953" max="8953" width="8" style="570" customWidth="1"/>
    <col min="8954" max="8954" width="5.85546875" style="570" customWidth="1"/>
    <col min="8955" max="8955" width="9.42578125" style="570" customWidth="1"/>
    <col min="8956" max="8956" width="11.28515625" style="570" customWidth="1"/>
    <col min="8957" max="8957" width="11" style="570" customWidth="1"/>
    <col min="8958" max="8958" width="13.140625" style="570" customWidth="1"/>
    <col min="8959" max="8959" width="11.7109375" style="570" customWidth="1"/>
    <col min="8960" max="8960" width="11.140625" style="570" customWidth="1"/>
    <col min="8961" max="8961" width="11.7109375" style="570" customWidth="1"/>
    <col min="8962" max="9207" width="9.140625" style="570"/>
    <col min="9208" max="9208" width="5.28515625" style="570" customWidth="1"/>
    <col min="9209" max="9209" width="8" style="570" customWidth="1"/>
    <col min="9210" max="9210" width="5.85546875" style="570" customWidth="1"/>
    <col min="9211" max="9211" width="9.42578125" style="570" customWidth="1"/>
    <col min="9212" max="9212" width="11.28515625" style="570" customWidth="1"/>
    <col min="9213" max="9213" width="11" style="570" customWidth="1"/>
    <col min="9214" max="9214" width="13.140625" style="570" customWidth="1"/>
    <col min="9215" max="9215" width="11.7109375" style="570" customWidth="1"/>
    <col min="9216" max="9216" width="11.140625" style="570" customWidth="1"/>
    <col min="9217" max="9217" width="11.7109375" style="570" customWidth="1"/>
    <col min="9218" max="9463" width="9.140625" style="570"/>
    <col min="9464" max="9464" width="5.28515625" style="570" customWidth="1"/>
    <col min="9465" max="9465" width="8" style="570" customWidth="1"/>
    <col min="9466" max="9466" width="5.85546875" style="570" customWidth="1"/>
    <col min="9467" max="9467" width="9.42578125" style="570" customWidth="1"/>
    <col min="9468" max="9468" width="11.28515625" style="570" customWidth="1"/>
    <col min="9469" max="9469" width="11" style="570" customWidth="1"/>
    <col min="9470" max="9470" width="13.140625" style="570" customWidth="1"/>
    <col min="9471" max="9471" width="11.7109375" style="570" customWidth="1"/>
    <col min="9472" max="9472" width="11.140625" style="570" customWidth="1"/>
    <col min="9473" max="9473" width="11.7109375" style="570" customWidth="1"/>
    <col min="9474" max="9719" width="9.140625" style="570"/>
    <col min="9720" max="9720" width="5.28515625" style="570" customWidth="1"/>
    <col min="9721" max="9721" width="8" style="570" customWidth="1"/>
    <col min="9722" max="9722" width="5.85546875" style="570" customWidth="1"/>
    <col min="9723" max="9723" width="9.42578125" style="570" customWidth="1"/>
    <col min="9724" max="9724" width="11.28515625" style="570" customWidth="1"/>
    <col min="9725" max="9725" width="11" style="570" customWidth="1"/>
    <col min="9726" max="9726" width="13.140625" style="570" customWidth="1"/>
    <col min="9727" max="9727" width="11.7109375" style="570" customWidth="1"/>
    <col min="9728" max="9728" width="11.140625" style="570" customWidth="1"/>
    <col min="9729" max="9729" width="11.7109375" style="570" customWidth="1"/>
    <col min="9730" max="9975" width="9.140625" style="570"/>
    <col min="9976" max="9976" width="5.28515625" style="570" customWidth="1"/>
    <col min="9977" max="9977" width="8" style="570" customWidth="1"/>
    <col min="9978" max="9978" width="5.85546875" style="570" customWidth="1"/>
    <col min="9979" max="9979" width="9.42578125" style="570" customWidth="1"/>
    <col min="9980" max="9980" width="11.28515625" style="570" customWidth="1"/>
    <col min="9981" max="9981" width="11" style="570" customWidth="1"/>
    <col min="9982" max="9982" width="13.140625" style="570" customWidth="1"/>
    <col min="9983" max="9983" width="11.7109375" style="570" customWidth="1"/>
    <col min="9984" max="9984" width="11.140625" style="570" customWidth="1"/>
    <col min="9985" max="9985" width="11.7109375" style="570" customWidth="1"/>
    <col min="9986" max="10231" width="9.140625" style="570"/>
    <col min="10232" max="10232" width="5.28515625" style="570" customWidth="1"/>
    <col min="10233" max="10233" width="8" style="570" customWidth="1"/>
    <col min="10234" max="10234" width="5.85546875" style="570" customWidth="1"/>
    <col min="10235" max="10235" width="9.42578125" style="570" customWidth="1"/>
    <col min="10236" max="10236" width="11.28515625" style="570" customWidth="1"/>
    <col min="10237" max="10237" width="11" style="570" customWidth="1"/>
    <col min="10238" max="10238" width="13.140625" style="570" customWidth="1"/>
    <col min="10239" max="10239" width="11.7109375" style="570" customWidth="1"/>
    <col min="10240" max="10240" width="11.140625" style="570" customWidth="1"/>
    <col min="10241" max="10241" width="11.7109375" style="570" customWidth="1"/>
    <col min="10242" max="10487" width="9.140625" style="570"/>
    <col min="10488" max="10488" width="5.28515625" style="570" customWidth="1"/>
    <col min="10489" max="10489" width="8" style="570" customWidth="1"/>
    <col min="10490" max="10490" width="5.85546875" style="570" customWidth="1"/>
    <col min="10491" max="10491" width="9.42578125" style="570" customWidth="1"/>
    <col min="10492" max="10492" width="11.28515625" style="570" customWidth="1"/>
    <col min="10493" max="10493" width="11" style="570" customWidth="1"/>
    <col min="10494" max="10494" width="13.140625" style="570" customWidth="1"/>
    <col min="10495" max="10495" width="11.7109375" style="570" customWidth="1"/>
    <col min="10496" max="10496" width="11.140625" style="570" customWidth="1"/>
    <col min="10497" max="10497" width="11.7109375" style="570" customWidth="1"/>
    <col min="10498" max="10743" width="9.140625" style="570"/>
    <col min="10744" max="10744" width="5.28515625" style="570" customWidth="1"/>
    <col min="10745" max="10745" width="8" style="570" customWidth="1"/>
    <col min="10746" max="10746" width="5.85546875" style="570" customWidth="1"/>
    <col min="10747" max="10747" width="9.42578125" style="570" customWidth="1"/>
    <col min="10748" max="10748" width="11.28515625" style="570" customWidth="1"/>
    <col min="10749" max="10749" width="11" style="570" customWidth="1"/>
    <col min="10750" max="10750" width="13.140625" style="570" customWidth="1"/>
    <col min="10751" max="10751" width="11.7109375" style="570" customWidth="1"/>
    <col min="10752" max="10752" width="11.140625" style="570" customWidth="1"/>
    <col min="10753" max="10753" width="11.7109375" style="570" customWidth="1"/>
    <col min="10754" max="10999" width="9.140625" style="570"/>
    <col min="11000" max="11000" width="5.28515625" style="570" customWidth="1"/>
    <col min="11001" max="11001" width="8" style="570" customWidth="1"/>
    <col min="11002" max="11002" width="5.85546875" style="570" customWidth="1"/>
    <col min="11003" max="11003" width="9.42578125" style="570" customWidth="1"/>
    <col min="11004" max="11004" width="11.28515625" style="570" customWidth="1"/>
    <col min="11005" max="11005" width="11" style="570" customWidth="1"/>
    <col min="11006" max="11006" width="13.140625" style="570" customWidth="1"/>
    <col min="11007" max="11007" width="11.7109375" style="570" customWidth="1"/>
    <col min="11008" max="11008" width="11.140625" style="570" customWidth="1"/>
    <col min="11009" max="11009" width="11.7109375" style="570" customWidth="1"/>
    <col min="11010" max="11255" width="9.140625" style="570"/>
    <col min="11256" max="11256" width="5.28515625" style="570" customWidth="1"/>
    <col min="11257" max="11257" width="8" style="570" customWidth="1"/>
    <col min="11258" max="11258" width="5.85546875" style="570" customWidth="1"/>
    <col min="11259" max="11259" width="9.42578125" style="570" customWidth="1"/>
    <col min="11260" max="11260" width="11.28515625" style="570" customWidth="1"/>
    <col min="11261" max="11261" width="11" style="570" customWidth="1"/>
    <col min="11262" max="11262" width="13.140625" style="570" customWidth="1"/>
    <col min="11263" max="11263" width="11.7109375" style="570" customWidth="1"/>
    <col min="11264" max="11264" width="11.140625" style="570" customWidth="1"/>
    <col min="11265" max="11265" width="11.7109375" style="570" customWidth="1"/>
    <col min="11266" max="11511" width="9.140625" style="570"/>
    <col min="11512" max="11512" width="5.28515625" style="570" customWidth="1"/>
    <col min="11513" max="11513" width="8" style="570" customWidth="1"/>
    <col min="11514" max="11514" width="5.85546875" style="570" customWidth="1"/>
    <col min="11515" max="11515" width="9.42578125" style="570" customWidth="1"/>
    <col min="11516" max="11516" width="11.28515625" style="570" customWidth="1"/>
    <col min="11517" max="11517" width="11" style="570" customWidth="1"/>
    <col min="11518" max="11518" width="13.140625" style="570" customWidth="1"/>
    <col min="11519" max="11519" width="11.7109375" style="570" customWidth="1"/>
    <col min="11520" max="11520" width="11.140625" style="570" customWidth="1"/>
    <col min="11521" max="11521" width="11.7109375" style="570" customWidth="1"/>
    <col min="11522" max="11767" width="9.140625" style="570"/>
    <col min="11768" max="11768" width="5.28515625" style="570" customWidth="1"/>
    <col min="11769" max="11769" width="8" style="570" customWidth="1"/>
    <col min="11770" max="11770" width="5.85546875" style="570" customWidth="1"/>
    <col min="11771" max="11771" width="9.42578125" style="570" customWidth="1"/>
    <col min="11772" max="11772" width="11.28515625" style="570" customWidth="1"/>
    <col min="11773" max="11773" width="11" style="570" customWidth="1"/>
    <col min="11774" max="11774" width="13.140625" style="570" customWidth="1"/>
    <col min="11775" max="11775" width="11.7109375" style="570" customWidth="1"/>
    <col min="11776" max="11776" width="11.140625" style="570" customWidth="1"/>
    <col min="11777" max="11777" width="11.7109375" style="570" customWidth="1"/>
    <col min="11778" max="12023" width="9.140625" style="570"/>
    <col min="12024" max="12024" width="5.28515625" style="570" customWidth="1"/>
    <col min="12025" max="12025" width="8" style="570" customWidth="1"/>
    <col min="12026" max="12026" width="5.85546875" style="570" customWidth="1"/>
    <col min="12027" max="12027" width="9.42578125" style="570" customWidth="1"/>
    <col min="12028" max="12028" width="11.28515625" style="570" customWidth="1"/>
    <col min="12029" max="12029" width="11" style="570" customWidth="1"/>
    <col min="12030" max="12030" width="13.140625" style="570" customWidth="1"/>
    <col min="12031" max="12031" width="11.7109375" style="570" customWidth="1"/>
    <col min="12032" max="12032" width="11.140625" style="570" customWidth="1"/>
    <col min="12033" max="12033" width="11.7109375" style="570" customWidth="1"/>
    <col min="12034" max="12279" width="9.140625" style="570"/>
    <col min="12280" max="12280" width="5.28515625" style="570" customWidth="1"/>
    <col min="12281" max="12281" width="8" style="570" customWidth="1"/>
    <col min="12282" max="12282" width="5.85546875" style="570" customWidth="1"/>
    <col min="12283" max="12283" width="9.42578125" style="570" customWidth="1"/>
    <col min="12284" max="12284" width="11.28515625" style="570" customWidth="1"/>
    <col min="12285" max="12285" width="11" style="570" customWidth="1"/>
    <col min="12286" max="12286" width="13.140625" style="570" customWidth="1"/>
    <col min="12287" max="12287" width="11.7109375" style="570" customWidth="1"/>
    <col min="12288" max="12288" width="11.140625" style="570" customWidth="1"/>
    <col min="12289" max="12289" width="11.7109375" style="570" customWidth="1"/>
    <col min="12290" max="12535" width="9.140625" style="570"/>
    <col min="12536" max="12536" width="5.28515625" style="570" customWidth="1"/>
    <col min="12537" max="12537" width="8" style="570" customWidth="1"/>
    <col min="12538" max="12538" width="5.85546875" style="570" customWidth="1"/>
    <col min="12539" max="12539" width="9.42578125" style="570" customWidth="1"/>
    <col min="12540" max="12540" width="11.28515625" style="570" customWidth="1"/>
    <col min="12541" max="12541" width="11" style="570" customWidth="1"/>
    <col min="12542" max="12542" width="13.140625" style="570" customWidth="1"/>
    <col min="12543" max="12543" width="11.7109375" style="570" customWidth="1"/>
    <col min="12544" max="12544" width="11.140625" style="570" customWidth="1"/>
    <col min="12545" max="12545" width="11.7109375" style="570" customWidth="1"/>
    <col min="12546" max="12791" width="9.140625" style="570"/>
    <col min="12792" max="12792" width="5.28515625" style="570" customWidth="1"/>
    <col min="12793" max="12793" width="8" style="570" customWidth="1"/>
    <col min="12794" max="12794" width="5.85546875" style="570" customWidth="1"/>
    <col min="12795" max="12795" width="9.42578125" style="570" customWidth="1"/>
    <col min="12796" max="12796" width="11.28515625" style="570" customWidth="1"/>
    <col min="12797" max="12797" width="11" style="570" customWidth="1"/>
    <col min="12798" max="12798" width="13.140625" style="570" customWidth="1"/>
    <col min="12799" max="12799" width="11.7109375" style="570" customWidth="1"/>
    <col min="12800" max="12800" width="11.140625" style="570" customWidth="1"/>
    <col min="12801" max="12801" width="11.7109375" style="570" customWidth="1"/>
    <col min="12802" max="13047" width="9.140625" style="570"/>
    <col min="13048" max="13048" width="5.28515625" style="570" customWidth="1"/>
    <col min="13049" max="13049" width="8" style="570" customWidth="1"/>
    <col min="13050" max="13050" width="5.85546875" style="570" customWidth="1"/>
    <col min="13051" max="13051" width="9.42578125" style="570" customWidth="1"/>
    <col min="13052" max="13052" width="11.28515625" style="570" customWidth="1"/>
    <col min="13053" max="13053" width="11" style="570" customWidth="1"/>
    <col min="13054" max="13054" width="13.140625" style="570" customWidth="1"/>
    <col min="13055" max="13055" width="11.7109375" style="570" customWidth="1"/>
    <col min="13056" max="13056" width="11.140625" style="570" customWidth="1"/>
    <col min="13057" max="13057" width="11.7109375" style="570" customWidth="1"/>
    <col min="13058" max="13303" width="9.140625" style="570"/>
    <col min="13304" max="13304" width="5.28515625" style="570" customWidth="1"/>
    <col min="13305" max="13305" width="8" style="570" customWidth="1"/>
    <col min="13306" max="13306" width="5.85546875" style="570" customWidth="1"/>
    <col min="13307" max="13307" width="9.42578125" style="570" customWidth="1"/>
    <col min="13308" max="13308" width="11.28515625" style="570" customWidth="1"/>
    <col min="13309" max="13309" width="11" style="570" customWidth="1"/>
    <col min="13310" max="13310" width="13.140625" style="570" customWidth="1"/>
    <col min="13311" max="13311" width="11.7109375" style="570" customWidth="1"/>
    <col min="13312" max="13312" width="11.140625" style="570" customWidth="1"/>
    <col min="13313" max="13313" width="11.7109375" style="570" customWidth="1"/>
    <col min="13314" max="13559" width="9.140625" style="570"/>
    <col min="13560" max="13560" width="5.28515625" style="570" customWidth="1"/>
    <col min="13561" max="13561" width="8" style="570" customWidth="1"/>
    <col min="13562" max="13562" width="5.85546875" style="570" customWidth="1"/>
    <col min="13563" max="13563" width="9.42578125" style="570" customWidth="1"/>
    <col min="13564" max="13564" width="11.28515625" style="570" customWidth="1"/>
    <col min="13565" max="13565" width="11" style="570" customWidth="1"/>
    <col min="13566" max="13566" width="13.140625" style="570" customWidth="1"/>
    <col min="13567" max="13567" width="11.7109375" style="570" customWidth="1"/>
    <col min="13568" max="13568" width="11.140625" style="570" customWidth="1"/>
    <col min="13569" max="13569" width="11.7109375" style="570" customWidth="1"/>
    <col min="13570" max="13815" width="9.140625" style="570"/>
    <col min="13816" max="13816" width="5.28515625" style="570" customWidth="1"/>
    <col min="13817" max="13817" width="8" style="570" customWidth="1"/>
    <col min="13818" max="13818" width="5.85546875" style="570" customWidth="1"/>
    <col min="13819" max="13819" width="9.42578125" style="570" customWidth="1"/>
    <col min="13820" max="13820" width="11.28515625" style="570" customWidth="1"/>
    <col min="13821" max="13821" width="11" style="570" customWidth="1"/>
    <col min="13822" max="13822" width="13.140625" style="570" customWidth="1"/>
    <col min="13823" max="13823" width="11.7109375" style="570" customWidth="1"/>
    <col min="13824" max="13824" width="11.140625" style="570" customWidth="1"/>
    <col min="13825" max="13825" width="11.7109375" style="570" customWidth="1"/>
    <col min="13826" max="14071" width="9.140625" style="570"/>
    <col min="14072" max="14072" width="5.28515625" style="570" customWidth="1"/>
    <col min="14073" max="14073" width="8" style="570" customWidth="1"/>
    <col min="14074" max="14074" width="5.85546875" style="570" customWidth="1"/>
    <col min="14075" max="14075" width="9.42578125" style="570" customWidth="1"/>
    <col min="14076" max="14076" width="11.28515625" style="570" customWidth="1"/>
    <col min="14077" max="14077" width="11" style="570" customWidth="1"/>
    <col min="14078" max="14078" width="13.140625" style="570" customWidth="1"/>
    <col min="14079" max="14079" width="11.7109375" style="570" customWidth="1"/>
    <col min="14080" max="14080" width="11.140625" style="570" customWidth="1"/>
    <col min="14081" max="14081" width="11.7109375" style="570" customWidth="1"/>
    <col min="14082" max="14327" width="9.140625" style="570"/>
    <col min="14328" max="14328" width="5.28515625" style="570" customWidth="1"/>
    <col min="14329" max="14329" width="8" style="570" customWidth="1"/>
    <col min="14330" max="14330" width="5.85546875" style="570" customWidth="1"/>
    <col min="14331" max="14331" width="9.42578125" style="570" customWidth="1"/>
    <col min="14332" max="14332" width="11.28515625" style="570" customWidth="1"/>
    <col min="14333" max="14333" width="11" style="570" customWidth="1"/>
    <col min="14334" max="14334" width="13.140625" style="570" customWidth="1"/>
    <col min="14335" max="14335" width="11.7109375" style="570" customWidth="1"/>
    <col min="14336" max="14336" width="11.140625" style="570" customWidth="1"/>
    <col min="14337" max="14337" width="11.7109375" style="570" customWidth="1"/>
    <col min="14338" max="14583" width="9.140625" style="570"/>
    <col min="14584" max="14584" width="5.28515625" style="570" customWidth="1"/>
    <col min="14585" max="14585" width="8" style="570" customWidth="1"/>
    <col min="14586" max="14586" width="5.85546875" style="570" customWidth="1"/>
    <col min="14587" max="14587" width="9.42578125" style="570" customWidth="1"/>
    <col min="14588" max="14588" width="11.28515625" style="570" customWidth="1"/>
    <col min="14589" max="14589" width="11" style="570" customWidth="1"/>
    <col min="14590" max="14590" width="13.140625" style="570" customWidth="1"/>
    <col min="14591" max="14591" width="11.7109375" style="570" customWidth="1"/>
    <col min="14592" max="14592" width="11.140625" style="570" customWidth="1"/>
    <col min="14593" max="14593" width="11.7109375" style="570" customWidth="1"/>
    <col min="14594" max="14839" width="9.140625" style="570"/>
    <col min="14840" max="14840" width="5.28515625" style="570" customWidth="1"/>
    <col min="14841" max="14841" width="8" style="570" customWidth="1"/>
    <col min="14842" max="14842" width="5.85546875" style="570" customWidth="1"/>
    <col min="14843" max="14843" width="9.42578125" style="570" customWidth="1"/>
    <col min="14844" max="14844" width="11.28515625" style="570" customWidth="1"/>
    <col min="14845" max="14845" width="11" style="570" customWidth="1"/>
    <col min="14846" max="14846" width="13.140625" style="570" customWidth="1"/>
    <col min="14847" max="14847" width="11.7109375" style="570" customWidth="1"/>
    <col min="14848" max="14848" width="11.140625" style="570" customWidth="1"/>
    <col min="14849" max="14849" width="11.7109375" style="570" customWidth="1"/>
    <col min="14850" max="15095" width="9.140625" style="570"/>
    <col min="15096" max="15096" width="5.28515625" style="570" customWidth="1"/>
    <col min="15097" max="15097" width="8" style="570" customWidth="1"/>
    <col min="15098" max="15098" width="5.85546875" style="570" customWidth="1"/>
    <col min="15099" max="15099" width="9.42578125" style="570" customWidth="1"/>
    <col min="15100" max="15100" width="11.28515625" style="570" customWidth="1"/>
    <col min="15101" max="15101" width="11" style="570" customWidth="1"/>
    <col min="15102" max="15102" width="13.140625" style="570" customWidth="1"/>
    <col min="15103" max="15103" width="11.7109375" style="570" customWidth="1"/>
    <col min="15104" max="15104" width="11.140625" style="570" customWidth="1"/>
    <col min="15105" max="15105" width="11.7109375" style="570" customWidth="1"/>
    <col min="15106" max="15351" width="9.140625" style="570"/>
    <col min="15352" max="15352" width="5.28515625" style="570" customWidth="1"/>
    <col min="15353" max="15353" width="8" style="570" customWidth="1"/>
    <col min="15354" max="15354" width="5.85546875" style="570" customWidth="1"/>
    <col min="15355" max="15355" width="9.42578125" style="570" customWidth="1"/>
    <col min="15356" max="15356" width="11.28515625" style="570" customWidth="1"/>
    <col min="15357" max="15357" width="11" style="570" customWidth="1"/>
    <col min="15358" max="15358" width="13.140625" style="570" customWidth="1"/>
    <col min="15359" max="15359" width="11.7109375" style="570" customWidth="1"/>
    <col min="15360" max="15360" width="11.140625" style="570" customWidth="1"/>
    <col min="15361" max="15361" width="11.7109375" style="570" customWidth="1"/>
    <col min="15362" max="15607" width="9.140625" style="570"/>
    <col min="15608" max="15608" width="5.28515625" style="570" customWidth="1"/>
    <col min="15609" max="15609" width="8" style="570" customWidth="1"/>
    <col min="15610" max="15610" width="5.85546875" style="570" customWidth="1"/>
    <col min="15611" max="15611" width="9.42578125" style="570" customWidth="1"/>
    <col min="15612" max="15612" width="11.28515625" style="570" customWidth="1"/>
    <col min="15613" max="15613" width="11" style="570" customWidth="1"/>
    <col min="15614" max="15614" width="13.140625" style="570" customWidth="1"/>
    <col min="15615" max="15615" width="11.7109375" style="570" customWidth="1"/>
    <col min="15616" max="15616" width="11.140625" style="570" customWidth="1"/>
    <col min="15617" max="15617" width="11.7109375" style="570" customWidth="1"/>
    <col min="15618" max="15863" width="9.140625" style="570"/>
    <col min="15864" max="15864" width="5.28515625" style="570" customWidth="1"/>
    <col min="15865" max="15865" width="8" style="570" customWidth="1"/>
    <col min="15866" max="15866" width="5.85546875" style="570" customWidth="1"/>
    <col min="15867" max="15867" width="9.42578125" style="570" customWidth="1"/>
    <col min="15868" max="15868" width="11.28515625" style="570" customWidth="1"/>
    <col min="15869" max="15869" width="11" style="570" customWidth="1"/>
    <col min="15870" max="15870" width="13.140625" style="570" customWidth="1"/>
    <col min="15871" max="15871" width="11.7109375" style="570" customWidth="1"/>
    <col min="15872" max="15872" width="11.140625" style="570" customWidth="1"/>
    <col min="15873" max="15873" width="11.7109375" style="570" customWidth="1"/>
    <col min="15874" max="16119" width="9.140625" style="570"/>
    <col min="16120" max="16120" width="5.28515625" style="570" customWidth="1"/>
    <col min="16121" max="16121" width="8" style="570" customWidth="1"/>
    <col min="16122" max="16122" width="5.85546875" style="570" customWidth="1"/>
    <col min="16123" max="16123" width="9.42578125" style="570" customWidth="1"/>
    <col min="16124" max="16124" width="11.28515625" style="570" customWidth="1"/>
    <col min="16125" max="16125" width="11" style="570" customWidth="1"/>
    <col min="16126" max="16126" width="13.140625" style="570" customWidth="1"/>
    <col min="16127" max="16127" width="11.7109375" style="570" customWidth="1"/>
    <col min="16128" max="16128" width="11.140625" style="570" customWidth="1"/>
    <col min="16129" max="16129" width="11.7109375" style="570" customWidth="1"/>
    <col min="16130" max="16384" width="9.140625" style="570"/>
  </cols>
  <sheetData>
    <row r="1" spans="1:66" ht="12.75" customHeight="1" x14ac:dyDescent="0.25">
      <c r="A1" s="509"/>
      <c r="F1" s="3" t="s">
        <v>578</v>
      </c>
    </row>
    <row r="2" spans="1:66" ht="12.75" customHeight="1" x14ac:dyDescent="0.25">
      <c r="F2" s="329" t="s">
        <v>336</v>
      </c>
    </row>
    <row r="3" spans="1:66" ht="12.75" customHeight="1" x14ac:dyDescent="0.25">
      <c r="F3" s="329" t="s">
        <v>16</v>
      </c>
    </row>
    <row r="4" spans="1:66" ht="12.75" customHeight="1" x14ac:dyDescent="0.25">
      <c r="F4" s="329" t="s">
        <v>337</v>
      </c>
    </row>
    <row r="5" spans="1:66" ht="12.75" customHeight="1" x14ac:dyDescent="0.25"/>
    <row r="6" spans="1:66" ht="13.5" customHeight="1" x14ac:dyDescent="0.25">
      <c r="A6" s="60" t="s">
        <v>579</v>
      </c>
      <c r="B6" s="60"/>
      <c r="C6" s="60"/>
      <c r="D6" s="60"/>
      <c r="E6" s="60"/>
      <c r="F6" s="60"/>
      <c r="G6" s="60"/>
    </row>
    <row r="7" spans="1:66" ht="12.75" customHeight="1" x14ac:dyDescent="0.25">
      <c r="A7" s="60" t="s">
        <v>580</v>
      </c>
      <c r="B7" s="510"/>
      <c r="C7" s="510"/>
      <c r="D7" s="510"/>
      <c r="E7" s="510"/>
      <c r="F7" s="510"/>
      <c r="G7" s="510"/>
    </row>
    <row r="8" spans="1:66" ht="9" customHeight="1" x14ac:dyDescent="0.25">
      <c r="A8" s="471"/>
      <c r="B8" s="472"/>
      <c r="C8" s="472"/>
      <c r="D8" s="472"/>
      <c r="E8" s="472"/>
      <c r="F8" s="472"/>
      <c r="G8" s="472"/>
    </row>
    <row r="9" spans="1:66" ht="11.25" customHeight="1" x14ac:dyDescent="0.25">
      <c r="G9" s="473" t="s">
        <v>1</v>
      </c>
    </row>
    <row r="10" spans="1:66" s="477" customFormat="1" ht="36.75" customHeight="1" x14ac:dyDescent="0.2">
      <c r="A10" s="511" t="s">
        <v>40</v>
      </c>
      <c r="B10" s="511" t="s">
        <v>429</v>
      </c>
      <c r="C10" s="511" t="s">
        <v>542</v>
      </c>
      <c r="D10" s="511" t="s">
        <v>351</v>
      </c>
      <c r="E10" s="512" t="s">
        <v>5</v>
      </c>
      <c r="F10" s="512" t="s">
        <v>543</v>
      </c>
      <c r="G10" s="512" t="s">
        <v>544</v>
      </c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6"/>
      <c r="BB10" s="476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</row>
    <row r="11" spans="1:66" s="480" customFormat="1" ht="10.5" customHeight="1" x14ac:dyDescent="0.2">
      <c r="A11" s="478">
        <v>1</v>
      </c>
      <c r="B11" s="478">
        <v>2</v>
      </c>
      <c r="C11" s="478">
        <v>3</v>
      </c>
      <c r="D11" s="478">
        <v>4</v>
      </c>
      <c r="E11" s="478">
        <v>5</v>
      </c>
      <c r="F11" s="478">
        <v>6</v>
      </c>
      <c r="G11" s="478">
        <v>7</v>
      </c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</row>
    <row r="12" spans="1:66" s="470" customFormat="1" ht="15.75" customHeight="1" x14ac:dyDescent="0.2">
      <c r="A12" s="481"/>
      <c r="B12" s="482"/>
      <c r="C12" s="494"/>
      <c r="D12" s="494"/>
      <c r="E12" s="499" t="s">
        <v>88</v>
      </c>
      <c r="F12" s="501">
        <f>5350+9150+36625+3925</f>
        <v>55050</v>
      </c>
      <c r="G12" s="502" t="s">
        <v>377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</row>
    <row r="13" spans="1:66" s="470" customFormat="1" ht="24" x14ac:dyDescent="0.2">
      <c r="A13" s="488" t="s">
        <v>44</v>
      </c>
      <c r="B13" s="504" t="s">
        <v>581</v>
      </c>
      <c r="C13" s="494" t="s">
        <v>267</v>
      </c>
      <c r="D13" s="494" t="s">
        <v>582</v>
      </c>
      <c r="E13" s="484" t="s">
        <v>377</v>
      </c>
      <c r="F13" s="486" t="s">
        <v>377</v>
      </c>
      <c r="G13" s="485">
        <f>SUM(G15)</f>
        <v>55050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</row>
    <row r="14" spans="1:66" s="470" customFormat="1" ht="9" customHeight="1" x14ac:dyDescent="0.2">
      <c r="A14" s="481"/>
      <c r="B14" s="505"/>
      <c r="C14" s="494"/>
      <c r="D14" s="494"/>
      <c r="E14" s="494"/>
      <c r="F14" s="495"/>
      <c r="G14" s="590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</row>
    <row r="15" spans="1:66" s="470" customFormat="1" ht="15.75" customHeight="1" x14ac:dyDescent="0.2">
      <c r="A15" s="481"/>
      <c r="B15" s="591" t="s">
        <v>263</v>
      </c>
      <c r="C15" s="494"/>
      <c r="D15" s="494"/>
      <c r="E15" s="494"/>
      <c r="F15" s="495"/>
      <c r="G15" s="590">
        <f>SUM(G16:G17)</f>
        <v>55050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</row>
    <row r="16" spans="1:66" s="470" customFormat="1" ht="15.75" customHeight="1" x14ac:dyDescent="0.2">
      <c r="A16" s="481"/>
      <c r="B16" s="591"/>
      <c r="C16" s="494"/>
      <c r="D16" s="494"/>
      <c r="E16" s="494" t="s">
        <v>583</v>
      </c>
      <c r="F16" s="495" t="s">
        <v>377</v>
      </c>
      <c r="G16" s="496">
        <f>8500+3925-2790.5</f>
        <v>9634.5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</row>
    <row r="17" spans="1:66" s="470" customFormat="1" ht="15.75" customHeight="1" x14ac:dyDescent="0.2">
      <c r="A17" s="481"/>
      <c r="B17" s="591"/>
      <c r="C17" s="494"/>
      <c r="D17" s="494"/>
      <c r="E17" s="494" t="s">
        <v>584</v>
      </c>
      <c r="F17" s="495" t="s">
        <v>377</v>
      </c>
      <c r="G17" s="496">
        <f>5350+9150+36625-8500+2790.5</f>
        <v>45415.5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</row>
    <row r="18" spans="1:66" s="470" customFormat="1" ht="15.75" customHeight="1" x14ac:dyDescent="0.2">
      <c r="A18" s="497"/>
      <c r="B18" s="498"/>
      <c r="C18" s="507"/>
      <c r="D18" s="499"/>
      <c r="E18" s="499"/>
      <c r="F18" s="502"/>
      <c r="G18" s="500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</row>
    <row r="19" spans="1:66" s="470" customFormat="1" ht="15.75" customHeight="1" x14ac:dyDescent="0.2">
      <c r="A19" s="481"/>
      <c r="B19" s="482"/>
      <c r="C19" s="494"/>
      <c r="D19" s="494"/>
      <c r="E19" s="499" t="s">
        <v>88</v>
      </c>
      <c r="F19" s="501">
        <f>9095+9126+6997+1281+4296+51765+6644</f>
        <v>89204</v>
      </c>
      <c r="G19" s="502" t="s">
        <v>377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</row>
    <row r="20" spans="1:66" s="470" customFormat="1" ht="20.25" customHeight="1" x14ac:dyDescent="0.2">
      <c r="A20" s="488" t="s">
        <v>46</v>
      </c>
      <c r="B20" s="508" t="s">
        <v>585</v>
      </c>
      <c r="C20" s="494" t="s">
        <v>586</v>
      </c>
      <c r="D20" s="494" t="s">
        <v>587</v>
      </c>
      <c r="E20" s="484" t="s">
        <v>377</v>
      </c>
      <c r="F20" s="486" t="s">
        <v>377</v>
      </c>
      <c r="G20" s="485">
        <f>SUM(G22)</f>
        <v>89204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</row>
    <row r="21" spans="1:66" s="470" customFormat="1" ht="10.5" customHeight="1" x14ac:dyDescent="0.2">
      <c r="A21" s="481"/>
      <c r="B21" s="505"/>
      <c r="C21" s="494"/>
      <c r="D21" s="494"/>
      <c r="E21" s="494"/>
      <c r="F21" s="495"/>
      <c r="G21" s="590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</row>
    <row r="22" spans="1:66" s="470" customFormat="1" ht="15.75" customHeight="1" x14ac:dyDescent="0.2">
      <c r="A22" s="481"/>
      <c r="B22" s="591" t="s">
        <v>263</v>
      </c>
      <c r="C22" s="494"/>
      <c r="D22" s="494"/>
      <c r="E22" s="494"/>
      <c r="F22" s="495"/>
      <c r="G22" s="590">
        <f>SUM(G23:G26)</f>
        <v>89204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</row>
    <row r="23" spans="1:66" s="470" customFormat="1" ht="15.75" customHeight="1" x14ac:dyDescent="0.2">
      <c r="A23" s="481"/>
      <c r="B23" s="482"/>
      <c r="C23" s="506"/>
      <c r="D23" s="494"/>
      <c r="E23" s="494" t="s">
        <v>583</v>
      </c>
      <c r="F23" s="495" t="s">
        <v>377</v>
      </c>
      <c r="G23" s="496">
        <f>6793+17721+1255+4296+50257+6450</f>
        <v>86772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</row>
    <row r="24" spans="1:66" s="470" customFormat="1" ht="15.75" customHeight="1" x14ac:dyDescent="0.2">
      <c r="A24" s="481"/>
      <c r="B24" s="482"/>
      <c r="C24" s="506"/>
      <c r="D24" s="494"/>
      <c r="E24" s="494" t="s">
        <v>584</v>
      </c>
      <c r="F24" s="495" t="s">
        <v>377</v>
      </c>
      <c r="G24" s="496">
        <v>30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</row>
    <row r="25" spans="1:66" s="470" customFormat="1" ht="15.75" customHeight="1" x14ac:dyDescent="0.2">
      <c r="A25" s="481"/>
      <c r="B25" s="482"/>
      <c r="C25" s="506"/>
      <c r="D25" s="494"/>
      <c r="E25" s="494" t="s">
        <v>588</v>
      </c>
      <c r="F25" s="495" t="s">
        <v>377</v>
      </c>
      <c r="G25" s="496">
        <f>92+470+21+1258+161</f>
        <v>2002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</row>
    <row r="26" spans="1:66" s="470" customFormat="1" ht="15.75" customHeight="1" x14ac:dyDescent="0.2">
      <c r="A26" s="481"/>
      <c r="B26" s="482"/>
      <c r="C26" s="506"/>
      <c r="D26" s="494"/>
      <c r="E26" s="494" t="s">
        <v>589</v>
      </c>
      <c r="F26" s="495" t="s">
        <v>377</v>
      </c>
      <c r="G26" s="496">
        <f>112+5+250+33</f>
        <v>400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66" s="470" customFormat="1" ht="15.75" customHeight="1" x14ac:dyDescent="0.2">
      <c r="A27" s="497"/>
      <c r="B27" s="498"/>
      <c r="C27" s="507"/>
      <c r="D27" s="499"/>
      <c r="E27" s="499"/>
      <c r="F27" s="502"/>
      <c r="G27" s="500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66" s="470" customFormat="1" ht="15.75" customHeight="1" x14ac:dyDescent="0.2">
      <c r="A28" s="481"/>
      <c r="B28" s="482"/>
      <c r="C28" s="494"/>
      <c r="D28" s="494"/>
      <c r="E28" s="499" t="s">
        <v>88</v>
      </c>
      <c r="F28" s="501">
        <f>119646+106488+19584+20502+11322+7038+12852+12546+5508+6426+18972+18666</f>
        <v>359550</v>
      </c>
      <c r="G28" s="502" t="s">
        <v>377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</row>
    <row r="29" spans="1:66" s="470" customFormat="1" ht="24" x14ac:dyDescent="0.2">
      <c r="A29" s="488" t="s">
        <v>48</v>
      </c>
      <c r="B29" s="504" t="s">
        <v>590</v>
      </c>
      <c r="C29" s="494" t="s">
        <v>572</v>
      </c>
      <c r="D29" s="494" t="s">
        <v>573</v>
      </c>
      <c r="E29" s="484" t="s">
        <v>377</v>
      </c>
      <c r="F29" s="486" t="s">
        <v>377</v>
      </c>
      <c r="G29" s="485">
        <f>SUM(G31)</f>
        <v>359550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</row>
    <row r="30" spans="1:66" s="470" customFormat="1" ht="10.5" customHeight="1" x14ac:dyDescent="0.2">
      <c r="A30" s="481"/>
      <c r="B30" s="505"/>
      <c r="C30" s="494"/>
      <c r="D30" s="494"/>
      <c r="E30" s="494"/>
      <c r="F30" s="495"/>
      <c r="G30" s="590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</row>
    <row r="31" spans="1:66" s="470" customFormat="1" ht="15.75" customHeight="1" x14ac:dyDescent="0.2">
      <c r="A31" s="481"/>
      <c r="B31" s="591" t="s">
        <v>263</v>
      </c>
      <c r="C31" s="494"/>
      <c r="D31" s="494"/>
      <c r="E31" s="494"/>
      <c r="F31" s="495"/>
      <c r="G31" s="590">
        <f>SUM(G32:G34)</f>
        <v>359550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</row>
    <row r="32" spans="1:66" s="470" customFormat="1" ht="15.75" customHeight="1" x14ac:dyDescent="0.2">
      <c r="A32" s="481"/>
      <c r="B32" s="482"/>
      <c r="C32" s="494"/>
      <c r="D32" s="494"/>
      <c r="E32" s="494" t="s">
        <v>583</v>
      </c>
      <c r="F32" s="495" t="s">
        <v>377</v>
      </c>
      <c r="G32" s="496">
        <f>12600+279000+5400+12300+6300+18600+18300</f>
        <v>352500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</row>
    <row r="33" spans="1:66" s="470" customFormat="1" ht="15.75" customHeight="1" x14ac:dyDescent="0.2">
      <c r="A33" s="481"/>
      <c r="B33" s="482"/>
      <c r="C33" s="506"/>
      <c r="D33" s="494"/>
      <c r="E33" s="494" t="s">
        <v>588</v>
      </c>
      <c r="F33" s="495" t="s">
        <v>377</v>
      </c>
      <c r="G33" s="496">
        <f>210+4638+90+205+105+310+305</f>
        <v>5863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</row>
    <row r="34" spans="1:66" s="470" customFormat="1" ht="15.75" customHeight="1" x14ac:dyDescent="0.2">
      <c r="A34" s="481"/>
      <c r="B34" s="482"/>
      <c r="C34" s="506"/>
      <c r="D34" s="494"/>
      <c r="E34" s="494" t="s">
        <v>589</v>
      </c>
      <c r="F34" s="495" t="s">
        <v>377</v>
      </c>
      <c r="G34" s="496">
        <f>42+815+115+12+18+41+21+62+61</f>
        <v>1187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</row>
    <row r="35" spans="1:66" s="470" customFormat="1" ht="15.75" customHeight="1" x14ac:dyDescent="0.2">
      <c r="A35" s="497"/>
      <c r="B35" s="498"/>
      <c r="C35" s="507"/>
      <c r="D35" s="499"/>
      <c r="E35" s="499"/>
      <c r="F35" s="502"/>
      <c r="G35" s="500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</row>
    <row r="36" spans="1:66" s="470" customFormat="1" ht="21.75" customHeight="1" x14ac:dyDescent="0.2">
      <c r="A36" s="481"/>
      <c r="B36" s="482"/>
      <c r="C36" s="494" t="s">
        <v>591</v>
      </c>
      <c r="D36" s="494" t="s">
        <v>85</v>
      </c>
      <c r="E36" s="499" t="s">
        <v>88</v>
      </c>
      <c r="F36" s="501">
        <f>55248+183549+25396+225667+26112+20400+296179+19787+194352+194468+19414+186935+43176+208094+42084</f>
        <v>1740861</v>
      </c>
      <c r="G36" s="502" t="s">
        <v>377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</row>
    <row r="37" spans="1:66" s="470" customFormat="1" ht="25.5" customHeight="1" x14ac:dyDescent="0.2">
      <c r="A37" s="488" t="s">
        <v>50</v>
      </c>
      <c r="B37" s="504" t="s">
        <v>592</v>
      </c>
      <c r="C37" s="494"/>
      <c r="D37" s="494"/>
      <c r="E37" s="484" t="s">
        <v>377</v>
      </c>
      <c r="F37" s="486" t="s">
        <v>377</v>
      </c>
      <c r="G37" s="485">
        <f>SUM(G40,G50,G60,G70,G75,G85,G95,G105,G110,G119,G124,G133)</f>
        <v>1740861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</row>
    <row r="38" spans="1:66" s="470" customFormat="1" ht="7.5" customHeight="1" x14ac:dyDescent="0.2">
      <c r="A38" s="481"/>
      <c r="B38" s="482"/>
      <c r="C38" s="506"/>
      <c r="D38" s="494"/>
      <c r="E38" s="494"/>
      <c r="F38" s="495"/>
      <c r="G38" s="496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</row>
    <row r="39" spans="1:66" s="470" customFormat="1" ht="12.75" customHeight="1" x14ac:dyDescent="0.2">
      <c r="A39" s="481"/>
      <c r="B39" s="482"/>
      <c r="C39" s="506"/>
      <c r="D39" s="494"/>
      <c r="E39" s="494"/>
      <c r="F39" s="495"/>
      <c r="G39" s="496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</row>
    <row r="40" spans="1:66" s="470" customFormat="1" ht="15.75" customHeight="1" x14ac:dyDescent="0.2">
      <c r="A40" s="481"/>
      <c r="B40" s="591" t="s">
        <v>28</v>
      </c>
      <c r="C40" s="494" t="s">
        <v>593</v>
      </c>
      <c r="D40" s="494" t="s">
        <v>594</v>
      </c>
      <c r="E40" s="484" t="s">
        <v>377</v>
      </c>
      <c r="F40" s="486" t="s">
        <v>377</v>
      </c>
      <c r="G40" s="485">
        <f>SUM(G42)</f>
        <v>1334476.5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</row>
    <row r="41" spans="1:66" s="470" customFormat="1" ht="7.5" customHeight="1" x14ac:dyDescent="0.2">
      <c r="A41" s="481"/>
      <c r="B41" s="482"/>
      <c r="C41" s="506"/>
      <c r="D41" s="494"/>
      <c r="E41" s="494"/>
      <c r="F41" s="495"/>
      <c r="G41" s="496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</row>
    <row r="42" spans="1:66" s="470" customFormat="1" ht="15.75" customHeight="1" x14ac:dyDescent="0.2">
      <c r="A42" s="481"/>
      <c r="B42" s="482"/>
      <c r="C42" s="506"/>
      <c r="D42" s="494"/>
      <c r="E42" s="494"/>
      <c r="F42" s="495"/>
      <c r="G42" s="590">
        <f>SUM(G43:G48)</f>
        <v>1334476.5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</row>
    <row r="43" spans="1:66" s="470" customFormat="1" ht="15.75" customHeight="1" x14ac:dyDescent="0.2">
      <c r="A43" s="481"/>
      <c r="B43" s="482"/>
      <c r="C43" s="506"/>
      <c r="D43" s="494"/>
      <c r="E43" s="494" t="s">
        <v>193</v>
      </c>
      <c r="F43" s="495" t="s">
        <v>377</v>
      </c>
      <c r="G43" s="496">
        <f>6956.19+152362+982.22+156086.38+560805.41</f>
        <v>877192.20000000007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</row>
    <row r="44" spans="1:66" s="470" customFormat="1" ht="15.75" customHeight="1" x14ac:dyDescent="0.2">
      <c r="A44" s="481"/>
      <c r="B44" s="482"/>
      <c r="C44" s="506"/>
      <c r="D44" s="494"/>
      <c r="E44" s="494" t="s">
        <v>584</v>
      </c>
      <c r="F44" s="495" t="s">
        <v>377</v>
      </c>
      <c r="G44" s="496">
        <f>4832.25+747.09+2550+367+9217.72</f>
        <v>17714.059999999998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</row>
    <row r="45" spans="1:66" s="470" customFormat="1" ht="15.75" customHeight="1" x14ac:dyDescent="0.2">
      <c r="A45" s="481"/>
      <c r="B45" s="482"/>
      <c r="C45" s="506"/>
      <c r="D45" s="494"/>
      <c r="E45" s="494" t="s">
        <v>588</v>
      </c>
      <c r="F45" s="495" t="s">
        <v>377</v>
      </c>
      <c r="G45" s="496">
        <f>23300+23803.29-7052.34+27+10800</f>
        <v>50877.95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</row>
    <row r="46" spans="1:66" s="470" customFormat="1" ht="15.75" customHeight="1" x14ac:dyDescent="0.2">
      <c r="A46" s="481"/>
      <c r="B46" s="482"/>
      <c r="C46" s="506"/>
      <c r="D46" s="494"/>
      <c r="E46" s="494" t="s">
        <v>595</v>
      </c>
      <c r="F46" s="495" t="s">
        <v>377</v>
      </c>
      <c r="G46" s="496">
        <f>212347.85+304328.54+135776.15-179292.49-18060.81+109303.95+122149.3-16250-446490.66</f>
        <v>223811.83000000013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</row>
    <row r="47" spans="1:66" s="470" customFormat="1" ht="15.75" customHeight="1" x14ac:dyDescent="0.2">
      <c r="A47" s="481"/>
      <c r="B47" s="482"/>
      <c r="C47" s="506"/>
      <c r="D47" s="494"/>
      <c r="E47" s="494" t="s">
        <v>589</v>
      </c>
      <c r="F47" s="495" t="s">
        <v>377</v>
      </c>
      <c r="G47" s="496">
        <f>49549.15+79640.81+33183.81-10197.27+57265.18+29666.1-1500-177241.64</f>
        <v>60366.139999999985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</row>
    <row r="48" spans="1:66" s="470" customFormat="1" ht="15.75" customHeight="1" x14ac:dyDescent="0.2">
      <c r="A48" s="481"/>
      <c r="B48" s="482"/>
      <c r="C48" s="506"/>
      <c r="D48" s="494"/>
      <c r="E48" s="494" t="s">
        <v>596</v>
      </c>
      <c r="F48" s="495" t="s">
        <v>377</v>
      </c>
      <c r="G48" s="496">
        <f>40704.02+2176.91+16101.22+1873+43659.17</f>
        <v>104514.31999999999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</row>
    <row r="49" spans="1:66" s="470" customFormat="1" ht="12.75" customHeight="1" x14ac:dyDescent="0.2">
      <c r="A49" s="497"/>
      <c r="B49" s="498"/>
      <c r="C49" s="507"/>
      <c r="D49" s="499"/>
      <c r="E49" s="499"/>
      <c r="F49" s="502"/>
      <c r="G49" s="500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</row>
    <row r="50" spans="1:66" s="470" customFormat="1" ht="21.75" customHeight="1" x14ac:dyDescent="0.2">
      <c r="A50" s="481"/>
      <c r="B50" s="591" t="s">
        <v>28</v>
      </c>
      <c r="C50" s="494" t="s">
        <v>593</v>
      </c>
      <c r="D50" s="494" t="s">
        <v>597</v>
      </c>
      <c r="E50" s="499" t="s">
        <v>377</v>
      </c>
      <c r="F50" s="502" t="s">
        <v>377</v>
      </c>
      <c r="G50" s="501">
        <f>SUM(G52)</f>
        <v>35678.259999999995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</row>
    <row r="51" spans="1:66" s="470" customFormat="1" ht="9.75" customHeight="1" x14ac:dyDescent="0.2">
      <c r="A51" s="481"/>
      <c r="B51" s="482"/>
      <c r="C51" s="506"/>
      <c r="D51" s="494"/>
      <c r="E51" s="494"/>
      <c r="F51" s="495"/>
      <c r="G51" s="496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</row>
    <row r="52" spans="1:66" s="470" customFormat="1" ht="15.75" customHeight="1" x14ac:dyDescent="0.2">
      <c r="A52" s="481"/>
      <c r="B52" s="482"/>
      <c r="C52" s="506"/>
      <c r="D52" s="494"/>
      <c r="E52" s="494"/>
      <c r="F52" s="495"/>
      <c r="G52" s="590">
        <f>SUM(G53:G58)</f>
        <v>35678.259999999995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</row>
    <row r="53" spans="1:66" s="470" customFormat="1" ht="15.75" customHeight="1" x14ac:dyDescent="0.2">
      <c r="A53" s="481"/>
      <c r="B53" s="482"/>
      <c r="C53" s="506"/>
      <c r="D53" s="494"/>
      <c r="E53" s="494" t="s">
        <v>193</v>
      </c>
      <c r="F53" s="495" t="s">
        <v>377</v>
      </c>
      <c r="G53" s="496">
        <f>14000+11786</f>
        <v>25786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66" s="470" customFormat="1" ht="15.75" customHeight="1" x14ac:dyDescent="0.2">
      <c r="A54" s="481"/>
      <c r="B54" s="482"/>
      <c r="C54" s="506"/>
      <c r="D54" s="494"/>
      <c r="E54" s="494" t="s">
        <v>584</v>
      </c>
      <c r="F54" s="495" t="s">
        <v>377</v>
      </c>
      <c r="G54" s="496">
        <f>412.5+250</f>
        <v>662.5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</row>
    <row r="55" spans="1:66" s="470" customFormat="1" ht="15.75" customHeight="1" x14ac:dyDescent="0.2">
      <c r="A55" s="481"/>
      <c r="B55" s="482"/>
      <c r="C55" s="506"/>
      <c r="D55" s="494"/>
      <c r="E55" s="494" t="s">
        <v>588</v>
      </c>
      <c r="F55" s="495" t="s">
        <v>377</v>
      </c>
      <c r="G55" s="496">
        <f>3900-200</f>
        <v>3700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</row>
    <row r="56" spans="1:66" s="470" customFormat="1" ht="15.75" customHeight="1" x14ac:dyDescent="0.2">
      <c r="A56" s="481"/>
      <c r="B56" s="482"/>
      <c r="C56" s="506"/>
      <c r="D56" s="494"/>
      <c r="E56" s="494" t="s">
        <v>595</v>
      </c>
      <c r="F56" s="495" t="s">
        <v>377</v>
      </c>
      <c r="G56" s="496">
        <f>12295-12000+5742.73-2500</f>
        <v>3537.7299999999996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</row>
    <row r="57" spans="1:66" s="470" customFormat="1" ht="15.75" customHeight="1" x14ac:dyDescent="0.2">
      <c r="A57" s="481"/>
      <c r="B57" s="482"/>
      <c r="C57" s="506"/>
      <c r="D57" s="494"/>
      <c r="E57" s="494" t="s">
        <v>589</v>
      </c>
      <c r="F57" s="495" t="s">
        <v>377</v>
      </c>
      <c r="G57" s="496">
        <f>4138.51-2000+1403.52-2000</f>
        <v>1542.0300000000002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</row>
    <row r="58" spans="1:66" s="470" customFormat="1" ht="15.75" customHeight="1" x14ac:dyDescent="0.2">
      <c r="A58" s="481"/>
      <c r="B58" s="482"/>
      <c r="C58" s="506"/>
      <c r="D58" s="494"/>
      <c r="E58" s="494" t="s">
        <v>596</v>
      </c>
      <c r="F58" s="495" t="s">
        <v>377</v>
      </c>
      <c r="G58" s="496">
        <f>200+250</f>
        <v>450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</row>
    <row r="59" spans="1:66" s="470" customFormat="1" ht="9" customHeight="1" x14ac:dyDescent="0.2">
      <c r="A59" s="481"/>
      <c r="B59" s="482"/>
      <c r="C59" s="506"/>
      <c r="D59" s="494"/>
      <c r="E59" s="494"/>
      <c r="F59" s="495"/>
      <c r="G59" s="496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</row>
    <row r="60" spans="1:66" s="470" customFormat="1" ht="15.75" customHeight="1" x14ac:dyDescent="0.2">
      <c r="A60" s="481"/>
      <c r="B60" s="591" t="s">
        <v>28</v>
      </c>
      <c r="C60" s="494" t="s">
        <v>593</v>
      </c>
      <c r="D60" s="494" t="s">
        <v>598</v>
      </c>
      <c r="E60" s="484" t="s">
        <v>377</v>
      </c>
      <c r="F60" s="486" t="s">
        <v>377</v>
      </c>
      <c r="G60" s="485">
        <f>SUM(G62)</f>
        <v>164048.69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</row>
    <row r="61" spans="1:66" s="470" customFormat="1" ht="6.75" customHeight="1" x14ac:dyDescent="0.2">
      <c r="A61" s="481"/>
      <c r="B61" s="482"/>
      <c r="C61" s="506"/>
      <c r="D61" s="494"/>
      <c r="E61" s="494"/>
      <c r="F61" s="495"/>
      <c r="G61" s="496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</row>
    <row r="62" spans="1:66" s="470" customFormat="1" ht="15.75" customHeight="1" x14ac:dyDescent="0.2">
      <c r="A62" s="481"/>
      <c r="B62" s="482"/>
      <c r="C62" s="506"/>
      <c r="D62" s="494"/>
      <c r="E62" s="494"/>
      <c r="F62" s="495"/>
      <c r="G62" s="590">
        <f>SUM(G63:G68)</f>
        <v>164048.69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</row>
    <row r="63" spans="1:66" s="470" customFormat="1" ht="15.75" customHeight="1" x14ac:dyDescent="0.2">
      <c r="A63" s="481"/>
      <c r="B63" s="482"/>
      <c r="C63" s="506"/>
      <c r="D63" s="494"/>
      <c r="E63" s="494" t="s">
        <v>193</v>
      </c>
      <c r="F63" s="495" t="s">
        <v>377</v>
      </c>
      <c r="G63" s="496">
        <f>23691.12+150+18060.81+21399.75+11389.18+37455.25+3702</f>
        <v>115848.11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</row>
    <row r="64" spans="1:66" s="470" customFormat="1" ht="15.75" customHeight="1" x14ac:dyDescent="0.2">
      <c r="A64" s="481"/>
      <c r="B64" s="482"/>
      <c r="C64" s="506"/>
      <c r="D64" s="494"/>
      <c r="E64" s="494" t="s">
        <v>584</v>
      </c>
      <c r="F64" s="495" t="s">
        <v>377</v>
      </c>
      <c r="G64" s="496">
        <f>59.35+5514.25+955.6+12.5</f>
        <v>6541.7000000000007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</row>
    <row r="65" spans="1:66" s="470" customFormat="1" ht="15.75" customHeight="1" x14ac:dyDescent="0.2">
      <c r="A65" s="481"/>
      <c r="B65" s="482"/>
      <c r="C65" s="506"/>
      <c r="D65" s="494"/>
      <c r="E65" s="494" t="s">
        <v>588</v>
      </c>
      <c r="F65" s="495" t="s">
        <v>377</v>
      </c>
      <c r="G65" s="496">
        <f>2000+7149.84-1110.28-1001</f>
        <v>7038.56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</row>
    <row r="66" spans="1:66" s="470" customFormat="1" ht="15.75" customHeight="1" x14ac:dyDescent="0.2">
      <c r="A66" s="481"/>
      <c r="B66" s="482"/>
      <c r="C66" s="506"/>
      <c r="D66" s="494"/>
      <c r="E66" s="494" t="s">
        <v>595</v>
      </c>
      <c r="F66" s="495" t="s">
        <v>377</v>
      </c>
      <c r="G66" s="496">
        <f>20405.04-1481.12+16738.05+920.24-27889.6-3399.91-2973.69</f>
        <v>2319.0100000000007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</row>
    <row r="67" spans="1:66" s="470" customFormat="1" ht="15.75" customHeight="1" x14ac:dyDescent="0.2">
      <c r="A67" s="481"/>
      <c r="B67" s="482"/>
      <c r="C67" s="506"/>
      <c r="D67" s="494"/>
      <c r="E67" s="494" t="s">
        <v>589</v>
      </c>
      <c r="F67" s="495" t="s">
        <v>377</v>
      </c>
      <c r="G67" s="496">
        <f>392.8+1530.93+4987-313.11+8769.5+224.9-9429.06-1511.06-1384.71</f>
        <v>3267.1899999999996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</row>
    <row r="68" spans="1:66" s="470" customFormat="1" ht="15.75" customHeight="1" x14ac:dyDescent="0.2">
      <c r="A68" s="481"/>
      <c r="B68" s="482"/>
      <c r="C68" s="506"/>
      <c r="D68" s="494"/>
      <c r="E68" s="494" t="s">
        <v>596</v>
      </c>
      <c r="F68" s="495" t="s">
        <v>377</v>
      </c>
      <c r="G68" s="496">
        <f>288.06+109.61+20624.29+8118.26-106.1</f>
        <v>29034.120000000003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</row>
    <row r="69" spans="1:66" s="470" customFormat="1" ht="15.75" customHeight="1" x14ac:dyDescent="0.2">
      <c r="A69" s="481"/>
      <c r="B69" s="482"/>
      <c r="C69" s="506"/>
      <c r="D69" s="494"/>
      <c r="E69" s="494"/>
      <c r="F69" s="495"/>
      <c r="G69" s="496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</row>
    <row r="70" spans="1:66" s="470" customFormat="1" ht="15.75" customHeight="1" x14ac:dyDescent="0.2">
      <c r="A70" s="481"/>
      <c r="B70" s="591" t="s">
        <v>26</v>
      </c>
      <c r="C70" s="494" t="s">
        <v>593</v>
      </c>
      <c r="D70" s="494" t="s">
        <v>598</v>
      </c>
      <c r="E70" s="484" t="s">
        <v>377</v>
      </c>
      <c r="F70" s="486" t="s">
        <v>377</v>
      </c>
      <c r="G70" s="485">
        <f>SUM(G72)</f>
        <v>9180.11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</row>
    <row r="71" spans="1:66" s="470" customFormat="1" ht="15.75" customHeight="1" x14ac:dyDescent="0.2">
      <c r="A71" s="481"/>
      <c r="B71" s="482"/>
      <c r="C71" s="506"/>
      <c r="D71" s="494"/>
      <c r="E71" s="494"/>
      <c r="F71" s="495"/>
      <c r="G71" s="496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</row>
    <row r="72" spans="1:66" s="470" customFormat="1" ht="15.75" customHeight="1" x14ac:dyDescent="0.2">
      <c r="A72" s="481"/>
      <c r="B72" s="482"/>
      <c r="C72" s="506"/>
      <c r="D72" s="494"/>
      <c r="E72" s="494"/>
      <c r="F72" s="495"/>
      <c r="G72" s="590">
        <f>SUM(G73)</f>
        <v>9180.11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</row>
    <row r="73" spans="1:66" s="470" customFormat="1" ht="15.75" customHeight="1" x14ac:dyDescent="0.2">
      <c r="A73" s="481"/>
      <c r="B73" s="482"/>
      <c r="C73" s="506"/>
      <c r="D73" s="494"/>
      <c r="E73" s="494" t="s">
        <v>226</v>
      </c>
      <c r="F73" s="495" t="s">
        <v>377</v>
      </c>
      <c r="G73" s="496">
        <f>2391.32+3201.31+3587.48</f>
        <v>9180.11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</row>
    <row r="74" spans="1:66" s="470" customFormat="1" ht="12.75" customHeight="1" x14ac:dyDescent="0.2">
      <c r="A74" s="481"/>
      <c r="B74" s="482"/>
      <c r="C74" s="506"/>
      <c r="D74" s="494"/>
      <c r="E74" s="494"/>
      <c r="F74" s="495"/>
      <c r="G74" s="496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</row>
    <row r="75" spans="1:66" s="470" customFormat="1" ht="15.75" customHeight="1" x14ac:dyDescent="0.2">
      <c r="A75" s="481"/>
      <c r="B75" s="591" t="s">
        <v>28</v>
      </c>
      <c r="C75" s="494" t="s">
        <v>593</v>
      </c>
      <c r="D75" s="494" t="s">
        <v>599</v>
      </c>
      <c r="E75" s="484" t="s">
        <v>377</v>
      </c>
      <c r="F75" s="486" t="s">
        <v>377</v>
      </c>
      <c r="G75" s="485">
        <f>SUM(G77)</f>
        <v>19423.419999999998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</row>
    <row r="76" spans="1:66" s="470" customFormat="1" ht="12" customHeight="1" x14ac:dyDescent="0.2">
      <c r="A76" s="481"/>
      <c r="B76" s="482"/>
      <c r="C76" s="506"/>
      <c r="D76" s="494"/>
      <c r="E76" s="494"/>
      <c r="F76" s="495"/>
      <c r="G76" s="496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</row>
    <row r="77" spans="1:66" s="470" customFormat="1" ht="15.75" customHeight="1" x14ac:dyDescent="0.2">
      <c r="A77" s="481"/>
      <c r="B77" s="482"/>
      <c r="C77" s="506"/>
      <c r="D77" s="494"/>
      <c r="E77" s="494"/>
      <c r="F77" s="495"/>
      <c r="G77" s="590">
        <f>SUM(G78:G83)</f>
        <v>19423.419999999998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</row>
    <row r="78" spans="1:66" s="470" customFormat="1" ht="15.75" customHeight="1" x14ac:dyDescent="0.2">
      <c r="A78" s="481"/>
      <c r="B78" s="482"/>
      <c r="C78" s="506"/>
      <c r="D78" s="494"/>
      <c r="E78" s="494" t="s">
        <v>193</v>
      </c>
      <c r="F78" s="495" t="s">
        <v>377</v>
      </c>
      <c r="G78" s="496">
        <f>8000+10123.42</f>
        <v>18123.419999999998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</row>
    <row r="79" spans="1:66" s="470" customFormat="1" ht="15.75" customHeight="1" x14ac:dyDescent="0.2">
      <c r="A79" s="481"/>
      <c r="B79" s="482"/>
      <c r="C79" s="506"/>
      <c r="D79" s="494"/>
      <c r="E79" s="494" t="s">
        <v>584</v>
      </c>
      <c r="F79" s="495" t="s">
        <v>377</v>
      </c>
      <c r="G79" s="496">
        <f>50+200</f>
        <v>250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</row>
    <row r="80" spans="1:66" s="470" customFormat="1" ht="15.75" customHeight="1" x14ac:dyDescent="0.2">
      <c r="A80" s="481"/>
      <c r="B80" s="482"/>
      <c r="C80" s="506"/>
      <c r="D80" s="494"/>
      <c r="E80" s="494" t="s">
        <v>588</v>
      </c>
      <c r="F80" s="495" t="s">
        <v>377</v>
      </c>
      <c r="G80" s="496">
        <f>3000-3000</f>
        <v>0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</row>
    <row r="81" spans="1:66" s="470" customFormat="1" ht="15.75" customHeight="1" x14ac:dyDescent="0.2">
      <c r="A81" s="481"/>
      <c r="B81" s="482"/>
      <c r="C81" s="506"/>
      <c r="D81" s="494"/>
      <c r="E81" s="494" t="s">
        <v>595</v>
      </c>
      <c r="F81" s="495" t="s">
        <v>377</v>
      </c>
      <c r="G81" s="496">
        <f>5000-5000+4235.95-4235.95</f>
        <v>0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</row>
    <row r="82" spans="1:66" s="470" customFormat="1" ht="15.75" customHeight="1" x14ac:dyDescent="0.2">
      <c r="A82" s="481"/>
      <c r="B82" s="482"/>
      <c r="C82" s="506"/>
      <c r="D82" s="494"/>
      <c r="E82" s="494" t="s">
        <v>589</v>
      </c>
      <c r="F82" s="495" t="s">
        <v>377</v>
      </c>
      <c r="G82" s="496">
        <f>589.2-100+1035.27-1524.47</f>
        <v>0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</row>
    <row r="83" spans="1:66" s="470" customFormat="1" ht="15.75" customHeight="1" x14ac:dyDescent="0.2">
      <c r="A83" s="481"/>
      <c r="B83" s="482"/>
      <c r="C83" s="506"/>
      <c r="D83" s="494"/>
      <c r="E83" s="494" t="s">
        <v>596</v>
      </c>
      <c r="F83" s="495" t="s">
        <v>377</v>
      </c>
      <c r="G83" s="496">
        <f>50+1000</f>
        <v>1050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</row>
    <row r="84" spans="1:66" s="470" customFormat="1" ht="12.75" customHeight="1" x14ac:dyDescent="0.2">
      <c r="A84" s="481"/>
      <c r="B84" s="482"/>
      <c r="C84" s="506"/>
      <c r="D84" s="494"/>
      <c r="E84" s="494"/>
      <c r="F84" s="495"/>
      <c r="G84" s="496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</row>
    <row r="85" spans="1:66" s="470" customFormat="1" ht="15.75" customHeight="1" x14ac:dyDescent="0.2">
      <c r="A85" s="481"/>
      <c r="B85" s="591" t="s">
        <v>28</v>
      </c>
      <c r="C85" s="494" t="s">
        <v>593</v>
      </c>
      <c r="D85" s="494" t="s">
        <v>600</v>
      </c>
      <c r="E85" s="484" t="s">
        <v>377</v>
      </c>
      <c r="F85" s="486" t="s">
        <v>377</v>
      </c>
      <c r="G85" s="485">
        <f>SUM(G87)</f>
        <v>28642.489999999998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</row>
    <row r="86" spans="1:66" s="470" customFormat="1" ht="15.75" customHeight="1" x14ac:dyDescent="0.2">
      <c r="A86" s="481"/>
      <c r="B86" s="482"/>
      <c r="C86" s="506"/>
      <c r="D86" s="494"/>
      <c r="E86" s="494"/>
      <c r="F86" s="495"/>
      <c r="G86" s="496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</row>
    <row r="87" spans="1:66" s="470" customFormat="1" ht="15.75" customHeight="1" x14ac:dyDescent="0.2">
      <c r="A87" s="481"/>
      <c r="B87" s="482"/>
      <c r="C87" s="506"/>
      <c r="D87" s="494"/>
      <c r="E87" s="494"/>
      <c r="F87" s="495"/>
      <c r="G87" s="590">
        <f>SUM(G88:G93)</f>
        <v>28642.489999999998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</row>
    <row r="88" spans="1:66" s="470" customFormat="1" ht="15.75" customHeight="1" x14ac:dyDescent="0.2">
      <c r="A88" s="481"/>
      <c r="B88" s="482"/>
      <c r="C88" s="506"/>
      <c r="D88" s="494"/>
      <c r="E88" s="494" t="s">
        <v>193</v>
      </c>
      <c r="F88" s="495" t="s">
        <v>377</v>
      </c>
      <c r="G88" s="496">
        <f>739-739+5986+5000</f>
        <v>10986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</row>
    <row r="89" spans="1:66" s="470" customFormat="1" ht="15.75" customHeight="1" x14ac:dyDescent="0.2">
      <c r="A89" s="481"/>
      <c r="B89" s="482"/>
      <c r="C89" s="506"/>
      <c r="D89" s="494"/>
      <c r="E89" s="494" t="s">
        <v>584</v>
      </c>
      <c r="F89" s="495" t="s">
        <v>377</v>
      </c>
      <c r="G89" s="496">
        <f>35.47-21.96+85+100</f>
        <v>198.51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</row>
    <row r="90" spans="1:66" s="470" customFormat="1" ht="15.75" customHeight="1" x14ac:dyDescent="0.2">
      <c r="A90" s="481"/>
      <c r="B90" s="482"/>
      <c r="C90" s="506"/>
      <c r="D90" s="494"/>
      <c r="E90" s="494" t="s">
        <v>588</v>
      </c>
      <c r="F90" s="495" t="s">
        <v>377</v>
      </c>
      <c r="G90" s="496">
        <f>60-60</f>
        <v>0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</row>
    <row r="91" spans="1:66" s="470" customFormat="1" ht="15.75" customHeight="1" x14ac:dyDescent="0.2">
      <c r="A91" s="481"/>
      <c r="B91" s="482"/>
      <c r="C91" s="506"/>
      <c r="D91" s="494"/>
      <c r="E91" s="494" t="s">
        <v>595</v>
      </c>
      <c r="F91" s="495" t="s">
        <v>377</v>
      </c>
      <c r="G91" s="496">
        <f>1800+9128.31+742.19-697.01+744.88+4911.4+2070-5860.58</f>
        <v>12839.189999999997</v>
      </c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</row>
    <row r="92" spans="1:66" s="470" customFormat="1" ht="15.75" customHeight="1" x14ac:dyDescent="0.2">
      <c r="A92" s="481"/>
      <c r="B92" s="482"/>
      <c r="C92" s="506"/>
      <c r="D92" s="494"/>
      <c r="E92" s="494" t="s">
        <v>589</v>
      </c>
      <c r="F92" s="495" t="s">
        <v>377</v>
      </c>
      <c r="G92" s="496">
        <f>1021.9+2068.02+181.42-835.95+182.05+1344.34+232-1510.33</f>
        <v>2683.4500000000007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</row>
    <row r="93" spans="1:66" s="470" customFormat="1" ht="15.75" customHeight="1" x14ac:dyDescent="0.2">
      <c r="A93" s="481"/>
      <c r="B93" s="482"/>
      <c r="C93" s="506"/>
      <c r="D93" s="494"/>
      <c r="E93" s="494" t="s">
        <v>596</v>
      </c>
      <c r="F93" s="495" t="s">
        <v>377</v>
      </c>
      <c r="G93" s="496">
        <f>818.49-728.15+645+1200</f>
        <v>1935.3400000000001</v>
      </c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</row>
    <row r="94" spans="1:66" s="470" customFormat="1" ht="15.75" customHeight="1" x14ac:dyDescent="0.2">
      <c r="A94" s="497"/>
      <c r="B94" s="498"/>
      <c r="C94" s="507"/>
      <c r="D94" s="499"/>
      <c r="E94" s="499"/>
      <c r="F94" s="502"/>
      <c r="G94" s="500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</row>
    <row r="95" spans="1:66" s="470" customFormat="1" ht="18" customHeight="1" x14ac:dyDescent="0.2">
      <c r="A95" s="481"/>
      <c r="B95" s="591" t="s">
        <v>28</v>
      </c>
      <c r="C95" s="494" t="s">
        <v>593</v>
      </c>
      <c r="D95" s="494" t="s">
        <v>601</v>
      </c>
      <c r="E95" s="499" t="s">
        <v>377</v>
      </c>
      <c r="F95" s="502" t="s">
        <v>377</v>
      </c>
      <c r="G95" s="501">
        <f>SUM(G97)</f>
        <v>13743.12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</row>
    <row r="96" spans="1:66" s="470" customFormat="1" ht="5.25" customHeight="1" x14ac:dyDescent="0.2">
      <c r="A96" s="481"/>
      <c r="B96" s="482"/>
      <c r="C96" s="506"/>
      <c r="D96" s="494"/>
      <c r="E96" s="494"/>
      <c r="F96" s="495"/>
      <c r="G96" s="496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</row>
    <row r="97" spans="1:66" s="470" customFormat="1" ht="15.75" customHeight="1" x14ac:dyDescent="0.2">
      <c r="A97" s="481"/>
      <c r="B97" s="482"/>
      <c r="C97" s="506"/>
      <c r="D97" s="494"/>
      <c r="E97" s="494"/>
      <c r="F97" s="495"/>
      <c r="G97" s="590">
        <f>SUM(G98:G103)</f>
        <v>13743.12</v>
      </c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</row>
    <row r="98" spans="1:66" s="470" customFormat="1" ht="15.75" customHeight="1" x14ac:dyDescent="0.2">
      <c r="A98" s="481"/>
      <c r="B98" s="482"/>
      <c r="C98" s="506"/>
      <c r="D98" s="494"/>
      <c r="E98" s="494" t="s">
        <v>193</v>
      </c>
      <c r="F98" s="495" t="s">
        <v>377</v>
      </c>
      <c r="G98" s="496">
        <f>357.32+2842.68+2117+2557.7</f>
        <v>7874.7</v>
      </c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</row>
    <row r="99" spans="1:66" s="470" customFormat="1" ht="15.75" customHeight="1" x14ac:dyDescent="0.2">
      <c r="A99" s="481"/>
      <c r="B99" s="482"/>
      <c r="C99" s="506"/>
      <c r="D99" s="494"/>
      <c r="E99" s="494" t="s">
        <v>584</v>
      </c>
      <c r="F99" s="495" t="s">
        <v>377</v>
      </c>
      <c r="G99" s="496">
        <f>11.61+47.27</f>
        <v>58.88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</row>
    <row r="100" spans="1:66" s="470" customFormat="1" ht="15.75" customHeight="1" x14ac:dyDescent="0.2">
      <c r="A100" s="481"/>
      <c r="B100" s="482"/>
      <c r="C100" s="506"/>
      <c r="D100" s="494"/>
      <c r="E100" s="494" t="s">
        <v>588</v>
      </c>
      <c r="F100" s="495" t="s">
        <v>377</v>
      </c>
      <c r="G100" s="496">
        <f>55-55</f>
        <v>0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</row>
    <row r="101" spans="1:66" s="470" customFormat="1" ht="15.75" customHeight="1" x14ac:dyDescent="0.2">
      <c r="A101" s="481"/>
      <c r="B101" s="482"/>
      <c r="C101" s="506"/>
      <c r="D101" s="494"/>
      <c r="E101" s="494" t="s">
        <v>595</v>
      </c>
      <c r="F101" s="495" t="s">
        <v>377</v>
      </c>
      <c r="G101" s="496">
        <f>1562.39+768.26-222.03+770.82+1925.07-1848</f>
        <v>2956.51</v>
      </c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</row>
    <row r="102" spans="1:66" s="470" customFormat="1" ht="15.75" customHeight="1" x14ac:dyDescent="0.2">
      <c r="A102" s="481"/>
      <c r="B102" s="482"/>
      <c r="C102" s="506"/>
      <c r="D102" s="494"/>
      <c r="E102" s="494" t="s">
        <v>589</v>
      </c>
      <c r="F102" s="495" t="s">
        <v>377</v>
      </c>
      <c r="G102" s="496">
        <f>306.66+187.76-80.29+188.39+910.83-965</f>
        <v>548.34999999999991</v>
      </c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</row>
    <row r="103" spans="1:66" s="470" customFormat="1" ht="15.75" customHeight="1" x14ac:dyDescent="0.2">
      <c r="A103" s="481"/>
      <c r="B103" s="482"/>
      <c r="C103" s="506"/>
      <c r="D103" s="494"/>
      <c r="E103" s="494" t="s">
        <v>596</v>
      </c>
      <c r="F103" s="495" t="s">
        <v>377</v>
      </c>
      <c r="G103" s="496">
        <f>1025.74+1278.94</f>
        <v>2304.6800000000003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</row>
    <row r="104" spans="1:66" s="470" customFormat="1" ht="5.25" customHeight="1" x14ac:dyDescent="0.2">
      <c r="A104" s="481"/>
      <c r="B104" s="482"/>
      <c r="C104" s="506"/>
      <c r="D104" s="494"/>
      <c r="E104" s="494"/>
      <c r="F104" s="495"/>
      <c r="G104" s="496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</row>
    <row r="105" spans="1:66" s="470" customFormat="1" ht="15.75" customHeight="1" x14ac:dyDescent="0.2">
      <c r="A105" s="481"/>
      <c r="B105" s="591" t="s">
        <v>26</v>
      </c>
      <c r="C105" s="494" t="s">
        <v>593</v>
      </c>
      <c r="D105" s="494" t="s">
        <v>601</v>
      </c>
      <c r="E105" s="484" t="s">
        <v>377</v>
      </c>
      <c r="F105" s="486" t="s">
        <v>377</v>
      </c>
      <c r="G105" s="485">
        <f>SUM(G107)</f>
        <v>1449.93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</row>
    <row r="106" spans="1:66" s="470" customFormat="1" ht="6" customHeight="1" x14ac:dyDescent="0.2">
      <c r="A106" s="481"/>
      <c r="B106" s="482"/>
      <c r="C106" s="506"/>
      <c r="D106" s="494"/>
      <c r="E106" s="494"/>
      <c r="F106" s="495"/>
      <c r="G106" s="496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</row>
    <row r="107" spans="1:66" s="470" customFormat="1" ht="15.75" customHeight="1" x14ac:dyDescent="0.2">
      <c r="A107" s="481"/>
      <c r="B107" s="482"/>
      <c r="C107" s="506"/>
      <c r="D107" s="494"/>
      <c r="E107" s="494"/>
      <c r="F107" s="495"/>
      <c r="G107" s="590">
        <f>SUM(G108)</f>
        <v>1449.93</v>
      </c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</row>
    <row r="108" spans="1:66" s="470" customFormat="1" ht="15.75" customHeight="1" x14ac:dyDescent="0.2">
      <c r="A108" s="481"/>
      <c r="B108" s="482"/>
      <c r="C108" s="506"/>
      <c r="D108" s="494"/>
      <c r="E108" s="494" t="s">
        <v>226</v>
      </c>
      <c r="F108" s="495" t="s">
        <v>377</v>
      </c>
      <c r="G108" s="496">
        <f>709.34+740.59</f>
        <v>1449.93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</row>
    <row r="109" spans="1:66" s="470" customFormat="1" ht="8.25" customHeight="1" x14ac:dyDescent="0.2">
      <c r="A109" s="481"/>
      <c r="B109" s="482"/>
      <c r="C109" s="506"/>
      <c r="D109" s="494"/>
      <c r="E109" s="494"/>
      <c r="F109" s="495"/>
      <c r="G109" s="496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</row>
    <row r="110" spans="1:66" s="470" customFormat="1" ht="15.75" customHeight="1" x14ac:dyDescent="0.2">
      <c r="A110" s="481"/>
      <c r="B110" s="591" t="s">
        <v>28</v>
      </c>
      <c r="C110" s="494" t="s">
        <v>593</v>
      </c>
      <c r="D110" s="494" t="s">
        <v>602</v>
      </c>
      <c r="E110" s="484" t="s">
        <v>377</v>
      </c>
      <c r="F110" s="486" t="s">
        <v>377</v>
      </c>
      <c r="G110" s="485">
        <f>SUM(G112)</f>
        <v>101991.67999999999</v>
      </c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</row>
    <row r="111" spans="1:66" s="470" customFormat="1" ht="6.75" customHeight="1" x14ac:dyDescent="0.2">
      <c r="A111" s="481"/>
      <c r="B111" s="482"/>
      <c r="C111" s="506"/>
      <c r="D111" s="494"/>
      <c r="E111" s="494"/>
      <c r="F111" s="495"/>
      <c r="G111" s="496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</row>
    <row r="112" spans="1:66" s="470" customFormat="1" ht="15.75" customHeight="1" x14ac:dyDescent="0.2">
      <c r="A112" s="481"/>
      <c r="B112" s="482"/>
      <c r="C112" s="506"/>
      <c r="D112" s="494"/>
      <c r="E112" s="494"/>
      <c r="F112" s="495"/>
      <c r="G112" s="590">
        <f>SUM(G113:G117)</f>
        <v>101991.67999999999</v>
      </c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</row>
    <row r="113" spans="1:66" s="470" customFormat="1" ht="15.75" customHeight="1" x14ac:dyDescent="0.2">
      <c r="A113" s="481"/>
      <c r="B113" s="482"/>
      <c r="C113" s="506"/>
      <c r="D113" s="494"/>
      <c r="E113" s="494" t="s">
        <v>193</v>
      </c>
      <c r="F113" s="495" t="s">
        <v>377</v>
      </c>
      <c r="G113" s="496">
        <f>1500+20459+7726.52+26885</f>
        <v>56570.520000000004</v>
      </c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</row>
    <row r="114" spans="1:66" s="470" customFormat="1" ht="15.75" customHeight="1" x14ac:dyDescent="0.2">
      <c r="A114" s="481"/>
      <c r="B114" s="482"/>
      <c r="C114" s="506"/>
      <c r="D114" s="494"/>
      <c r="E114" s="494" t="s">
        <v>584</v>
      </c>
      <c r="F114" s="495" t="s">
        <v>377</v>
      </c>
      <c r="G114" s="496">
        <f>167.03+150+75+580</f>
        <v>972.03</v>
      </c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</row>
    <row r="115" spans="1:66" s="470" customFormat="1" ht="15.75" customHeight="1" x14ac:dyDescent="0.2">
      <c r="A115" s="481"/>
      <c r="B115" s="482"/>
      <c r="C115" s="506"/>
      <c r="D115" s="494"/>
      <c r="E115" s="494" t="s">
        <v>595</v>
      </c>
      <c r="F115" s="495" t="s">
        <v>377</v>
      </c>
      <c r="G115" s="496">
        <f>13343.1+22918.28+12450.95-19756.38+12141.03+9388.68+2050-22875</f>
        <v>29660.660000000003</v>
      </c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</row>
    <row r="116" spans="1:66" s="470" customFormat="1" ht="15.75" customHeight="1" x14ac:dyDescent="0.2">
      <c r="A116" s="481"/>
      <c r="B116" s="482"/>
      <c r="C116" s="506"/>
      <c r="D116" s="494"/>
      <c r="E116" s="494" t="s">
        <v>589</v>
      </c>
      <c r="F116" s="495" t="s">
        <v>377</v>
      </c>
      <c r="G116" s="496">
        <f>4235+5331.27+3043.01-3894.55+2967.05+2266.79-6190</f>
        <v>7758.57</v>
      </c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</row>
    <row r="117" spans="1:66" s="470" customFormat="1" ht="15.75" customHeight="1" x14ac:dyDescent="0.2">
      <c r="A117" s="481"/>
      <c r="B117" s="482"/>
      <c r="C117" s="506"/>
      <c r="D117" s="494"/>
      <c r="E117" s="494" t="s">
        <v>596</v>
      </c>
      <c r="F117" s="495" t="s">
        <v>377</v>
      </c>
      <c r="G117" s="496">
        <f>3024.9+500+1905+1600</f>
        <v>7029.9</v>
      </c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</row>
    <row r="118" spans="1:66" s="470" customFormat="1" ht="7.5" customHeight="1" x14ac:dyDescent="0.2">
      <c r="A118" s="481"/>
      <c r="B118" s="482"/>
      <c r="C118" s="506"/>
      <c r="D118" s="494"/>
      <c r="E118" s="494"/>
      <c r="F118" s="495"/>
      <c r="G118" s="496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</row>
    <row r="119" spans="1:66" s="470" customFormat="1" ht="15.75" customHeight="1" x14ac:dyDescent="0.2">
      <c r="A119" s="481"/>
      <c r="B119" s="591" t="s">
        <v>26</v>
      </c>
      <c r="C119" s="494" t="s">
        <v>593</v>
      </c>
      <c r="D119" s="494" t="s">
        <v>602</v>
      </c>
      <c r="E119" s="484" t="s">
        <v>377</v>
      </c>
      <c r="F119" s="486" t="s">
        <v>377</v>
      </c>
      <c r="G119" s="485">
        <f>SUM(G121)</f>
        <v>9144.2800000000007</v>
      </c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</row>
    <row r="120" spans="1:66" s="470" customFormat="1" ht="7.5" customHeight="1" x14ac:dyDescent="0.2">
      <c r="A120" s="481"/>
      <c r="B120" s="482"/>
      <c r="C120" s="506"/>
      <c r="D120" s="494"/>
      <c r="E120" s="494"/>
      <c r="F120" s="495"/>
      <c r="G120" s="496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</row>
    <row r="121" spans="1:66" s="470" customFormat="1" ht="15.75" customHeight="1" x14ac:dyDescent="0.2">
      <c r="A121" s="481"/>
      <c r="B121" s="482"/>
      <c r="C121" s="506"/>
      <c r="D121" s="494"/>
      <c r="E121" s="494"/>
      <c r="F121" s="495"/>
      <c r="G121" s="590">
        <f>SUM(G122)</f>
        <v>9144.2800000000007</v>
      </c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</row>
    <row r="122" spans="1:66" s="470" customFormat="1" ht="15.75" customHeight="1" x14ac:dyDescent="0.2">
      <c r="A122" s="481"/>
      <c r="B122" s="482"/>
      <c r="C122" s="506"/>
      <c r="D122" s="494"/>
      <c r="E122" s="494" t="s">
        <v>226</v>
      </c>
      <c r="F122" s="495" t="s">
        <v>377</v>
      </c>
      <c r="G122" s="496">
        <f>4478.39+4665.89</f>
        <v>9144.2800000000007</v>
      </c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</row>
    <row r="123" spans="1:66" s="470" customFormat="1" ht="8.25" customHeight="1" x14ac:dyDescent="0.2">
      <c r="A123" s="497"/>
      <c r="B123" s="498"/>
      <c r="C123" s="507"/>
      <c r="D123" s="499"/>
      <c r="E123" s="499"/>
      <c r="F123" s="502"/>
      <c r="G123" s="500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</row>
    <row r="124" spans="1:66" s="470" customFormat="1" ht="19.5" customHeight="1" x14ac:dyDescent="0.2">
      <c r="A124" s="481"/>
      <c r="B124" s="591" t="s">
        <v>28</v>
      </c>
      <c r="C124" s="494" t="s">
        <v>593</v>
      </c>
      <c r="D124" s="494" t="s">
        <v>603</v>
      </c>
      <c r="E124" s="499" t="s">
        <v>377</v>
      </c>
      <c r="F124" s="502" t="s">
        <v>377</v>
      </c>
      <c r="G124" s="501">
        <f>SUM(G126)</f>
        <v>15934.85</v>
      </c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</row>
    <row r="125" spans="1:66" s="470" customFormat="1" ht="6.75" customHeight="1" x14ac:dyDescent="0.2">
      <c r="A125" s="481"/>
      <c r="B125" s="482"/>
      <c r="C125" s="506"/>
      <c r="D125" s="494"/>
      <c r="E125" s="494"/>
      <c r="F125" s="495"/>
      <c r="G125" s="496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</row>
    <row r="126" spans="1:66" s="470" customFormat="1" ht="15.75" customHeight="1" x14ac:dyDescent="0.2">
      <c r="A126" s="481"/>
      <c r="B126" s="482"/>
      <c r="C126" s="506"/>
      <c r="D126" s="494"/>
      <c r="E126" s="494"/>
      <c r="F126" s="495"/>
      <c r="G126" s="590">
        <f>SUM(G127:G131)</f>
        <v>15934.85</v>
      </c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</row>
    <row r="127" spans="1:66" s="470" customFormat="1" ht="15.75" customHeight="1" x14ac:dyDescent="0.2">
      <c r="A127" s="481"/>
      <c r="B127" s="482"/>
      <c r="C127" s="506"/>
      <c r="D127" s="494"/>
      <c r="E127" s="494" t="s">
        <v>193</v>
      </c>
      <c r="F127" s="495" t="s">
        <v>377</v>
      </c>
      <c r="G127" s="496">
        <f>3600</f>
        <v>3600</v>
      </c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</row>
    <row r="128" spans="1:66" s="470" customFormat="1" ht="15.75" customHeight="1" x14ac:dyDescent="0.2">
      <c r="A128" s="481"/>
      <c r="B128" s="482"/>
      <c r="C128" s="506"/>
      <c r="D128" s="494"/>
      <c r="E128" s="494" t="s">
        <v>584</v>
      </c>
      <c r="F128" s="495" t="s">
        <v>377</v>
      </c>
      <c r="G128" s="496">
        <f>35.28+6.28+40</f>
        <v>81.56</v>
      </c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</row>
    <row r="129" spans="1:66" s="470" customFormat="1" ht="15.75" customHeight="1" x14ac:dyDescent="0.2">
      <c r="A129" s="481"/>
      <c r="B129" s="482"/>
      <c r="C129" s="506"/>
      <c r="D129" s="494"/>
      <c r="E129" s="494" t="s">
        <v>595</v>
      </c>
      <c r="F129" s="495" t="s">
        <v>377</v>
      </c>
      <c r="G129" s="496">
        <f>4177.13+1939.42-717+1944.54+4594.26-3290</f>
        <v>8648.35</v>
      </c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</row>
    <row r="130" spans="1:66" s="470" customFormat="1" ht="15.75" customHeight="1" x14ac:dyDescent="0.2">
      <c r="A130" s="481"/>
      <c r="B130" s="482"/>
      <c r="C130" s="506"/>
      <c r="D130" s="494"/>
      <c r="E130" s="494" t="s">
        <v>589</v>
      </c>
      <c r="F130" s="495" t="s">
        <v>377</v>
      </c>
      <c r="G130" s="496">
        <f>1018.21+473.99+475.24+1160-1350</f>
        <v>1777.44</v>
      </c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</row>
    <row r="131" spans="1:66" s="470" customFormat="1" ht="15.75" customHeight="1" x14ac:dyDescent="0.2">
      <c r="A131" s="481"/>
      <c r="B131" s="482"/>
      <c r="C131" s="506"/>
      <c r="D131" s="494"/>
      <c r="E131" s="494" t="s">
        <v>596</v>
      </c>
      <c r="F131" s="495" t="s">
        <v>377</v>
      </c>
      <c r="G131" s="496">
        <f>681.72+145.78+1000</f>
        <v>1827.5</v>
      </c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</row>
    <row r="132" spans="1:66" s="470" customFormat="1" ht="7.5" customHeight="1" x14ac:dyDescent="0.2">
      <c r="A132" s="497"/>
      <c r="B132" s="498"/>
      <c r="C132" s="507"/>
      <c r="D132" s="499"/>
      <c r="E132" s="499"/>
      <c r="F132" s="502"/>
      <c r="G132" s="500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</row>
    <row r="133" spans="1:66" s="470" customFormat="1" ht="15.75" customHeight="1" x14ac:dyDescent="0.2">
      <c r="A133" s="481"/>
      <c r="B133" s="591" t="s">
        <v>28</v>
      </c>
      <c r="C133" s="494" t="s">
        <v>604</v>
      </c>
      <c r="D133" s="494" t="s">
        <v>605</v>
      </c>
      <c r="E133" s="499" t="s">
        <v>377</v>
      </c>
      <c r="F133" s="502" t="s">
        <v>377</v>
      </c>
      <c r="G133" s="501">
        <f>SUM(G135)</f>
        <v>7147.67</v>
      </c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</row>
    <row r="134" spans="1:66" s="470" customFormat="1" ht="5.25" customHeight="1" x14ac:dyDescent="0.2">
      <c r="A134" s="481"/>
      <c r="B134" s="482"/>
      <c r="C134" s="506"/>
      <c r="D134" s="494"/>
      <c r="E134" s="494"/>
      <c r="F134" s="495"/>
      <c r="G134" s="496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</row>
    <row r="135" spans="1:66" s="470" customFormat="1" ht="15.75" customHeight="1" x14ac:dyDescent="0.2">
      <c r="A135" s="481"/>
      <c r="B135" s="482"/>
      <c r="C135" s="506"/>
      <c r="D135" s="494"/>
      <c r="E135" s="494"/>
      <c r="F135" s="495"/>
      <c r="G135" s="590">
        <f>SUM(G136:G138)</f>
        <v>7147.67</v>
      </c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</row>
    <row r="136" spans="1:66" s="470" customFormat="1" ht="15.75" customHeight="1" x14ac:dyDescent="0.2">
      <c r="A136" s="481"/>
      <c r="B136" s="482"/>
      <c r="C136" s="506"/>
      <c r="D136" s="494"/>
      <c r="E136" s="494" t="s">
        <v>193</v>
      </c>
      <c r="F136" s="495" t="s">
        <v>377</v>
      </c>
      <c r="G136" s="496">
        <v>1147.67</v>
      </c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</row>
    <row r="137" spans="1:66" s="470" customFormat="1" ht="15.75" customHeight="1" x14ac:dyDescent="0.2">
      <c r="A137" s="481"/>
      <c r="B137" s="482"/>
      <c r="C137" s="506"/>
      <c r="D137" s="494"/>
      <c r="E137" s="494" t="s">
        <v>584</v>
      </c>
      <c r="F137" s="495" t="s">
        <v>377</v>
      </c>
      <c r="G137" s="496">
        <v>1000</v>
      </c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</row>
    <row r="138" spans="1:66" s="470" customFormat="1" ht="15.75" customHeight="1" x14ac:dyDescent="0.2">
      <c r="A138" s="481"/>
      <c r="B138" s="482"/>
      <c r="C138" s="506"/>
      <c r="D138" s="494"/>
      <c r="E138" s="494" t="s">
        <v>596</v>
      </c>
      <c r="F138" s="495" t="s">
        <v>377</v>
      </c>
      <c r="G138" s="496">
        <v>5000</v>
      </c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</row>
    <row r="139" spans="1:66" s="470" customFormat="1" ht="7.5" customHeight="1" x14ac:dyDescent="0.2">
      <c r="A139" s="497"/>
      <c r="B139" s="498"/>
      <c r="C139" s="507"/>
      <c r="D139" s="499"/>
      <c r="E139" s="499"/>
      <c r="F139" s="502"/>
      <c r="G139" s="500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</row>
    <row r="140" spans="1:66" s="470" customFormat="1" ht="15.75" customHeight="1" x14ac:dyDescent="0.2">
      <c r="A140" s="481"/>
      <c r="B140" s="482"/>
      <c r="C140" s="494"/>
      <c r="D140" s="494"/>
      <c r="E140" s="499" t="s">
        <v>88</v>
      </c>
      <c r="F140" s="501">
        <f>6242.96+5773.4+1431.89+1201.64+991.36+1111.52+78.39+980.67</f>
        <v>17811.829999999998</v>
      </c>
      <c r="G140" s="502" t="s">
        <v>377</v>
      </c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</row>
    <row r="141" spans="1:66" s="470" customFormat="1" ht="24" customHeight="1" x14ac:dyDescent="0.2">
      <c r="A141" s="488" t="s">
        <v>52</v>
      </c>
      <c r="B141" s="508" t="s">
        <v>606</v>
      </c>
      <c r="C141" s="494" t="s">
        <v>607</v>
      </c>
      <c r="D141" s="494" t="s">
        <v>608</v>
      </c>
      <c r="E141" s="484" t="s">
        <v>377</v>
      </c>
      <c r="F141" s="486" t="s">
        <v>377</v>
      </c>
      <c r="G141" s="485">
        <f>SUM(G143)</f>
        <v>17811.830000000002</v>
      </c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</row>
    <row r="142" spans="1:66" s="470" customFormat="1" ht="6.75" customHeight="1" x14ac:dyDescent="0.2">
      <c r="A142" s="481"/>
      <c r="B142" s="505"/>
      <c r="C142" s="494"/>
      <c r="D142" s="494"/>
      <c r="E142" s="494"/>
      <c r="F142" s="495"/>
      <c r="G142" s="590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</row>
    <row r="143" spans="1:66" s="470" customFormat="1" ht="15.75" customHeight="1" x14ac:dyDescent="0.2">
      <c r="A143" s="481"/>
      <c r="B143" s="591" t="s">
        <v>308</v>
      </c>
      <c r="C143" s="494"/>
      <c r="D143" s="494"/>
      <c r="E143" s="494"/>
      <c r="F143" s="495"/>
      <c r="G143" s="590">
        <f>SUM(G144:G145)</f>
        <v>17811.830000000002</v>
      </c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</row>
    <row r="144" spans="1:66" s="470" customFormat="1" ht="15.75" customHeight="1" x14ac:dyDescent="0.2">
      <c r="A144" s="481"/>
      <c r="B144" s="482"/>
      <c r="C144" s="506"/>
      <c r="D144" s="494"/>
      <c r="E144" s="494" t="s">
        <v>588</v>
      </c>
      <c r="F144" s="495" t="s">
        <v>377</v>
      </c>
      <c r="G144" s="496">
        <f>1004.38+11240.6+828.62+994.57+819.68</f>
        <v>14887.85</v>
      </c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</row>
    <row r="145" spans="1:66" s="470" customFormat="1" ht="15.75" customHeight="1" x14ac:dyDescent="0.2">
      <c r="A145" s="481"/>
      <c r="B145" s="482"/>
      <c r="C145" s="506"/>
      <c r="D145" s="494"/>
      <c r="E145" s="494" t="s">
        <v>589</v>
      </c>
      <c r="F145" s="495" t="s">
        <v>377</v>
      </c>
      <c r="G145" s="496">
        <f>197.26+2207.65+162.74+195.34+160.99</f>
        <v>2923.9799999999996</v>
      </c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</row>
    <row r="146" spans="1:66" s="470" customFormat="1" ht="6.75" customHeight="1" x14ac:dyDescent="0.2">
      <c r="A146" s="497"/>
      <c r="B146" s="498"/>
      <c r="C146" s="507"/>
      <c r="D146" s="499"/>
      <c r="E146" s="499"/>
      <c r="F146" s="502"/>
      <c r="G146" s="500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</row>
    <row r="147" spans="1:66" s="470" customFormat="1" ht="15.75" customHeight="1" x14ac:dyDescent="0.2">
      <c r="A147" s="481"/>
      <c r="B147" s="482"/>
      <c r="C147" s="494"/>
      <c r="D147" s="494"/>
      <c r="E147" s="499" t="s">
        <v>88</v>
      </c>
      <c r="F147" s="501">
        <f>193360+150000+300000+1504+122160+1824+289960+50000+4384+2816+100000+171240+484680+100000+26320+704+183000+30000+752</f>
        <v>2212704</v>
      </c>
      <c r="G147" s="502" t="s">
        <v>377</v>
      </c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</row>
    <row r="148" spans="1:66" s="470" customFormat="1" ht="25.5" customHeight="1" x14ac:dyDescent="0.2">
      <c r="A148" s="488" t="s">
        <v>54</v>
      </c>
      <c r="B148" s="504" t="s">
        <v>609</v>
      </c>
      <c r="C148" s="494" t="s">
        <v>610</v>
      </c>
      <c r="D148" s="494" t="s">
        <v>611</v>
      </c>
      <c r="E148" s="484" t="s">
        <v>377</v>
      </c>
      <c r="F148" s="486" t="s">
        <v>377</v>
      </c>
      <c r="G148" s="485">
        <f>SUM(G150)</f>
        <v>2212704</v>
      </c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</row>
    <row r="149" spans="1:66" s="470" customFormat="1" ht="10.5" customHeight="1" x14ac:dyDescent="0.2">
      <c r="A149" s="481"/>
      <c r="B149" s="505"/>
      <c r="C149" s="494"/>
      <c r="D149" s="494"/>
      <c r="E149" s="494"/>
      <c r="F149" s="495"/>
      <c r="G149" s="590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</row>
    <row r="150" spans="1:66" s="470" customFormat="1" ht="15.75" customHeight="1" x14ac:dyDescent="0.2">
      <c r="A150" s="481"/>
      <c r="B150" s="591" t="s">
        <v>263</v>
      </c>
      <c r="C150" s="494"/>
      <c r="D150" s="494"/>
      <c r="E150" s="494"/>
      <c r="F150" s="495"/>
      <c r="G150" s="590">
        <f>SUM(G151:G153)</f>
        <v>2212704</v>
      </c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</row>
    <row r="151" spans="1:66" s="470" customFormat="1" ht="15.75" customHeight="1" x14ac:dyDescent="0.2">
      <c r="A151" s="481"/>
      <c r="B151" s="482"/>
      <c r="C151" s="506"/>
      <c r="D151" s="494"/>
      <c r="E151" s="494" t="s">
        <v>612</v>
      </c>
      <c r="F151" s="495" t="s">
        <v>377</v>
      </c>
      <c r="G151" s="496">
        <f>1055480+50000+100000+655920+126320+30000+183000</f>
        <v>2200720</v>
      </c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</row>
    <row r="152" spans="1:66" s="470" customFormat="1" ht="15.75" customHeight="1" x14ac:dyDescent="0.2">
      <c r="A152" s="481"/>
      <c r="B152" s="482"/>
      <c r="C152" s="506"/>
      <c r="D152" s="494"/>
      <c r="E152" s="494" t="s">
        <v>588</v>
      </c>
      <c r="F152" s="495" t="s">
        <v>377</v>
      </c>
      <c r="G152" s="513">
        <f>2774+3656+2348+587+628</f>
        <v>9993</v>
      </c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</row>
    <row r="153" spans="1:66" s="470" customFormat="1" ht="15.75" customHeight="1" x14ac:dyDescent="0.2">
      <c r="A153" s="481"/>
      <c r="B153" s="482"/>
      <c r="C153" s="506"/>
      <c r="D153" s="494"/>
      <c r="E153" s="494" t="s">
        <v>589</v>
      </c>
      <c r="F153" s="495" t="s">
        <v>377</v>
      </c>
      <c r="G153" s="496">
        <f>485+69+728+468+117+124</f>
        <v>1991</v>
      </c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</row>
    <row r="154" spans="1:66" s="470" customFormat="1" ht="11.25" customHeight="1" x14ac:dyDescent="0.2">
      <c r="A154" s="497"/>
      <c r="B154" s="498"/>
      <c r="C154" s="507"/>
      <c r="D154" s="499"/>
      <c r="E154" s="499"/>
      <c r="F154" s="502"/>
      <c r="G154" s="500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</row>
    <row r="155" spans="1:66" s="470" customFormat="1" ht="15.75" customHeight="1" x14ac:dyDescent="0.2">
      <c r="A155" s="481"/>
      <c r="B155" s="482"/>
      <c r="C155" s="494"/>
      <c r="D155" s="494"/>
      <c r="E155" s="499" t="s">
        <v>88</v>
      </c>
      <c r="F155" s="501">
        <f>195780+264660+288000+244500+215100+228420+243810</f>
        <v>1680270</v>
      </c>
      <c r="G155" s="502" t="s">
        <v>377</v>
      </c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</row>
    <row r="156" spans="1:66" s="470" customFormat="1" ht="23.25" customHeight="1" x14ac:dyDescent="0.2">
      <c r="A156" s="488" t="s">
        <v>56</v>
      </c>
      <c r="B156" s="504" t="s">
        <v>613</v>
      </c>
      <c r="C156" s="494" t="s">
        <v>610</v>
      </c>
      <c r="D156" s="494" t="s">
        <v>611</v>
      </c>
      <c r="E156" s="484" t="s">
        <v>377</v>
      </c>
      <c r="F156" s="486" t="s">
        <v>377</v>
      </c>
      <c r="G156" s="485">
        <f>SUM(G158,G161,G166)</f>
        <v>1680269.9999999998</v>
      </c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</row>
    <row r="157" spans="1:66" s="470" customFormat="1" ht="9.75" customHeight="1" x14ac:dyDescent="0.2">
      <c r="A157" s="481"/>
      <c r="B157" s="505"/>
      <c r="C157" s="494"/>
      <c r="D157" s="494"/>
      <c r="E157" s="494"/>
      <c r="F157" s="495"/>
      <c r="G157" s="590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</row>
    <row r="158" spans="1:66" s="470" customFormat="1" ht="25.5" customHeight="1" x14ac:dyDescent="0.2">
      <c r="A158" s="481"/>
      <c r="B158" s="598" t="s">
        <v>83</v>
      </c>
      <c r="C158" s="494"/>
      <c r="D158" s="494"/>
      <c r="E158" s="494"/>
      <c r="F158" s="495"/>
      <c r="G158" s="590">
        <f>SUM(G159:G159)</f>
        <v>1505766.7699999998</v>
      </c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</row>
    <row r="159" spans="1:66" s="470" customFormat="1" ht="15.75" customHeight="1" x14ac:dyDescent="0.2">
      <c r="A159" s="481"/>
      <c r="B159" s="482"/>
      <c r="C159" s="506"/>
      <c r="D159" s="494"/>
      <c r="E159" s="494" t="s">
        <v>584</v>
      </c>
      <c r="F159" s="495" t="s">
        <v>377</v>
      </c>
      <c r="G159" s="496">
        <f>288000+431742.16-40114.41+244500-23763.41-31053.45-20867.56-30006.56+443520+243810</f>
        <v>1505766.7699999998</v>
      </c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</row>
    <row r="160" spans="1:66" s="470" customFormat="1" ht="7.5" customHeight="1" x14ac:dyDescent="0.2">
      <c r="A160" s="497"/>
      <c r="B160" s="498"/>
      <c r="C160" s="507"/>
      <c r="D160" s="499"/>
      <c r="E160" s="499"/>
      <c r="F160" s="502"/>
      <c r="G160" s="500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</row>
    <row r="161" spans="1:66" s="470" customFormat="1" ht="19.5" customHeight="1" x14ac:dyDescent="0.2">
      <c r="A161" s="481"/>
      <c r="B161" s="591" t="s">
        <v>180</v>
      </c>
      <c r="C161" s="494"/>
      <c r="D161" s="494"/>
      <c r="E161" s="494"/>
      <c r="F161" s="495"/>
      <c r="G161" s="590">
        <f>SUM(G162:G164)</f>
        <v>174189.53999999998</v>
      </c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</row>
    <row r="162" spans="1:66" s="470" customFormat="1" ht="15.75" customHeight="1" x14ac:dyDescent="0.2">
      <c r="A162" s="481"/>
      <c r="B162" s="591"/>
      <c r="C162" s="506"/>
      <c r="D162" s="494"/>
      <c r="E162" s="494" t="s">
        <v>193</v>
      </c>
      <c r="F162" s="495" t="s">
        <v>377</v>
      </c>
      <c r="G162" s="496">
        <v>386.17</v>
      </c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</row>
    <row r="163" spans="1:66" s="470" customFormat="1" ht="15.75" customHeight="1" x14ac:dyDescent="0.2">
      <c r="A163" s="481"/>
      <c r="B163" s="482"/>
      <c r="C163" s="506"/>
      <c r="D163" s="494"/>
      <c r="E163" s="494" t="s">
        <v>584</v>
      </c>
      <c r="F163" s="495" t="s">
        <v>377</v>
      </c>
      <c r="G163" s="496">
        <f>2056.23+12473.87+3535.72+7349.78+3282.57+3054.8</f>
        <v>31752.969999999998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</row>
    <row r="164" spans="1:66" s="470" customFormat="1" ht="15.75" customHeight="1" x14ac:dyDescent="0.2">
      <c r="A164" s="481"/>
      <c r="B164" s="482"/>
      <c r="C164" s="506"/>
      <c r="D164" s="494"/>
      <c r="E164" s="494" t="s">
        <v>596</v>
      </c>
      <c r="F164" s="495" t="s">
        <v>377</v>
      </c>
      <c r="G164" s="496">
        <f>26641.61+27326.85+19841.52+23703.67+17584.99+26951.76</f>
        <v>142050.4</v>
      </c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</row>
    <row r="165" spans="1:66" s="470" customFormat="1" ht="15.75" customHeight="1" x14ac:dyDescent="0.2">
      <c r="A165" s="481"/>
      <c r="B165" s="482"/>
      <c r="C165" s="506"/>
      <c r="D165" s="494"/>
      <c r="E165" s="494"/>
      <c r="F165" s="495"/>
      <c r="G165" s="496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</row>
    <row r="166" spans="1:66" s="470" customFormat="1" ht="25.5" customHeight="1" x14ac:dyDescent="0.2">
      <c r="A166" s="481"/>
      <c r="B166" s="598" t="s">
        <v>614</v>
      </c>
      <c r="C166" s="494"/>
      <c r="D166" s="494"/>
      <c r="E166" s="494"/>
      <c r="F166" s="495"/>
      <c r="G166" s="590">
        <f>SUM(G167:G167)</f>
        <v>313.69</v>
      </c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</row>
    <row r="167" spans="1:66" s="470" customFormat="1" ht="15.75" customHeight="1" x14ac:dyDescent="0.2">
      <c r="A167" s="481"/>
      <c r="B167" s="482"/>
      <c r="C167" s="506"/>
      <c r="D167" s="494"/>
      <c r="E167" s="494" t="s">
        <v>193</v>
      </c>
      <c r="F167" s="495" t="s">
        <v>377</v>
      </c>
      <c r="G167" s="496">
        <v>313.69</v>
      </c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</row>
    <row r="168" spans="1:66" s="470" customFormat="1" ht="7.5" customHeight="1" x14ac:dyDescent="0.2">
      <c r="A168" s="497"/>
      <c r="B168" s="498"/>
      <c r="C168" s="507"/>
      <c r="D168" s="499"/>
      <c r="E168" s="499"/>
      <c r="F168" s="502"/>
      <c r="G168" s="500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</row>
    <row r="169" spans="1:66" s="470" customFormat="1" ht="15.75" customHeight="1" x14ac:dyDescent="0.2">
      <c r="A169" s="481"/>
      <c r="B169" s="482"/>
      <c r="C169" s="494"/>
      <c r="D169" s="494"/>
      <c r="E169" s="499" t="s">
        <v>88</v>
      </c>
      <c r="F169" s="501">
        <v>295.87</v>
      </c>
      <c r="G169" s="502" t="s">
        <v>377</v>
      </c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</row>
    <row r="170" spans="1:66" s="470" customFormat="1" ht="24" customHeight="1" x14ac:dyDescent="0.2">
      <c r="A170" s="488" t="s">
        <v>58</v>
      </c>
      <c r="B170" s="504" t="s">
        <v>615</v>
      </c>
      <c r="C170" s="494" t="s">
        <v>547</v>
      </c>
      <c r="D170" s="494" t="s">
        <v>616</v>
      </c>
      <c r="E170" s="484" t="s">
        <v>377</v>
      </c>
      <c r="F170" s="486" t="s">
        <v>377</v>
      </c>
      <c r="G170" s="485">
        <f>SUM(G172)</f>
        <v>295.87</v>
      </c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</row>
    <row r="171" spans="1:66" s="470" customFormat="1" ht="9" customHeight="1" x14ac:dyDescent="0.2">
      <c r="A171" s="481"/>
      <c r="B171" s="505"/>
      <c r="C171" s="494"/>
      <c r="D171" s="494"/>
      <c r="E171" s="494"/>
      <c r="F171" s="495"/>
      <c r="G171" s="590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</row>
    <row r="172" spans="1:66" s="470" customFormat="1" ht="15.75" customHeight="1" x14ac:dyDescent="0.2">
      <c r="A172" s="481"/>
      <c r="B172" s="598" t="s">
        <v>206</v>
      </c>
      <c r="C172" s="494"/>
      <c r="D172" s="494"/>
      <c r="E172" s="494"/>
      <c r="F172" s="495"/>
      <c r="G172" s="590">
        <f>SUM(G173:G173)</f>
        <v>295.87</v>
      </c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</row>
    <row r="173" spans="1:66" s="470" customFormat="1" ht="15.75" customHeight="1" x14ac:dyDescent="0.2">
      <c r="A173" s="481"/>
      <c r="B173" s="482"/>
      <c r="C173" s="494"/>
      <c r="D173" s="494"/>
      <c r="E173" s="494" t="s">
        <v>193</v>
      </c>
      <c r="F173" s="495" t="s">
        <v>377</v>
      </c>
      <c r="G173" s="496">
        <v>295.87</v>
      </c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</row>
    <row r="174" spans="1:66" s="470" customFormat="1" ht="15.75" customHeight="1" x14ac:dyDescent="0.2">
      <c r="A174" s="497"/>
      <c r="B174" s="498"/>
      <c r="C174" s="507"/>
      <c r="D174" s="499"/>
      <c r="E174" s="499"/>
      <c r="F174" s="502"/>
      <c r="G174" s="500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</row>
    <row r="175" spans="1:66" s="470" customFormat="1" ht="15.75" customHeight="1" x14ac:dyDescent="0.2">
      <c r="A175" s="481"/>
      <c r="B175" s="482"/>
      <c r="C175" s="494"/>
      <c r="D175" s="494"/>
      <c r="E175" s="499" t="s">
        <v>88</v>
      </c>
      <c r="F175" s="501">
        <v>1050</v>
      </c>
      <c r="G175" s="502" t="s">
        <v>377</v>
      </c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</row>
    <row r="176" spans="1:66" s="470" customFormat="1" ht="48" customHeight="1" x14ac:dyDescent="0.2">
      <c r="A176" s="488" t="s">
        <v>60</v>
      </c>
      <c r="B176" s="504" t="s">
        <v>617</v>
      </c>
      <c r="C176" s="494" t="s">
        <v>572</v>
      </c>
      <c r="D176" s="494" t="s">
        <v>618</v>
      </c>
      <c r="E176" s="484" t="s">
        <v>377</v>
      </c>
      <c r="F176" s="486" t="s">
        <v>377</v>
      </c>
      <c r="G176" s="485">
        <f>SUM(G178)</f>
        <v>1050</v>
      </c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</row>
    <row r="177" spans="1:66" s="470" customFormat="1" ht="15.75" customHeight="1" x14ac:dyDescent="0.2">
      <c r="A177" s="481"/>
      <c r="B177" s="482"/>
      <c r="C177" s="506"/>
      <c r="D177" s="494"/>
      <c r="E177" s="494"/>
      <c r="F177" s="495"/>
      <c r="G177" s="496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</row>
    <row r="178" spans="1:66" s="470" customFormat="1" ht="26.25" customHeight="1" x14ac:dyDescent="0.2">
      <c r="A178" s="481"/>
      <c r="B178" s="598" t="s">
        <v>619</v>
      </c>
      <c r="C178" s="494"/>
      <c r="D178" s="494"/>
      <c r="E178" s="494"/>
      <c r="F178" s="495"/>
      <c r="G178" s="590">
        <f>SUM(G179:G179)</f>
        <v>1050</v>
      </c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</row>
    <row r="179" spans="1:66" s="470" customFormat="1" ht="15.75" customHeight="1" x14ac:dyDescent="0.2">
      <c r="A179" s="481"/>
      <c r="B179" s="482"/>
      <c r="C179" s="494"/>
      <c r="D179" s="494"/>
      <c r="E179" s="494" t="s">
        <v>193</v>
      </c>
      <c r="F179" s="495" t="s">
        <v>377</v>
      </c>
      <c r="G179" s="496">
        <v>1050</v>
      </c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</row>
    <row r="180" spans="1:66" s="470" customFormat="1" ht="15.75" customHeight="1" x14ac:dyDescent="0.2">
      <c r="A180" s="497"/>
      <c r="B180" s="498"/>
      <c r="C180" s="507"/>
      <c r="D180" s="499"/>
      <c r="E180" s="499"/>
      <c r="F180" s="502"/>
      <c r="G180" s="500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</row>
    <row r="181" spans="1:66" s="470" customFormat="1" ht="15.75" customHeight="1" x14ac:dyDescent="0.2">
      <c r="A181" s="481"/>
      <c r="B181" s="482"/>
      <c r="C181" s="494"/>
      <c r="D181" s="494"/>
      <c r="E181" s="499" t="s">
        <v>88</v>
      </c>
      <c r="F181" s="501">
        <f>717+713+330+1050</f>
        <v>2810</v>
      </c>
      <c r="G181" s="502" t="s">
        <v>377</v>
      </c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</row>
    <row r="182" spans="1:66" s="470" customFormat="1" ht="15.75" customHeight="1" x14ac:dyDescent="0.2">
      <c r="A182" s="488" t="s">
        <v>536</v>
      </c>
      <c r="B182" s="508" t="s">
        <v>620</v>
      </c>
      <c r="C182" s="494" t="s">
        <v>267</v>
      </c>
      <c r="D182" s="494" t="s">
        <v>621</v>
      </c>
      <c r="E182" s="484" t="s">
        <v>377</v>
      </c>
      <c r="F182" s="486" t="s">
        <v>377</v>
      </c>
      <c r="G182" s="485">
        <f>SUM(G184)</f>
        <v>2810</v>
      </c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</row>
    <row r="183" spans="1:66" s="470" customFormat="1" ht="15.75" customHeight="1" x14ac:dyDescent="0.2">
      <c r="A183" s="481"/>
      <c r="B183" s="505"/>
      <c r="C183" s="494"/>
      <c r="D183" s="494"/>
      <c r="E183" s="494"/>
      <c r="F183" s="495"/>
      <c r="G183" s="590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</row>
    <row r="184" spans="1:66" s="470" customFormat="1" ht="15.75" customHeight="1" x14ac:dyDescent="0.2">
      <c r="A184" s="481"/>
      <c r="B184" s="591" t="s">
        <v>263</v>
      </c>
      <c r="C184" s="494"/>
      <c r="D184" s="494"/>
      <c r="E184" s="494"/>
      <c r="F184" s="495"/>
      <c r="G184" s="590">
        <f>SUM(G185:G185)</f>
        <v>2810</v>
      </c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</row>
    <row r="185" spans="1:66" s="470" customFormat="1" ht="15.75" customHeight="1" x14ac:dyDescent="0.2">
      <c r="A185" s="481"/>
      <c r="B185" s="482"/>
      <c r="C185" s="506"/>
      <c r="D185" s="494"/>
      <c r="E185" s="494" t="s">
        <v>583</v>
      </c>
      <c r="F185" s="495" t="s">
        <v>377</v>
      </c>
      <c r="G185" s="496">
        <f>717+713+330+1050</f>
        <v>2810</v>
      </c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</row>
    <row r="186" spans="1:66" s="470" customFormat="1" ht="15.75" customHeight="1" x14ac:dyDescent="0.2">
      <c r="A186" s="497"/>
      <c r="B186" s="498"/>
      <c r="C186" s="507"/>
      <c r="D186" s="499"/>
      <c r="E186" s="499"/>
      <c r="F186" s="502"/>
      <c r="G186" s="500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</row>
    <row r="187" spans="1:66" s="470" customFormat="1" ht="15.75" customHeight="1" x14ac:dyDescent="0.2">
      <c r="A187" s="481"/>
      <c r="B187" s="482"/>
      <c r="C187" s="506"/>
      <c r="D187" s="494"/>
      <c r="E187" s="494"/>
      <c r="F187" s="495"/>
      <c r="G187" s="496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</row>
    <row r="188" spans="1:66" s="470" customFormat="1" ht="15.75" customHeight="1" x14ac:dyDescent="0.2">
      <c r="A188" s="481"/>
      <c r="B188" s="482"/>
      <c r="C188" s="494"/>
      <c r="D188" s="494"/>
      <c r="E188" s="499" t="s">
        <v>88</v>
      </c>
      <c r="F188" s="501">
        <v>110000</v>
      </c>
      <c r="G188" s="502" t="s">
        <v>377</v>
      </c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</row>
    <row r="189" spans="1:66" s="470" customFormat="1" ht="15.75" customHeight="1" x14ac:dyDescent="0.2">
      <c r="A189" s="488" t="s">
        <v>539</v>
      </c>
      <c r="B189" s="508" t="s">
        <v>622</v>
      </c>
      <c r="C189" s="494" t="s">
        <v>604</v>
      </c>
      <c r="D189" s="494" t="s">
        <v>623</v>
      </c>
      <c r="E189" s="484" t="s">
        <v>377</v>
      </c>
      <c r="F189" s="486" t="s">
        <v>377</v>
      </c>
      <c r="G189" s="485">
        <f>SUM(G191)</f>
        <v>110000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</row>
    <row r="190" spans="1:66" s="470" customFormat="1" ht="15.75" customHeight="1" x14ac:dyDescent="0.2">
      <c r="A190" s="481"/>
      <c r="B190" s="505"/>
      <c r="C190" s="494"/>
      <c r="D190" s="494"/>
      <c r="E190" s="494"/>
      <c r="F190" s="495"/>
      <c r="G190" s="590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</row>
    <row r="191" spans="1:66" s="470" customFormat="1" ht="15.75" customHeight="1" x14ac:dyDescent="0.2">
      <c r="A191" s="481"/>
      <c r="B191" s="591" t="s">
        <v>26</v>
      </c>
      <c r="C191" s="494"/>
      <c r="D191" s="494"/>
      <c r="E191" s="494"/>
      <c r="F191" s="495"/>
      <c r="G191" s="590">
        <f>SUM(G192:G192)</f>
        <v>110000</v>
      </c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</row>
    <row r="192" spans="1:66" s="470" customFormat="1" ht="15.75" customHeight="1" x14ac:dyDescent="0.2">
      <c r="A192" s="481"/>
      <c r="B192" s="482"/>
      <c r="C192" s="506"/>
      <c r="D192" s="494"/>
      <c r="E192" s="494" t="s">
        <v>583</v>
      </c>
      <c r="F192" s="495" t="s">
        <v>377</v>
      </c>
      <c r="G192" s="496">
        <v>110000</v>
      </c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</row>
    <row r="193" spans="1:66" s="477" customFormat="1" ht="15.75" customHeight="1" x14ac:dyDescent="0.2">
      <c r="A193" s="497"/>
      <c r="B193" s="498"/>
      <c r="C193" s="507"/>
      <c r="D193" s="499"/>
      <c r="E193" s="499"/>
      <c r="F193" s="502"/>
      <c r="G193" s="500"/>
      <c r="H193" s="476"/>
      <c r="I193" s="476"/>
      <c r="J193" s="476"/>
      <c r="K193" s="476"/>
      <c r="L193" s="476"/>
      <c r="M193" s="476"/>
      <c r="N193" s="476"/>
      <c r="O193" s="476"/>
      <c r="P193" s="476"/>
      <c r="Q193" s="476"/>
      <c r="R193" s="476"/>
      <c r="S193" s="476"/>
      <c r="T193" s="476"/>
      <c r="U193" s="476"/>
      <c r="V193" s="476"/>
      <c r="W193" s="476"/>
      <c r="X193" s="476"/>
      <c r="Y193" s="476"/>
      <c r="Z193" s="476"/>
      <c r="AA193" s="476"/>
      <c r="AB193" s="476"/>
      <c r="AC193" s="476"/>
      <c r="AD193" s="476"/>
      <c r="AE193" s="476"/>
      <c r="AF193" s="476"/>
      <c r="AG193" s="476"/>
      <c r="AH193" s="476"/>
      <c r="AI193" s="476"/>
      <c r="AJ193" s="476"/>
      <c r="AK193" s="476"/>
      <c r="AL193" s="476"/>
      <c r="AM193" s="476"/>
      <c r="AN193" s="476"/>
      <c r="AO193" s="476"/>
      <c r="AP193" s="476"/>
      <c r="AQ193" s="476"/>
      <c r="AR193" s="476"/>
      <c r="AS193" s="476"/>
      <c r="AT193" s="476"/>
      <c r="AU193" s="476"/>
      <c r="AV193" s="476"/>
      <c r="AW193" s="476"/>
      <c r="AX193" s="476"/>
      <c r="AY193" s="476"/>
      <c r="AZ193" s="476"/>
      <c r="BA193" s="476"/>
      <c r="BB193" s="476"/>
      <c r="BC193" s="476"/>
      <c r="BD193" s="476"/>
      <c r="BE193" s="476"/>
      <c r="BF193" s="476"/>
      <c r="BG193" s="476"/>
      <c r="BH193" s="476"/>
      <c r="BI193" s="476"/>
      <c r="BJ193" s="476"/>
      <c r="BK193" s="476"/>
      <c r="BL193" s="476"/>
      <c r="BM193" s="476"/>
      <c r="BN193" s="476"/>
    </row>
    <row r="194" spans="1:66" s="477" customFormat="1" ht="27" customHeight="1" x14ac:dyDescent="0.2">
      <c r="A194" s="592"/>
      <c r="B194" s="593" t="s">
        <v>533</v>
      </c>
      <c r="C194" s="594"/>
      <c r="D194" s="595"/>
      <c r="E194" s="596"/>
      <c r="F194" s="596">
        <f>SUM(F12,F19,F28,F36,F140,F147,F155,F169,F175,F181,F188)</f>
        <v>6269606.7000000002</v>
      </c>
      <c r="G194" s="596">
        <f>SUM(G13,G20,G29,G37,G141,G148,G156,G170,G176,G182,G189)</f>
        <v>6269606.7000000002</v>
      </c>
      <c r="H194" s="476"/>
      <c r="I194" s="476"/>
      <c r="J194" s="476"/>
      <c r="K194" s="476"/>
      <c r="L194" s="476"/>
      <c r="M194" s="476"/>
      <c r="N194" s="476"/>
      <c r="O194" s="476"/>
      <c r="P194" s="476"/>
      <c r="Q194" s="476"/>
      <c r="R194" s="476"/>
      <c r="S194" s="476"/>
      <c r="T194" s="476"/>
      <c r="U194" s="476"/>
      <c r="V194" s="476"/>
      <c r="W194" s="476"/>
      <c r="X194" s="476"/>
      <c r="Y194" s="476"/>
      <c r="Z194" s="476"/>
      <c r="AA194" s="476"/>
      <c r="AB194" s="476"/>
      <c r="AC194" s="476"/>
      <c r="AD194" s="476"/>
      <c r="AE194" s="476"/>
      <c r="AF194" s="476"/>
      <c r="AG194" s="476"/>
      <c r="AH194" s="476"/>
      <c r="AI194" s="476"/>
      <c r="AJ194" s="476"/>
      <c r="AK194" s="476"/>
      <c r="AL194" s="476"/>
      <c r="AM194" s="476"/>
      <c r="AN194" s="476"/>
      <c r="AO194" s="476"/>
      <c r="AP194" s="476"/>
      <c r="AQ194" s="476"/>
      <c r="AR194" s="476"/>
      <c r="AS194" s="476"/>
      <c r="AT194" s="476"/>
      <c r="AU194" s="476"/>
      <c r="AV194" s="476"/>
      <c r="AW194" s="476"/>
      <c r="AX194" s="476"/>
      <c r="AY194" s="476"/>
      <c r="AZ194" s="476"/>
      <c r="BA194" s="476"/>
      <c r="BB194" s="476"/>
      <c r="BC194" s="476"/>
      <c r="BD194" s="476"/>
      <c r="BE194" s="476"/>
      <c r="BF194" s="476"/>
      <c r="BG194" s="476"/>
      <c r="BH194" s="476"/>
      <c r="BI194" s="476"/>
      <c r="BJ194" s="476"/>
      <c r="BK194" s="476"/>
      <c r="BL194" s="476"/>
      <c r="BM194" s="476"/>
      <c r="BN194" s="476"/>
    </row>
    <row r="196" spans="1:66" s="516" customFormat="1" x14ac:dyDescent="0.25">
      <c r="A196" s="597"/>
      <c r="B196" s="570"/>
      <c r="C196" s="570"/>
      <c r="D196" s="570"/>
      <c r="E196" s="570"/>
    </row>
    <row r="197" spans="1:66" s="516" customFormat="1" x14ac:dyDescent="0.25">
      <c r="A197" s="570"/>
      <c r="B197" s="570"/>
      <c r="C197" s="570"/>
      <c r="D197" s="570"/>
      <c r="E197" s="570"/>
      <c r="F197" s="514"/>
      <c r="G197" s="514"/>
    </row>
    <row r="198" spans="1:66" s="516" customFormat="1" x14ac:dyDescent="0.25">
      <c r="A198" s="570"/>
      <c r="B198" s="570"/>
      <c r="C198" s="570"/>
      <c r="D198" s="570"/>
      <c r="E198" s="570"/>
      <c r="F198" s="514"/>
      <c r="G198" s="514"/>
    </row>
    <row r="199" spans="1:66" s="516" customFormat="1" x14ac:dyDescent="0.25">
      <c r="A199" s="570"/>
      <c r="B199" s="570"/>
      <c r="C199" s="570"/>
      <c r="D199" s="570"/>
      <c r="E199" s="570"/>
      <c r="F199" s="515"/>
      <c r="G199" s="515"/>
    </row>
    <row r="200" spans="1:66" s="516" customFormat="1" x14ac:dyDescent="0.25">
      <c r="A200" s="570"/>
      <c r="B200" s="570"/>
      <c r="C200" s="570"/>
      <c r="D200" s="570"/>
      <c r="E200" s="570"/>
      <c r="F200" s="599"/>
      <c r="G200" s="599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49" max="16383" man="1"/>
    <brk id="94" max="6" man="1"/>
    <brk id="146" max="16383" man="1"/>
    <brk id="1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Zał.Nr1!Obszar_wydruku</vt:lpstr>
      <vt:lpstr>Zał.Nr2!Obszar_wydruku</vt:lpstr>
      <vt:lpstr>Zał.Nr6!Obszar_wydruku</vt:lpstr>
      <vt:lpstr>Zał.Nr7!Obszar_wydruku</vt:lpstr>
      <vt:lpstr>Zał.Nr1!Tytuły_wydruku</vt:lpstr>
      <vt:lpstr>Zał.Nr2!Tytuły_wydruku</vt:lpstr>
      <vt:lpstr>Zał.Nr4!Tytuły_wydruku</vt:lpstr>
      <vt:lpstr>Zał.Nr6!Tytuły_wydruku</vt:lpstr>
      <vt:lpstr>Zał.Nr7!Tytuły_wydruku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383/2022 Prezydenta Miasta Włocławek z dn. 30 listopada 2022 r.</dc:title>
  <dc:creator>Beata Duszeńska</dc:creator>
  <cp:keywords>Załącznik do Zarządzenia Prezydenta Miasta Włocławek</cp:keywords>
  <cp:lastModifiedBy>Karolina Budziszewska</cp:lastModifiedBy>
  <cp:lastPrinted>2022-12-08T10:35:56Z</cp:lastPrinted>
  <dcterms:created xsi:type="dcterms:W3CDTF">2014-03-20T12:20:20Z</dcterms:created>
  <dcterms:modified xsi:type="dcterms:W3CDTF">2022-12-09T08:22:58Z</dcterms:modified>
</cp:coreProperties>
</file>