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FACFADD0-2C92-45C2-A2FD-1E4735DC48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20" r:id="rId1"/>
    <sheet name="Zał.Nr2" sheetId="21" r:id="rId2"/>
    <sheet name="Zał.Nr3" sheetId="22" r:id="rId3"/>
    <sheet name="Zał.Nr4" sheetId="23" r:id="rId4"/>
    <sheet name="Arkusz1" sheetId="19" r:id="rId5"/>
  </sheets>
  <definedNames>
    <definedName name="_xlnm.Print_Area" localSheetId="0">Zał.Nr1!$A$1:$H$208</definedName>
    <definedName name="_xlnm.Print_Area" localSheetId="3">Zał.Nr4!$A$1:$G$197</definedName>
    <definedName name="_xlnm.Print_Titles" localSheetId="0">Zał.Nr1!$7:$9</definedName>
    <definedName name="_xlnm.Print_Titles" localSheetId="1">Zał.Nr2!$10:$11</definedName>
    <definedName name="_xlnm.Print_Titles" localSheetId="3">Zał.Nr4!$10:$11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4" i="23" l="1"/>
  <c r="G192" i="23" s="1"/>
  <c r="G188" i="23"/>
  <c r="G187" i="23"/>
  <c r="G185" i="23"/>
  <c r="F184" i="23"/>
  <c r="G178" i="23"/>
  <c r="G176" i="23"/>
  <c r="F175" i="23"/>
  <c r="G172" i="23"/>
  <c r="G170" i="23" s="1"/>
  <c r="G166" i="23"/>
  <c r="G164" i="23"/>
  <c r="G163" i="23"/>
  <c r="G161" i="23" s="1"/>
  <c r="G156" i="23" s="1"/>
  <c r="G159" i="23"/>
  <c r="G158" i="23"/>
  <c r="F155" i="23"/>
  <c r="G153" i="23"/>
  <c r="G152" i="23"/>
  <c r="G151" i="23"/>
  <c r="F147" i="23"/>
  <c r="G145" i="23"/>
  <c r="G143" i="23" s="1"/>
  <c r="G141" i="23" s="1"/>
  <c r="G144" i="23"/>
  <c r="F140" i="23"/>
  <c r="G135" i="23"/>
  <c r="G133" i="23"/>
  <c r="G131" i="23"/>
  <c r="G130" i="23"/>
  <c r="G129" i="23"/>
  <c r="G128" i="23"/>
  <c r="G126" i="23" s="1"/>
  <c r="G124" i="23" s="1"/>
  <c r="G127" i="23"/>
  <c r="G122" i="23"/>
  <c r="G121" i="23"/>
  <c r="G119" i="23" s="1"/>
  <c r="G117" i="23"/>
  <c r="G116" i="23"/>
  <c r="G115" i="23"/>
  <c r="G114" i="23"/>
  <c r="G113" i="23"/>
  <c r="G108" i="23"/>
  <c r="G107" i="23" s="1"/>
  <c r="G105" i="23" s="1"/>
  <c r="G103" i="23"/>
  <c r="G102" i="23"/>
  <c r="G101" i="23"/>
  <c r="G100" i="23"/>
  <c r="G99" i="23"/>
  <c r="G98" i="23"/>
  <c r="G93" i="23"/>
  <c r="G92" i="23"/>
  <c r="G91" i="23"/>
  <c r="G90" i="23"/>
  <c r="G89" i="23"/>
  <c r="G88" i="23"/>
  <c r="G83" i="23"/>
  <c r="G82" i="23"/>
  <c r="G81" i="23"/>
  <c r="G80" i="23"/>
  <c r="G79" i="23"/>
  <c r="G78" i="23"/>
  <c r="G73" i="23"/>
  <c r="G72" i="23"/>
  <c r="G70" i="23" s="1"/>
  <c r="G68" i="23"/>
  <c r="G67" i="23"/>
  <c r="G66" i="23"/>
  <c r="G65" i="23"/>
  <c r="G64" i="23"/>
  <c r="G62" i="23" s="1"/>
  <c r="G60" i="23" s="1"/>
  <c r="G63" i="23"/>
  <c r="G58" i="23"/>
  <c r="G57" i="23"/>
  <c r="G56" i="23"/>
  <c r="G55" i="23"/>
  <c r="G54" i="23"/>
  <c r="G53" i="23"/>
  <c r="G52" i="23" s="1"/>
  <c r="G50" i="23" s="1"/>
  <c r="G48" i="23"/>
  <c r="G47" i="23"/>
  <c r="G46" i="23"/>
  <c r="G42" i="23" s="1"/>
  <c r="G40" i="23" s="1"/>
  <c r="G45" i="23"/>
  <c r="G44" i="23"/>
  <c r="G43" i="23"/>
  <c r="F36" i="23"/>
  <c r="G34" i="23"/>
  <c r="G33" i="23"/>
  <c r="G32" i="23"/>
  <c r="G31" i="23" s="1"/>
  <c r="G29" i="23" s="1"/>
  <c r="F28" i="23"/>
  <c r="G26" i="23"/>
  <c r="G25" i="23"/>
  <c r="G22" i="23" s="1"/>
  <c r="G20" i="23" s="1"/>
  <c r="G23" i="23"/>
  <c r="F19" i="23"/>
  <c r="G17" i="23"/>
  <c r="G16" i="23"/>
  <c r="G15" i="23" s="1"/>
  <c r="G13" i="23" s="1"/>
  <c r="F12" i="23"/>
  <c r="G87" i="23" l="1"/>
  <c r="G85" i="23" s="1"/>
  <c r="G150" i="23"/>
  <c r="G148" i="23" s="1"/>
  <c r="F197" i="23"/>
  <c r="G77" i="23"/>
  <c r="G75" i="23" s="1"/>
  <c r="G37" i="23" s="1"/>
  <c r="G197" i="23" s="1"/>
  <c r="G97" i="23"/>
  <c r="G95" i="23" s="1"/>
  <c r="G112" i="23"/>
  <c r="G110" i="23" s="1"/>
  <c r="G32" i="22" l="1"/>
  <c r="F32" i="22"/>
  <c r="E32" i="22"/>
  <c r="D32" i="22"/>
  <c r="E167" i="21" l="1"/>
  <c r="E164" i="21"/>
  <c r="E153" i="21"/>
  <c r="E151" i="21"/>
  <c r="E149" i="21"/>
  <c r="E143" i="21"/>
  <c r="E140" i="21"/>
  <c r="E135" i="21"/>
  <c r="E122" i="21"/>
  <c r="E110" i="21"/>
  <c r="E105" i="21"/>
  <c r="E90" i="21"/>
  <c r="E88" i="21"/>
  <c r="E86" i="21"/>
  <c r="E70" i="21"/>
  <c r="E67" i="21"/>
  <c r="E57" i="21"/>
  <c r="E169" i="21" s="1"/>
  <c r="E50" i="21"/>
  <c r="E48" i="21"/>
  <c r="E47" i="21"/>
  <c r="E46" i="21"/>
  <c r="E44" i="21"/>
  <c r="E42" i="21"/>
  <c r="E41" i="21"/>
  <c r="E40" i="21"/>
  <c r="E38" i="21"/>
  <c r="E36" i="21"/>
  <c r="E32" i="21"/>
  <c r="E28" i="21"/>
  <c r="E26" i="21"/>
  <c r="E20" i="21"/>
  <c r="E16" i="21"/>
  <c r="E13" i="21"/>
  <c r="E54" i="21" s="1"/>
  <c r="E170" i="21" s="1"/>
  <c r="H207" i="20"/>
  <c r="H206" i="20"/>
  <c r="H205" i="20"/>
  <c r="G204" i="20"/>
  <c r="F204" i="20"/>
  <c r="H204" i="20" s="1"/>
  <c r="H203" i="20"/>
  <c r="H202" i="20"/>
  <c r="G201" i="20"/>
  <c r="F201" i="20"/>
  <c r="H201" i="20" s="1"/>
  <c r="G200" i="20"/>
  <c r="G199" i="20"/>
  <c r="G198" i="20" s="1"/>
  <c r="H197" i="20"/>
  <c r="G196" i="20"/>
  <c r="G195" i="20" s="1"/>
  <c r="F196" i="20"/>
  <c r="H196" i="20" s="1"/>
  <c r="H192" i="20"/>
  <c r="H191" i="20"/>
  <c r="H190" i="20"/>
  <c r="H189" i="20"/>
  <c r="G188" i="20"/>
  <c r="H188" i="20" s="1"/>
  <c r="F188" i="20"/>
  <c r="F187" i="20"/>
  <c r="H183" i="20"/>
  <c r="H182" i="20"/>
  <c r="H181" i="20"/>
  <c r="G180" i="20"/>
  <c r="G179" i="20" s="1"/>
  <c r="G178" i="20" s="1"/>
  <c r="F180" i="20"/>
  <c r="H180" i="20" s="1"/>
  <c r="H177" i="20"/>
  <c r="G176" i="20"/>
  <c r="H176" i="20" s="1"/>
  <c r="F176" i="20"/>
  <c r="F175" i="20" s="1"/>
  <c r="H174" i="20"/>
  <c r="H173" i="20"/>
  <c r="G172" i="20"/>
  <c r="F172" i="20"/>
  <c r="F171" i="20" s="1"/>
  <c r="G171" i="20"/>
  <c r="H169" i="20"/>
  <c r="H168" i="20"/>
  <c r="H167" i="20"/>
  <c r="G167" i="20"/>
  <c r="F167" i="20"/>
  <c r="H166" i="20"/>
  <c r="H165" i="20"/>
  <c r="G165" i="20"/>
  <c r="F165" i="20"/>
  <c r="H164" i="20"/>
  <c r="H163" i="20"/>
  <c r="G162" i="20"/>
  <c r="F162" i="20"/>
  <c r="G161" i="20"/>
  <c r="G160" i="20" s="1"/>
  <c r="H158" i="20"/>
  <c r="H157" i="20"/>
  <c r="G156" i="20"/>
  <c r="H156" i="20" s="1"/>
  <c r="F156" i="20"/>
  <c r="F155" i="20"/>
  <c r="F154" i="20" s="1"/>
  <c r="H152" i="20"/>
  <c r="H151" i="20"/>
  <c r="G150" i="20"/>
  <c r="H150" i="20" s="1"/>
  <c r="F150" i="20"/>
  <c r="F149" i="20" s="1"/>
  <c r="H147" i="20"/>
  <c r="H146" i="20"/>
  <c r="G145" i="20"/>
  <c r="G144" i="20" s="1"/>
  <c r="F145" i="20"/>
  <c r="H145" i="20" s="1"/>
  <c r="H143" i="20"/>
  <c r="H142" i="20"/>
  <c r="G141" i="20"/>
  <c r="G140" i="20" s="1"/>
  <c r="F141" i="20"/>
  <c r="F140" i="20"/>
  <c r="H139" i="20"/>
  <c r="H138" i="20"/>
  <c r="G137" i="20"/>
  <c r="G136" i="20" s="1"/>
  <c r="F137" i="20"/>
  <c r="H137" i="20" s="1"/>
  <c r="H134" i="20"/>
  <c r="H133" i="20"/>
  <c r="H132" i="20"/>
  <c r="H131" i="20"/>
  <c r="H130" i="20"/>
  <c r="H129" i="20"/>
  <c r="H128" i="20"/>
  <c r="H127" i="20"/>
  <c r="H126" i="20"/>
  <c r="H125" i="20"/>
  <c r="G124" i="20"/>
  <c r="G123" i="20" s="1"/>
  <c r="F124" i="20"/>
  <c r="H124" i="20" s="1"/>
  <c r="H122" i="20"/>
  <c r="H121" i="20"/>
  <c r="H120" i="20"/>
  <c r="G119" i="20"/>
  <c r="G118" i="20" s="1"/>
  <c r="F119" i="20"/>
  <c r="F118" i="20" s="1"/>
  <c r="H116" i="20"/>
  <c r="H115" i="20"/>
  <c r="H114" i="20"/>
  <c r="G113" i="20"/>
  <c r="H113" i="20" s="1"/>
  <c r="F113" i="20"/>
  <c r="F112" i="20"/>
  <c r="F111" i="20" s="1"/>
  <c r="H110" i="20"/>
  <c r="H109" i="20"/>
  <c r="G108" i="20"/>
  <c r="H108" i="20" s="1"/>
  <c r="F108" i="20"/>
  <c r="F107" i="20"/>
  <c r="H106" i="20"/>
  <c r="H105" i="20"/>
  <c r="G105" i="20"/>
  <c r="F105" i="20"/>
  <c r="F104" i="20" s="1"/>
  <c r="H104" i="20" s="1"/>
  <c r="G104" i="20"/>
  <c r="H103" i="20"/>
  <c r="G102" i="20"/>
  <c r="F102" i="20"/>
  <c r="H102" i="20" s="1"/>
  <c r="H101" i="20"/>
  <c r="G100" i="20"/>
  <c r="G99" i="20" s="1"/>
  <c r="F100" i="20"/>
  <c r="F99" i="20"/>
  <c r="H99" i="20" s="1"/>
  <c r="H97" i="20"/>
  <c r="G96" i="20"/>
  <c r="F96" i="20"/>
  <c r="G95" i="20"/>
  <c r="H91" i="20"/>
  <c r="G90" i="20"/>
  <c r="H90" i="20" s="1"/>
  <c r="F90" i="20"/>
  <c r="F89" i="20" s="1"/>
  <c r="G89" i="20"/>
  <c r="H87" i="20"/>
  <c r="H86" i="20"/>
  <c r="G85" i="20"/>
  <c r="H85" i="20" s="1"/>
  <c r="F85" i="20"/>
  <c r="F84" i="20"/>
  <c r="F83" i="20" s="1"/>
  <c r="H82" i="20"/>
  <c r="H81" i="20"/>
  <c r="G80" i="20"/>
  <c r="F80" i="20"/>
  <c r="F79" i="20" s="1"/>
  <c r="G79" i="20"/>
  <c r="G78" i="20" s="1"/>
  <c r="H75" i="20"/>
  <c r="G74" i="20"/>
  <c r="G73" i="20" s="1"/>
  <c r="G72" i="20" s="1"/>
  <c r="G71" i="20" s="1"/>
  <c r="F74" i="20"/>
  <c r="F73" i="20" s="1"/>
  <c r="H70" i="20"/>
  <c r="G69" i="20"/>
  <c r="G68" i="20" s="1"/>
  <c r="F69" i="20"/>
  <c r="F68" i="20" s="1"/>
  <c r="H65" i="20"/>
  <c r="G64" i="20"/>
  <c r="G63" i="20" s="1"/>
  <c r="F64" i="20"/>
  <c r="F63" i="20"/>
  <c r="F60" i="20" s="1"/>
  <c r="H59" i="20"/>
  <c r="G58" i="20"/>
  <c r="H58" i="20" s="1"/>
  <c r="F58" i="20"/>
  <c r="F57" i="20"/>
  <c r="F56" i="20" s="1"/>
  <c r="H55" i="20"/>
  <c r="G54" i="20"/>
  <c r="G53" i="20" s="1"/>
  <c r="H53" i="20" s="1"/>
  <c r="F54" i="20"/>
  <c r="F53" i="20"/>
  <c r="H52" i="20"/>
  <c r="H51" i="20"/>
  <c r="G51" i="20"/>
  <c r="G50" i="20" s="1"/>
  <c r="G49" i="20" s="1"/>
  <c r="F51" i="20"/>
  <c r="F50" i="20" s="1"/>
  <c r="H48" i="20"/>
  <c r="G47" i="20"/>
  <c r="F47" i="20"/>
  <c r="H47" i="20" s="1"/>
  <c r="H46" i="20"/>
  <c r="G45" i="20"/>
  <c r="F45" i="20"/>
  <c r="G44" i="20"/>
  <c r="G43" i="20" s="1"/>
  <c r="H42" i="20"/>
  <c r="G41" i="20"/>
  <c r="G40" i="20" s="1"/>
  <c r="G39" i="20" s="1"/>
  <c r="F41" i="20"/>
  <c r="F40" i="20" s="1"/>
  <c r="H37" i="20"/>
  <c r="G36" i="20"/>
  <c r="F36" i="20"/>
  <c r="G35" i="20"/>
  <c r="G34" i="20" s="1"/>
  <c r="H33" i="20"/>
  <c r="G32" i="20"/>
  <c r="G31" i="20" s="1"/>
  <c r="F32" i="20"/>
  <c r="F31" i="20" s="1"/>
  <c r="H30" i="20"/>
  <c r="G29" i="20"/>
  <c r="F29" i="20"/>
  <c r="F28" i="20"/>
  <c r="H27" i="20"/>
  <c r="G26" i="20"/>
  <c r="G23" i="20" s="1"/>
  <c r="F26" i="20"/>
  <c r="H25" i="20"/>
  <c r="G24" i="20"/>
  <c r="F24" i="20"/>
  <c r="H21" i="20"/>
  <c r="G20" i="20"/>
  <c r="H20" i="20" s="1"/>
  <c r="G19" i="20"/>
  <c r="H19" i="20" s="1"/>
  <c r="H15" i="20"/>
  <c r="G14" i="20"/>
  <c r="F14" i="20"/>
  <c r="F13" i="20" s="1"/>
  <c r="G13" i="20"/>
  <c r="G170" i="20" l="1"/>
  <c r="H14" i="20"/>
  <c r="H40" i="20"/>
  <c r="H89" i="20"/>
  <c r="G149" i="20"/>
  <c r="G148" i="20" s="1"/>
  <c r="F161" i="20"/>
  <c r="G175" i="20"/>
  <c r="G187" i="20"/>
  <c r="H187" i="20" s="1"/>
  <c r="H32" i="20"/>
  <c r="F44" i="20"/>
  <c r="H54" i="20"/>
  <c r="H64" i="20"/>
  <c r="H68" i="20"/>
  <c r="H96" i="20"/>
  <c r="H100" i="20"/>
  <c r="G117" i="20"/>
  <c r="F136" i="20"/>
  <c r="H162" i="20"/>
  <c r="H172" i="20"/>
  <c r="H175" i="20"/>
  <c r="H41" i="20"/>
  <c r="H26" i="20"/>
  <c r="H31" i="20"/>
  <c r="H74" i="20"/>
  <c r="H119" i="20"/>
  <c r="F123" i="20"/>
  <c r="H141" i="20"/>
  <c r="F144" i="20"/>
  <c r="H144" i="20" s="1"/>
  <c r="F195" i="20"/>
  <c r="H195" i="20" s="1"/>
  <c r="F200" i="20"/>
  <c r="H50" i="20"/>
  <c r="F49" i="20"/>
  <c r="H49" i="20" s="1"/>
  <c r="H56" i="20"/>
  <c r="F148" i="20"/>
  <c r="H13" i="20"/>
  <c r="F12" i="20"/>
  <c r="F23" i="20"/>
  <c r="H23" i="20" s="1"/>
  <c r="H24" i="20"/>
  <c r="H29" i="20"/>
  <c r="G28" i="20"/>
  <c r="G12" i="20" s="1"/>
  <c r="G11" i="20" s="1"/>
  <c r="H44" i="20"/>
  <c r="F43" i="20"/>
  <c r="H43" i="20" s="1"/>
  <c r="H73" i="20"/>
  <c r="F72" i="20"/>
  <c r="H140" i="20"/>
  <c r="F117" i="20"/>
  <c r="H118" i="20"/>
  <c r="F35" i="20"/>
  <c r="H36" i="20"/>
  <c r="F39" i="20"/>
  <c r="H63" i="20"/>
  <c r="G60" i="20"/>
  <c r="H60" i="20" s="1"/>
  <c r="H79" i="20"/>
  <c r="F78" i="20"/>
  <c r="H123" i="20"/>
  <c r="G135" i="20"/>
  <c r="F170" i="20"/>
  <c r="H171" i="20"/>
  <c r="H161" i="20"/>
  <c r="F160" i="20"/>
  <c r="H160" i="20" s="1"/>
  <c r="H69" i="20"/>
  <c r="H80" i="20"/>
  <c r="H45" i="20"/>
  <c r="F95" i="20"/>
  <c r="F179" i="20"/>
  <c r="F184" i="20"/>
  <c r="G57" i="20"/>
  <c r="G56" i="20" s="1"/>
  <c r="G84" i="20"/>
  <c r="G83" i="20" s="1"/>
  <c r="G107" i="20"/>
  <c r="H107" i="20" s="1"/>
  <c r="G112" i="20"/>
  <c r="G155" i="20"/>
  <c r="G184" i="20"/>
  <c r="G38" i="20" l="1"/>
  <c r="H148" i="20"/>
  <c r="H149" i="20"/>
  <c r="H200" i="20"/>
  <c r="F199" i="20"/>
  <c r="H136" i="20"/>
  <c r="F135" i="20"/>
  <c r="H135" i="20" s="1"/>
  <c r="G77" i="20"/>
  <c r="G10" i="20"/>
  <c r="H84" i="20"/>
  <c r="H170" i="20"/>
  <c r="F71" i="20"/>
  <c r="H72" i="20"/>
  <c r="H57" i="20"/>
  <c r="H78" i="20"/>
  <c r="H39" i="20"/>
  <c r="F38" i="20"/>
  <c r="H117" i="20"/>
  <c r="H83" i="20"/>
  <c r="G154" i="20"/>
  <c r="H155" i="20"/>
  <c r="G111" i="20"/>
  <c r="H112" i="20"/>
  <c r="H95" i="20"/>
  <c r="F88" i="20"/>
  <c r="H12" i="20"/>
  <c r="H179" i="20"/>
  <c r="F178" i="20"/>
  <c r="H178" i="20" s="1"/>
  <c r="H28" i="20"/>
  <c r="H184" i="20"/>
  <c r="G88" i="20"/>
  <c r="H35" i="20"/>
  <c r="F34" i="20"/>
  <c r="H34" i="20" s="1"/>
  <c r="H199" i="20" l="1"/>
  <c r="F198" i="20"/>
  <c r="H198" i="20" s="1"/>
  <c r="G153" i="20"/>
  <c r="G76" i="20" s="1"/>
  <c r="H154" i="20"/>
  <c r="H111" i="20"/>
  <c r="F153" i="20"/>
  <c r="F11" i="20"/>
  <c r="H38" i="20"/>
  <c r="H88" i="20"/>
  <c r="F77" i="20"/>
  <c r="H71" i="20"/>
  <c r="H77" i="20" l="1"/>
  <c r="F76" i="20"/>
  <c r="H153" i="20"/>
  <c r="H11" i="20"/>
  <c r="F10" i="20"/>
  <c r="H76" i="20" l="1"/>
  <c r="H10" i="20"/>
</calcChain>
</file>

<file path=xl/sharedStrings.xml><?xml version="1.0" encoding="utf-8"?>
<sst xmlns="http://schemas.openxmlformats.org/spreadsheetml/2006/main" count="797" uniqueCount="342">
  <si>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</si>
  <si>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</si>
  <si>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</si>
  <si>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</si>
  <si>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</si>
  <si>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</si>
  <si>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</si>
  <si>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</si>
  <si>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</si>
  <si>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</si>
  <si>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WYDATKI OGÓŁEM:</t>
  </si>
  <si>
    <t>Wydatki na zadania własne:</t>
  </si>
  <si>
    <t>Załącznik Nr 3</t>
  </si>
  <si>
    <t>Lp.</t>
  </si>
  <si>
    <t>Załącznik Nr 2</t>
  </si>
  <si>
    <t>Dział</t>
  </si>
  <si>
    <t xml:space="preserve">Prezydenta Miasta Włocławek </t>
  </si>
  <si>
    <t>przed zmianą</t>
  </si>
  <si>
    <t>Rozdział</t>
  </si>
  <si>
    <t>Zmiany w budżecie miasta Włocławek na 2022 rok</t>
  </si>
  <si>
    <t>x</t>
  </si>
  <si>
    <t>DOCHODY OGÓŁEM:</t>
  </si>
  <si>
    <t>Dochody na zadania własne:</t>
  </si>
  <si>
    <t>Pomoc społeczna</t>
  </si>
  <si>
    <t>Domy pomocy społecznej</t>
  </si>
  <si>
    <t>Organ</t>
  </si>
  <si>
    <t>2130</t>
  </si>
  <si>
    <t>dotacje celowe otrzymane z budżetu państwa na realizację bieżących zadań własnych powiatu</t>
  </si>
  <si>
    <t>Składki na ubezpieczenie zdrowotne opłacane za</t>
  </si>
  <si>
    <t>osoby pobierające niektóre świadczenia z pomocy</t>
  </si>
  <si>
    <t>społecznej oraz za osoby uczestniczące w zajęciach</t>
  </si>
  <si>
    <t>w centrum integracji społecznej</t>
  </si>
  <si>
    <t>2030</t>
  </si>
  <si>
    <t>dotacje celowe otrzymane z budżetu państwa na realizację własnych zadań bieżących gmin (związków gmin, związków powiatowo-gminnych)</t>
  </si>
  <si>
    <t xml:space="preserve">Zasiłki okresowe, celowe i pomoc w naturze oraz składki </t>
  </si>
  <si>
    <t>na ubezpieczenia emerytalne i rentowe</t>
  </si>
  <si>
    <t>Organ - Fundusz Pomocy (zasiłki okresowe)</t>
  </si>
  <si>
    <t>2100</t>
  </si>
  <si>
    <t>środki z Funduszu Pomocy na finansowanie lub dofinansowanie zadań bieżących w zakresie pomocy obywatelom Ukrainy</t>
  </si>
  <si>
    <t>Zasiłki stałe</t>
  </si>
  <si>
    <t>Pomoc w zakresie dożywiania</t>
  </si>
  <si>
    <t>Organ - Fundusz Pomocy (zapewnienie posiłku dzieciom i młodzieży)</t>
  </si>
  <si>
    <t>Rodzina</t>
  </si>
  <si>
    <t>Świadczenia rodzinne, świadczenie z funduszu alimentacyjnego oraz składki na ubezpieczenia emerytalne i rentowe z ubezpieczenia społecznego</t>
  </si>
  <si>
    <t>Organ - Fundusz Pomocy (świadczenia rodzinne)</t>
  </si>
  <si>
    <t>Dochody na zadania zlecone:</t>
  </si>
  <si>
    <t>Administracja publiczna</t>
  </si>
  <si>
    <t>Urzędy wojewódzkie</t>
  </si>
  <si>
    <t>Organ - Fundusz Pomocy (nadanie numeru PESEL)</t>
  </si>
  <si>
    <t>Bezpieczeństwo publiczne i ochrona przeciwpożarowa</t>
  </si>
  <si>
    <t>Pozostała działalność</t>
  </si>
  <si>
    <t>Organ - Fundusz Pomocy (świadczenie pieniężne - 40 zł za osobę dziennie)</t>
  </si>
  <si>
    <t>Organ - Fundusz Pomocy (zapewnienie zakwaterowania i wyżywienia obywatelom Ukrainy)</t>
  </si>
  <si>
    <t>Ośrodki pomocy społecznej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</si>
  <si>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</si>
  <si>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</si>
  <si>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Usługi opiekuńcze i specjalistyczne usługi opiekuńcze</t>
  </si>
  <si>
    <t>Pozostałe zadania w zakresie polityki społecznej</t>
  </si>
  <si>
    <t>Organ - Fundusz Pomocy (świadczenie pieniężne w wysokości 300 zł)</t>
  </si>
  <si>
    <t>Świadczenia rodzinne, świadczenie z funduszu</t>
  </si>
  <si>
    <t>alimentacyjnego oraz składki na ubezpieczenia</t>
  </si>
  <si>
    <t>emerytalne i rentowe z ubezpieczenia społecznego</t>
  </si>
  <si>
    <t xml:space="preserve">Składki na ubezpieczenie zdrowotne opłacane za osoby </t>
  </si>
  <si>
    <t>pobierające niektóre świadczenia rodzinne oraz za osoby</t>
  </si>
  <si>
    <t>pobierające zasiki dla opiekunów</t>
  </si>
  <si>
    <t>Dochody na zadania rządowe:</t>
  </si>
  <si>
    <t>Zespoły do spraw orzekania o niepełnosprawności</t>
  </si>
  <si>
    <t>Organ - Fundusz Pomocy (realizacja zadań przez Miejski Zespół do Spraw Orzekania o Niepełnosprawności na rzecz obywateli Ukrainy)</t>
  </si>
  <si>
    <t>Turystyka</t>
  </si>
  <si>
    <t>Zadania w zakresie upowszechniania turystyki</t>
  </si>
  <si>
    <t>Ośrodek Sportu i Rekreacji</t>
  </si>
  <si>
    <t>zakup materiałów i wyposażenia</t>
  </si>
  <si>
    <t>spłata zobowiązań jednostek samorządu terytorialnego zaliczanych do tytułu dłużnego – kredyty i pożyczki, o którym mowa w art. 72 ust. 1 pkt 2 ustawy</t>
  </si>
  <si>
    <t>75023</t>
  </si>
  <si>
    <t>Urzędy gmin (miast i miast na prawach powiatu)</t>
  </si>
  <si>
    <t>Wydział Organizacyjno-Prawny i Kadr</t>
  </si>
  <si>
    <t>wpłaty na Państwowy Fundusz Rehabilitacji Osób Niepełnosprawnych</t>
  </si>
  <si>
    <t>zakup energii</t>
  </si>
  <si>
    <t>852</t>
  </si>
  <si>
    <t>Dom Pomocy Społecznej ul. Nowomiejska 19</t>
  </si>
  <si>
    <t>Miejski Ośrodek Pomocy Rodzinie</t>
  </si>
  <si>
    <t xml:space="preserve">składki na ubezpieczenie zdrowotne </t>
  </si>
  <si>
    <t>świadczenia społeczne</t>
  </si>
  <si>
    <t>Miejski Ośrodek Pomocy Rodzinie - Fundusz Pomocy (zasiłki okresowe)</t>
  </si>
  <si>
    <t>świadczenia społeczne wypłacane obywatelom Ukrainy przebywającym na terytorium RP</t>
  </si>
  <si>
    <t xml:space="preserve">Miejski Ośrodek Pomocy Rodzinie </t>
  </si>
  <si>
    <t>Miejski Ośrodek Pomocy Rodzinie - Fundusz Pomocy (zapewnienie posiłku dzieciom i młodzieży)</t>
  </si>
  <si>
    <t>zakup usług związanych z pomocą obywatelom Ukrainy</t>
  </si>
  <si>
    <t>Wydział Organizacyjno - Prawny i Kadr</t>
  </si>
  <si>
    <t>4210</t>
  </si>
  <si>
    <t>zakup usług pozostałych</t>
  </si>
  <si>
    <t xml:space="preserve">szkolenia pracowników niebędących członkami korpusu służby cywilnej </t>
  </si>
  <si>
    <t>Miejski Ośrodek Pomocy Rodzinie - Fundusz Pomocy (świadczenia rodzinne)</t>
  </si>
  <si>
    <t>wynagrodzenia i uposażenia wypłacane w związku z pomocą obywatelom Ukrainy</t>
  </si>
  <si>
    <t>składki i inne pochodne od wynagrodzeń pracowników wypłacanych w związku z pomocą obywatelom Ukrainy</t>
  </si>
  <si>
    <t>Miejski Ośrodek Pomocy Rodzinie - projekt pn. "Rodzina w Centrum 3"</t>
  </si>
  <si>
    <t>wynagrodzenia osobowe pracowników</t>
  </si>
  <si>
    <t>składki na ubezpieczenia społeczne</t>
  </si>
  <si>
    <t>składki na Fundusz Pracy oraz Fundusz Solidarnościowy</t>
  </si>
  <si>
    <t>wpłaty na PPK finansowane przez podmiot zatrudniający</t>
  </si>
  <si>
    <t>Gospodarka komunalna i ochrona środowiska</t>
  </si>
  <si>
    <t>Utrzymanie zieleni w miastach i gminach</t>
  </si>
  <si>
    <t>Miejski Zakład Zieleni i Usług Komunalnych</t>
  </si>
  <si>
    <t xml:space="preserve">zakup usług obejmujących wykonanie ekspertyz, analiz i opinii </t>
  </si>
  <si>
    <t xml:space="preserve">różne opłaty i składki </t>
  </si>
  <si>
    <t>Schroniska dla zwierząt</t>
  </si>
  <si>
    <t>Schronisko dla Zwierząt</t>
  </si>
  <si>
    <t>podróże służbowe krajowe</t>
  </si>
  <si>
    <t>odpisy na zakładowy fundusz świadczeń socjalnych</t>
  </si>
  <si>
    <t>Miejski Zakład Zieleni i Usług Komunalnych we Włocławku - obsługa Włocławskiej Strefy Rozwoju Gospodarczego /Park Przemysłowo - Technologiczny/</t>
  </si>
  <si>
    <t>Kultura fizyczna</t>
  </si>
  <si>
    <t>Instytucje kultury fizycznej</t>
  </si>
  <si>
    <t>Wydatki na zadania zlecone:</t>
  </si>
  <si>
    <t>Wydział Organizacyjno - Prawny i Kadr - Fundusz Pomocy (nadanie numeru PESEL)</t>
  </si>
  <si>
    <t xml:space="preserve">Bezpieczeństwo publiczne i ochrona </t>
  </si>
  <si>
    <t>przeciwpożarowa</t>
  </si>
  <si>
    <t>Miejski Ośrodek Pomocy Rodzinie - Fundusz Pomocy (świadczenie pieniężne - 40 zł za osobę dziennie)</t>
  </si>
  <si>
    <t>Wydział Zarządzania Kryzysowego i Bezpieczeństwa - Fundusz Pomocy (zapewnienie zakwaterowania i wyżywienia obywatelom Ukrainy)</t>
  </si>
  <si>
    <t>Administracja Zasobów Komunalnych - Fundusz Pomocy (zapewnienie zakwaterowania i wyżywienia obywatelom Ukrainy)</t>
  </si>
  <si>
    <t>pozostałe wydatki bieżące na zadania związane z pomocą obywatelom Ukrainy</t>
  </si>
  <si>
    <t>Wydział Polityki Społecznej i Zdrowia Publicznego</t>
  </si>
  <si>
    <t>2820</t>
  </si>
  <si>
    <t>dotacja celowa z budżetu na finansowanie lub dofinansowanie zadań zleconych do realizacji stowarzyszeniom</t>
  </si>
  <si>
    <t>Miejski Ośrodek Pomocy Rodzinie - Fundusz Pomocy (świadczenie pieniężne w wysokości 300 zł)</t>
  </si>
  <si>
    <t xml:space="preserve">składki na ubezpieczenia społeczne </t>
  </si>
  <si>
    <t>Wydatki na zadania rządowe:</t>
  </si>
  <si>
    <t>Miejski Zespół do Spraw Orzekania o Niepełnosprawności</t>
  </si>
  <si>
    <t>wynagrodzenia bezosobowe</t>
  </si>
  <si>
    <t>Miejski Zespół do Spraw Orzekania o Niepełnosprawności - Fundusz Pomocy (realizacja zadań przez Miejski Zespół do Spraw Orzekania o Niepełnosprawności na rzecz obywateli Ukrainy)</t>
  </si>
  <si>
    <t>do Zarządzenia NR 400/2022</t>
  </si>
  <si>
    <t>z dnia 15 grudnia 2022 r.</t>
  </si>
  <si>
    <t xml:space="preserve">Dotacje udzielane z budżetu jednostki samorządu terytorialnego </t>
  </si>
  <si>
    <t>dla jednostek spoza sektora finansów publicznych na 2022 rok</t>
  </si>
  <si>
    <t>Nazwa zadania</t>
  </si>
  <si>
    <t>Kwota dotacji</t>
  </si>
  <si>
    <t>dotacje celowe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</si>
  <si>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</si>
  <si>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</si>
  <si>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</si>
  <si>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Szkoły podstawowe</t>
  </si>
  <si>
    <t>Publiczna Szkoła Podstawowa im. Ks. J. Długosza</t>
  </si>
  <si>
    <t>Szkoła Podstawowa z oddziałami dwujęzycznymi Monttessori-     Schule</t>
  </si>
  <si>
    <t>Prywatna Szkoła Podstawowa Zespołu Edukacji "Wiedza"</t>
  </si>
  <si>
    <t>Przedszkola</t>
  </si>
  <si>
    <t>Przedszkole Niepubliczne "Chatka Puchatka"</t>
  </si>
  <si>
    <t>Niepubliczne Przedszkole "Smerfna Chata"</t>
  </si>
  <si>
    <t>Przedszkole Niepubliczne "Kujawiaczek"</t>
  </si>
  <si>
    <t>Niepubliczne Przedszkole "Domowe Przedszkole"</t>
  </si>
  <si>
    <t>Niepubliczne Przedszkole "Wesoła Biedronka"</t>
  </si>
  <si>
    <t>Branżowe szkoły I i II stopnia</t>
  </si>
  <si>
    <t xml:space="preserve">Branżowa Szkoła I Stopnia Start we Włocławku </t>
  </si>
  <si>
    <t>Licea ogólnokształcące</t>
  </si>
  <si>
    <t>Publiczne Liceum Ogólnokształcące im. Ks. J. Długosza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</si>
  <si>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</si>
  <si>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</si>
  <si>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</si>
  <si>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</si>
  <si>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 xml:space="preserve">Zespół Szkół Akademickich im. Obrońców Wisły 1920 roku </t>
  </si>
  <si>
    <t>Realizacja projektu unijnego  "Zawodowcy z Włocławka"- podniesienie jakości nauczania i zwiększenie szans na zatrudnienie uczniów ZSS we Włocławku"</t>
  </si>
  <si>
    <t>Zwalczanie narkomanii</t>
  </si>
  <si>
    <t>Dofinansowanie programów dotyczących uzależnień, pozalekcyjnych zajęć sportowych (przeciwdzialanie alkoholizmowi)</t>
  </si>
  <si>
    <t>Pozostala działalność (promocja i ochrona zdrowia oraz działania na rzecz osób niepełnosprawnych)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</si>
  <si>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</si>
  <si>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</si>
  <si>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</si>
  <si>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</si>
  <si>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Pozostała działalność (aktywizacja społeczna seniorów, poprawa warunków funkcjonowania seniorów)</t>
  </si>
  <si>
    <t xml:space="preserve">Pozostała działalność - realizacja projektu pn. "WŁOCŁAWEK - MIASTO NOWYCH MOŻLIWOŚCI. Tutaj mieszkam, pracuję, inwestuję i tu wypoczywam" </t>
  </si>
  <si>
    <t>Działalność placówek opiekuńczo - wychowawczych</t>
  </si>
  <si>
    <t>Wymiana źródeł ciepła zasilanych paliwami stałymi - program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</si>
  <si>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</si>
  <si>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</si>
  <si>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</si>
  <si>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</si>
  <si>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 xml:space="preserve">Zadania w zakresie kultury fizycznej - realizacja projektu pn. "WŁOCŁAWEK - MIASTO NOWYCH MOŻLIWOŚCI. Tutaj mieszkam, pracuję, inwestuję i tu wypoczywam" </t>
  </si>
  <si>
    <t>Razem</t>
  </si>
  <si>
    <t>dotacje podmiotowe</t>
  </si>
  <si>
    <t>Nazwa placówki/nazwa podmiotu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</si>
  <si>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</si>
  <si>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</si>
  <si>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</si>
  <si>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</si>
  <si>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</si>
  <si>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Akademii Nauk Stosowanych we Włocławku</t>
  </si>
  <si>
    <t>Oddziały przedszkolne w szkołach podstawowych</t>
  </si>
  <si>
    <t>Niepubliczne Przedszkole "Skakanka"</t>
  </si>
  <si>
    <t>Przedszkole Akademickie przy Państwowej Akademii Nauk Stosowanych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</si>
  <si>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</si>
  <si>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</si>
  <si>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</si>
  <si>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"Bajeczka" Kinga Mizak Aneta            Kryczka s.c.</t>
  </si>
  <si>
    <t>Przedszkole Niepubliczne "Happy Kids"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</si>
  <si>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</si>
  <si>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</si>
  <si>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</si>
  <si>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</si>
  <si>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</si>
  <si>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Technika</t>
  </si>
  <si>
    <t>Akademickie Technikum Wojskowe im. Obrońców Wisły 1920 roku we Włocławku</t>
  </si>
  <si>
    <t>Szkoły policealne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</si>
  <si>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</si>
  <si>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</si>
  <si>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Akademii Nauk Stosowanych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</si>
  <si>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</si>
  <si>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</si>
  <si>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</si>
  <si>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</si>
  <si>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</si>
  <si>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</si>
  <si>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Szkoła Policealna Centrum Nauki I Biznesu "Żak"</t>
  </si>
  <si>
    <t xml:space="preserve">Szkoła Policealna "Spectrum" </t>
  </si>
  <si>
    <t>Policealna Szkoła Futuro</t>
  </si>
  <si>
    <t>Szkoła Policealna Opieki Medycznej "Żak"</t>
  </si>
  <si>
    <t>Akademicka Szkoła Policealna we Włocławku (przy Kujawskiej Szkole Wyższej)</t>
  </si>
  <si>
    <t xml:space="preserve">Branżowa Szkoła II Stopnia Start we Włocławku </t>
  </si>
  <si>
    <t>Branżowa Szkoła I Stopnia Impuls we Włocławku</t>
  </si>
  <si>
    <t xml:space="preserve">Branżowa Szkoła I Stopnia nr 9 w Zespole Szkół Włocławskiego Stowarzyszenia Oświatowego "Cogito" 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</si>
  <si>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</si>
  <si>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</si>
  <si>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</si>
  <si>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</si>
  <si>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</si>
  <si>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</si>
  <si>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</si>
  <si>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Liceum Ogólnokształcące dla Dorosłych "Żak"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</si>
  <si>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</si>
  <si>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</si>
  <si>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</si>
  <si>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</si>
  <si>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</si>
  <si>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</si>
  <si>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</si>
  <si>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</si>
  <si>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</si>
  <si>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</si>
  <si>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</si>
  <si>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</si>
  <si>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Małych Misjonarek Miłosierdzia (Orionistek)</t>
  </si>
  <si>
    <t>Wczesne wspomaganie rozwoju dziecka</t>
  </si>
  <si>
    <t>Przedszkole Akademickie przy Państwowej  Akademii Nauk Stosowanych we Włocławku</t>
  </si>
  <si>
    <t>Poradnie psychologiczno - pedagogiczne, w tym poradnie specjalistyczne</t>
  </si>
  <si>
    <t>Poradnia Psychologiczno - Pedagogiczna "Vitamed"</t>
  </si>
  <si>
    <t>Niepubliczna Poradania Psychologiczno - Pedagogiczna "Centrum Diagnozy, Terapii i Wspomagania Rozwoju" (Elżbieta Złowodzka - Jetter)</t>
  </si>
  <si>
    <t>Internaty i bursy szkolne</t>
  </si>
  <si>
    <t>Internat Zespołu Szkół Katolickich im. Ks. J. Długosza</t>
  </si>
  <si>
    <t>Ogółem:</t>
  </si>
  <si>
    <t xml:space="preserve">Plan </t>
  </si>
  <si>
    <t xml:space="preserve"> dochodów i wydatków wydzielonych rachunków dochodów oświatowych jednostek budżetowych na 2022 rok</t>
  </si>
  <si>
    <t>(zbiorczo)</t>
  </si>
  <si>
    <t xml:space="preserve">Stan środków </t>
  </si>
  <si>
    <t>pieniężnych</t>
  </si>
  <si>
    <t xml:space="preserve">pieniężnych </t>
  </si>
  <si>
    <t>Wyszczególnienie</t>
  </si>
  <si>
    <t xml:space="preserve">na początek </t>
  </si>
  <si>
    <t>Dochody</t>
  </si>
  <si>
    <t>Wydatki</t>
  </si>
  <si>
    <t xml:space="preserve">na koniec </t>
  </si>
  <si>
    <t>roku</t>
  </si>
  <si>
    <t>1.</t>
  </si>
  <si>
    <t>2.</t>
  </si>
  <si>
    <t>Szkoły podstawowe specjalne</t>
  </si>
  <si>
    <t>3.</t>
  </si>
  <si>
    <t>4.</t>
  </si>
  <si>
    <t>5.</t>
  </si>
  <si>
    <t>6.</t>
  </si>
  <si>
    <t xml:space="preserve">Szkoły artystyczne </t>
  </si>
  <si>
    <t>7.</t>
  </si>
  <si>
    <t>Szkoły zawodowe specjalne</t>
  </si>
  <si>
    <t>8.</t>
  </si>
  <si>
    <t>Placówki kształcenia ustawicznego i centra kształcenia zawodowego</t>
  </si>
  <si>
    <t>9.</t>
  </si>
  <si>
    <t>Ośrodki szkolenia, dokształcania i doskonalenia kadr</t>
  </si>
  <si>
    <t>10.</t>
  </si>
  <si>
    <t xml:space="preserve">Inne formy kształcenia osobno niewymienione </t>
  </si>
  <si>
    <t xml:space="preserve"> </t>
  </si>
  <si>
    <t>11.</t>
  </si>
  <si>
    <t>Stołówki szkolne i przedszkolne</t>
  </si>
  <si>
    <t>Kolonie i obozy oraz inne formy wypoczynku dzieci</t>
  </si>
  <si>
    <t xml:space="preserve">i młodzieży szkolnej, a także szkolenia młodzieży </t>
  </si>
  <si>
    <t>Szkolne schroniska młodzieżowe</t>
  </si>
  <si>
    <t>Młodzieżowe ośrodki wychowawcze</t>
  </si>
  <si>
    <t xml:space="preserve">Ogółem </t>
  </si>
  <si>
    <t>Załącznik Nr 4</t>
  </si>
  <si>
    <t>Plan dochodów i wydatków na wydzielonym rachunku Funduszu Pomocy</t>
  </si>
  <si>
    <t>dotyczącym realizacji zadań na rzecz pomocy Ukrainie</t>
  </si>
  <si>
    <t xml:space="preserve">Dział </t>
  </si>
  <si>
    <t>Dochody na 2022 rok</t>
  </si>
  <si>
    <t>Wydatki na 2022 rok</t>
  </si>
  <si>
    <t>Zapewnienie posiłku dzieciom i młodzieży</t>
  </si>
  <si>
    <t>85230</t>
  </si>
  <si>
    <t>3290</t>
  </si>
  <si>
    <t>4370</t>
  </si>
  <si>
    <t>Świadczenia rodzinne</t>
  </si>
  <si>
    <t>855</t>
  </si>
  <si>
    <t>85502</t>
  </si>
  <si>
    <t>4740</t>
  </si>
  <si>
    <t>4850</t>
  </si>
  <si>
    <t>Świadczenie pieniężne w wysokości          300 zł</t>
  </si>
  <si>
    <t>853</t>
  </si>
  <si>
    <t>85395</t>
  </si>
  <si>
    <t>758</t>
  </si>
  <si>
    <t>75814</t>
  </si>
  <si>
    <t>Realizacja dodatkowych zadań oświatowych</t>
  </si>
  <si>
    <t>Jednostki oświatowe zbiorczo</t>
  </si>
  <si>
    <t>801</t>
  </si>
  <si>
    <t>80101</t>
  </si>
  <si>
    <t>4350</t>
  </si>
  <si>
    <t>4750</t>
  </si>
  <si>
    <t>4860</t>
  </si>
  <si>
    <t>80102</t>
  </si>
  <si>
    <t>80104</t>
  </si>
  <si>
    <t>Wydział Edukacji</t>
  </si>
  <si>
    <t>2340</t>
  </si>
  <si>
    <t>80105</t>
  </si>
  <si>
    <t>80115</t>
  </si>
  <si>
    <t>80117</t>
  </si>
  <si>
    <t>80120</t>
  </si>
  <si>
    <t>80132</t>
  </si>
  <si>
    <t>854</t>
  </si>
  <si>
    <t>85410</t>
  </si>
  <si>
    <t>Nadanie numeru PESEL</t>
  </si>
  <si>
    <t>750</t>
  </si>
  <si>
    <t>75011</t>
  </si>
  <si>
    <t>Świadczenie pieniężne - 40 zł za osobę dziennie</t>
  </si>
  <si>
    <t>754</t>
  </si>
  <si>
    <t>75495</t>
  </si>
  <si>
    <t>3280</t>
  </si>
  <si>
    <t>Zapewnienie zakwaterowania i wyżywienia obywatelom Ukrainy</t>
  </si>
  <si>
    <t>Wydział Zarządzania Kryzysowego i Bezpieczeństwa</t>
  </si>
  <si>
    <t>Administracja Zasobów Komunalnych</t>
  </si>
  <si>
    <t>Zapewnienie transportu obywatelom Ukrainy</t>
  </si>
  <si>
    <t>600</t>
  </si>
  <si>
    <t>60095</t>
  </si>
  <si>
    <t>Straż Miejska</t>
  </si>
  <si>
    <t>Realizacja zadań przez Miejski Zespół do Spraw Orzekania o Niepełnosprawności na rzecz obywateli Ukrainy</t>
  </si>
  <si>
    <t>85321</t>
  </si>
  <si>
    <t xml:space="preserve">Miejski Zespół do Spraw Orzekania o Niepełnosprawności </t>
  </si>
  <si>
    <t>Zasiłki okresowe</t>
  </si>
  <si>
    <t>85214</t>
  </si>
  <si>
    <t>Stypendia i zasiłki dla uczniów z Ukrainy</t>
  </si>
  <si>
    <t>85415</t>
  </si>
  <si>
    <r>
      <t>Usługi opiekuńcze i specjalistyczne usługi opiekuńcze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</si>
</sst>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b/>
      <sz val="9"/>
      <name val="Arial CE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4"/>
      <name val="Arial CE"/>
      <family val="2"/>
      <charset val="238"/>
    </font>
    <font>
      <sz val="6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 CE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6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0" fontId="16" fillId="0" borderId="0"/>
    <xf numFmtId="0" fontId="16" fillId="0" borderId="0"/>
    <xf numFmtId="0" fontId="16" fillId="0" borderId="0"/>
  </cellStyleXfs>
  <cellXfs count="331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7" fillId="0" borderId="0" xfId="0" applyFont="1"/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right"/>
    </xf>
    <xf numFmtId="0" fontId="6" fillId="0" borderId="10" xfId="0" applyFont="1" applyBorder="1"/>
    <xf numFmtId="4" fontId="6" fillId="0" borderId="11" xfId="0" applyNumberFormat="1" applyFont="1" applyBorder="1"/>
    <xf numFmtId="0" fontId="6" fillId="0" borderId="12" xfId="0" applyFont="1" applyBorder="1"/>
    <xf numFmtId="4" fontId="6" fillId="0" borderId="13" xfId="0" applyNumberFormat="1" applyFont="1" applyBorder="1"/>
    <xf numFmtId="3" fontId="6" fillId="0" borderId="4" xfId="0" applyNumberFormat="1" applyFont="1" applyBorder="1" applyAlignment="1">
      <alignment horizontal="right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3" fontId="6" fillId="0" borderId="5" xfId="0" applyNumberFormat="1" applyFont="1" applyBorder="1"/>
    <xf numFmtId="4" fontId="6" fillId="0" borderId="13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right"/>
    </xf>
    <xf numFmtId="0" fontId="2" fillId="0" borderId="5" xfId="0" applyFont="1" applyBorder="1"/>
    <xf numFmtId="4" fontId="2" fillId="0" borderId="4" xfId="0" applyNumberFormat="1" applyFont="1" applyBorder="1"/>
    <xf numFmtId="3" fontId="2" fillId="0" borderId="5" xfId="0" applyNumberFormat="1" applyFont="1" applyBorder="1"/>
    <xf numFmtId="3" fontId="2" fillId="0" borderId="8" xfId="0" applyNumberFormat="1" applyFont="1" applyBorder="1"/>
    <xf numFmtId="4" fontId="1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" fontId="1" fillId="0" borderId="4" xfId="0" applyNumberFormat="1" applyFont="1" applyBorder="1"/>
    <xf numFmtId="4" fontId="1" fillId="0" borderId="7" xfId="0" applyNumberFormat="1" applyFont="1" applyBorder="1"/>
    <xf numFmtId="0" fontId="7" fillId="0" borderId="7" xfId="0" applyFont="1" applyBorder="1"/>
    <xf numFmtId="49" fontId="7" fillId="0" borderId="7" xfId="0" applyNumberFormat="1" applyFont="1" applyBorder="1" applyAlignment="1">
      <alignment horizontal="right"/>
    </xf>
    <xf numFmtId="0" fontId="7" fillId="0" borderId="8" xfId="0" applyFont="1" applyBorder="1"/>
    <xf numFmtId="0" fontId="11" fillId="0" borderId="0" xfId="0" applyFont="1" applyAlignment="1">
      <alignment horizontal="center"/>
    </xf>
    <xf numFmtId="3" fontId="2" fillId="0" borderId="4" xfId="0" applyNumberFormat="1" applyFont="1" applyBorder="1"/>
    <xf numFmtId="49" fontId="2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wrapText="1"/>
    </xf>
    <xf numFmtId="4" fontId="2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7" xfId="0" applyFont="1" applyBorder="1"/>
    <xf numFmtId="4" fontId="1" fillId="0" borderId="7" xfId="0" applyNumberFormat="1" applyFont="1" applyBorder="1" applyAlignment="1">
      <alignment horizontal="right"/>
    </xf>
    <xf numFmtId="4" fontId="1" fillId="0" borderId="21" xfId="0" applyNumberFormat="1" applyFont="1" applyBorder="1"/>
    <xf numFmtId="4" fontId="1" fillId="0" borderId="21" xfId="0" applyNumberFormat="1" applyFont="1" applyBorder="1" applyAlignment="1">
      <alignment horizontal="right"/>
    </xf>
    <xf numFmtId="0" fontId="2" fillId="0" borderId="5" xfId="0" applyFont="1" applyBorder="1" applyAlignment="1">
      <alignment vertical="top" wrapText="1"/>
    </xf>
    <xf numFmtId="4" fontId="6" fillId="0" borderId="4" xfId="0" applyNumberFormat="1" applyFont="1" applyBorder="1"/>
    <xf numFmtId="4" fontId="6" fillId="0" borderId="4" xfId="0" applyNumberFormat="1" applyFont="1" applyBorder="1" applyAlignment="1">
      <alignment horizontal="right"/>
    </xf>
    <xf numFmtId="3" fontId="1" fillId="0" borderId="8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3" fontId="6" fillId="0" borderId="7" xfId="0" applyNumberFormat="1" applyFont="1" applyBorder="1" applyAlignment="1">
      <alignment horizontal="right"/>
    </xf>
    <xf numFmtId="3" fontId="6" fillId="0" borderId="7" xfId="0" applyNumberFormat="1" applyFont="1" applyBorder="1"/>
    <xf numFmtId="49" fontId="2" fillId="0" borderId="7" xfId="0" applyNumberFormat="1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49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/>
    <xf numFmtId="3" fontId="2" fillId="0" borderId="7" xfId="0" applyNumberFormat="1" applyFont="1" applyBorder="1"/>
    <xf numFmtId="0" fontId="9" fillId="0" borderId="5" xfId="0" applyFont="1" applyBorder="1"/>
    <xf numFmtId="4" fontId="9" fillId="0" borderId="13" xfId="0" applyNumberFormat="1" applyFont="1" applyBorder="1"/>
    <xf numFmtId="0" fontId="1" fillId="0" borderId="5" xfId="0" applyFont="1" applyBorder="1"/>
    <xf numFmtId="0" fontId="1" fillId="0" borderId="4" xfId="1" applyFont="1" applyBorder="1" applyAlignment="1">
      <alignment horizontal="right" vertical="top"/>
    </xf>
    <xf numFmtId="0" fontId="13" fillId="0" borderId="0" xfId="1" applyFont="1" applyAlignment="1">
      <alignment wrapText="1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vertical="top" wrapText="1"/>
    </xf>
    <xf numFmtId="0" fontId="2" fillId="0" borderId="4" xfId="0" applyFont="1" applyBorder="1" applyAlignment="1">
      <alignment horizontal="left"/>
    </xf>
    <xf numFmtId="4" fontId="15" fillId="0" borderId="0" xfId="0" applyNumberFormat="1" applyFont="1"/>
    <xf numFmtId="49" fontId="2" fillId="0" borderId="4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horizontal="right" vertical="top"/>
    </xf>
    <xf numFmtId="0" fontId="1" fillId="0" borderId="5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3" fontId="1" fillId="0" borderId="4" xfId="0" applyNumberFormat="1" applyFont="1" applyBorder="1"/>
    <xf numFmtId="0" fontId="1" fillId="0" borderId="8" xfId="0" applyFont="1" applyBorder="1"/>
    <xf numFmtId="0" fontId="2" fillId="0" borderId="7" xfId="0" applyFont="1" applyBorder="1" applyAlignment="1">
      <alignment horizontal="right"/>
    </xf>
    <xf numFmtId="49" fontId="6" fillId="0" borderId="4" xfId="0" applyNumberFormat="1" applyFont="1" applyBorder="1"/>
    <xf numFmtId="4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right" vertical="top"/>
    </xf>
    <xf numFmtId="3" fontId="9" fillId="0" borderId="4" xfId="0" applyNumberFormat="1" applyFont="1" applyBorder="1"/>
    <xf numFmtId="0" fontId="3" fillId="0" borderId="0" xfId="2" applyFont="1" applyAlignment="1">
      <alignment vertical="center"/>
    </xf>
    <xf numFmtId="0" fontId="2" fillId="0" borderId="0" xfId="3" applyFont="1"/>
    <xf numFmtId="0" fontId="2" fillId="0" borderId="0" xfId="3" applyFont="1" applyAlignment="1">
      <alignment horizontal="left"/>
    </xf>
    <xf numFmtId="0" fontId="3" fillId="0" borderId="0" xfId="3" applyFont="1"/>
    <xf numFmtId="0" fontId="17" fillId="0" borderId="0" xfId="3" applyFont="1"/>
    <xf numFmtId="0" fontId="5" fillId="0" borderId="0" xfId="3" applyFont="1" applyAlignment="1">
      <alignment horizontal="centerContinuous" vertical="center" wrapText="1"/>
    </xf>
    <xf numFmtId="0" fontId="18" fillId="0" borderId="0" xfId="3" applyFont="1" applyAlignment="1">
      <alignment horizontal="center" vertical="center"/>
    </xf>
    <xf numFmtId="0" fontId="11" fillId="0" borderId="0" xfId="3" applyFont="1" applyAlignment="1">
      <alignment horizontal="center"/>
    </xf>
    <xf numFmtId="0" fontId="5" fillId="0" borderId="18" xfId="3" applyFont="1" applyBorder="1" applyAlignment="1">
      <alignment horizontal="center" vertical="center"/>
    </xf>
    <xf numFmtId="0" fontId="5" fillId="3" borderId="18" xfId="3" applyFont="1" applyFill="1" applyBorder="1" applyAlignment="1">
      <alignment horizontal="center" vertical="center"/>
    </xf>
    <xf numFmtId="0" fontId="5" fillId="3" borderId="16" xfId="3" applyFont="1" applyFill="1" applyBorder="1" applyAlignment="1">
      <alignment horizontal="centerContinuous" vertical="center"/>
    </xf>
    <xf numFmtId="0" fontId="19" fillId="0" borderId="18" xfId="3" applyFont="1" applyBorder="1" applyAlignment="1">
      <alignment horizontal="center" vertical="center"/>
    </xf>
    <xf numFmtId="0" fontId="19" fillId="0" borderId="16" xfId="3" applyFont="1" applyBorder="1" applyAlignment="1">
      <alignment horizontal="centerContinuous" vertical="center"/>
    </xf>
    <xf numFmtId="0" fontId="20" fillId="0" borderId="0" xfId="3" applyFont="1"/>
    <xf numFmtId="0" fontId="19" fillId="0" borderId="0" xfId="3" applyFont="1"/>
    <xf numFmtId="0" fontId="10" fillId="0" borderId="18" xfId="3" applyFont="1" applyBorder="1" applyAlignment="1">
      <alignment vertical="center"/>
    </xf>
    <xf numFmtId="0" fontId="21" fillId="0" borderId="18" xfId="3" applyFont="1" applyBorder="1" applyAlignment="1">
      <alignment horizontal="left" vertical="center"/>
    </xf>
    <xf numFmtId="4" fontId="10" fillId="0" borderId="18" xfId="3" applyNumberFormat="1" applyFont="1" applyBorder="1"/>
    <xf numFmtId="0" fontId="22" fillId="0" borderId="0" xfId="3" applyFont="1"/>
    <xf numFmtId="0" fontId="10" fillId="0" borderId="18" xfId="3" applyFont="1" applyBorder="1" applyAlignment="1">
      <alignment vertical="top"/>
    </xf>
    <xf numFmtId="0" fontId="10" fillId="0" borderId="16" xfId="3" applyFont="1" applyBorder="1" applyAlignment="1">
      <alignment vertical="top" wrapText="1"/>
    </xf>
    <xf numFmtId="4" fontId="10" fillId="0" borderId="18" xfId="3" applyNumberFormat="1" applyFont="1" applyBorder="1" applyAlignment="1">
      <alignment vertical="center"/>
    </xf>
    <xf numFmtId="4" fontId="17" fillId="0" borderId="0" xfId="3" applyNumberFormat="1" applyFont="1"/>
    <xf numFmtId="0" fontId="10" fillId="0" borderId="18" xfId="3" applyFont="1" applyBorder="1"/>
    <xf numFmtId="0" fontId="10" fillId="0" borderId="16" xfId="3" applyFont="1" applyBorder="1"/>
    <xf numFmtId="0" fontId="10" fillId="0" borderId="2" xfId="3" applyFont="1" applyBorder="1"/>
    <xf numFmtId="0" fontId="10" fillId="0" borderId="23" xfId="3" applyFont="1" applyBorder="1"/>
    <xf numFmtId="0" fontId="10" fillId="0" borderId="3" xfId="3" applyFont="1" applyBorder="1"/>
    <xf numFmtId="0" fontId="20" fillId="0" borderId="22" xfId="3" applyFont="1" applyBorder="1" applyAlignment="1">
      <alignment vertical="center" wrapText="1"/>
    </xf>
    <xf numFmtId="4" fontId="10" fillId="0" borderId="21" xfId="3" applyNumberFormat="1" applyFont="1" applyBorder="1"/>
    <xf numFmtId="0" fontId="10" fillId="0" borderId="5" xfId="3" applyFont="1" applyBorder="1"/>
    <xf numFmtId="0" fontId="10" fillId="0" borderId="0" xfId="3" applyFont="1"/>
    <xf numFmtId="0" fontId="10" fillId="0" borderId="6" xfId="3" applyFont="1" applyBorder="1"/>
    <xf numFmtId="0" fontId="20" fillId="0" borderId="24" xfId="3" applyFont="1" applyBorder="1" applyAlignment="1">
      <alignment horizontal="left" wrapText="1"/>
    </xf>
    <xf numFmtId="4" fontId="10" fillId="0" borderId="15" xfId="3" applyNumberFormat="1" applyFont="1" applyBorder="1"/>
    <xf numFmtId="0" fontId="10" fillId="0" borderId="8" xfId="3" applyFont="1" applyBorder="1"/>
    <xf numFmtId="0" fontId="10" fillId="0" borderId="25" xfId="3" applyFont="1" applyBorder="1"/>
    <xf numFmtId="0" fontId="10" fillId="0" borderId="9" xfId="3" applyFont="1" applyBorder="1"/>
    <xf numFmtId="0" fontId="20" fillId="0" borderId="8" xfId="3" applyFont="1" applyBorder="1" applyAlignment="1">
      <alignment vertical="center" wrapText="1"/>
    </xf>
    <xf numFmtId="4" fontId="10" fillId="0" borderId="7" xfId="3" applyNumberFormat="1" applyFont="1" applyBorder="1"/>
    <xf numFmtId="0" fontId="20" fillId="0" borderId="26" xfId="3" applyFont="1" applyBorder="1" applyAlignment="1">
      <alignment vertical="center" wrapText="1"/>
    </xf>
    <xf numFmtId="4" fontId="10" fillId="0" borderId="24" xfId="3" applyNumberFormat="1" applyFont="1" applyBorder="1"/>
    <xf numFmtId="0" fontId="20" fillId="0" borderId="24" xfId="3" applyFont="1" applyBorder="1"/>
    <xf numFmtId="0" fontId="20" fillId="0" borderId="14" xfId="3" applyFont="1" applyBorder="1" applyAlignment="1">
      <alignment wrapText="1"/>
    </xf>
    <xf numFmtId="0" fontId="20" fillId="0" borderId="14" xfId="3" applyFont="1" applyBorder="1"/>
    <xf numFmtId="0" fontId="10" fillId="0" borderId="19" xfId="3" applyFont="1" applyBorder="1"/>
    <xf numFmtId="0" fontId="10" fillId="0" borderId="17" xfId="3" applyFont="1" applyBorder="1"/>
    <xf numFmtId="0" fontId="20" fillId="0" borderId="21" xfId="3" applyFont="1" applyBorder="1" applyAlignment="1">
      <alignment horizontal="left" wrapText="1"/>
    </xf>
    <xf numFmtId="0" fontId="20" fillId="0" borderId="21" xfId="3" applyFont="1" applyBorder="1" applyAlignment="1">
      <alignment vertical="center" wrapText="1"/>
    </xf>
    <xf numFmtId="0" fontId="20" fillId="0" borderId="14" xfId="3" applyFont="1" applyBorder="1" applyAlignment="1">
      <alignment horizontal="left" vertical="center" wrapText="1"/>
    </xf>
    <xf numFmtId="0" fontId="20" fillId="0" borderId="27" xfId="3" applyFont="1" applyBorder="1" applyAlignment="1">
      <alignment horizontal="left" vertical="center" wrapText="1"/>
    </xf>
    <xf numFmtId="0" fontId="21" fillId="0" borderId="18" xfId="4" applyFont="1" applyBorder="1" applyAlignment="1">
      <alignment vertical="top"/>
    </xf>
    <xf numFmtId="0" fontId="10" fillId="0" borderId="16" xfId="4" applyFont="1" applyBorder="1" applyAlignment="1">
      <alignment vertical="top" wrapText="1"/>
    </xf>
    <xf numFmtId="4" fontId="10" fillId="0" borderId="18" xfId="4" applyNumberFormat="1" applyFont="1" applyBorder="1" applyAlignment="1">
      <alignment vertical="center"/>
    </xf>
    <xf numFmtId="0" fontId="20" fillId="0" borderId="1" xfId="4" applyFont="1" applyBorder="1" applyAlignment="1">
      <alignment vertical="top"/>
    </xf>
    <xf numFmtId="0" fontId="20" fillId="0" borderId="22" xfId="4" applyFont="1" applyBorder="1" applyAlignment="1">
      <alignment vertical="center" wrapText="1"/>
    </xf>
    <xf numFmtId="3" fontId="20" fillId="0" borderId="21" xfId="4" applyNumberFormat="1" applyFont="1" applyBorder="1"/>
    <xf numFmtId="0" fontId="20" fillId="0" borderId="4" xfId="4" applyFont="1" applyBorder="1" applyAlignment="1">
      <alignment vertical="top"/>
    </xf>
    <xf numFmtId="0" fontId="20" fillId="0" borderId="26" xfId="4" applyFont="1" applyBorder="1" applyAlignment="1">
      <alignment vertical="center" wrapText="1"/>
    </xf>
    <xf numFmtId="3" fontId="20" fillId="0" borderId="24" xfId="4" applyNumberFormat="1" applyFont="1" applyBorder="1"/>
    <xf numFmtId="0" fontId="20" fillId="0" borderId="7" xfId="4" applyFont="1" applyBorder="1" applyAlignment="1">
      <alignment vertical="top"/>
    </xf>
    <xf numFmtId="0" fontId="20" fillId="0" borderId="27" xfId="4" applyFont="1" applyBorder="1" applyAlignment="1">
      <alignment vertical="center" wrapText="1"/>
    </xf>
    <xf numFmtId="3" fontId="20" fillId="0" borderId="28" xfId="4" applyNumberFormat="1" applyFont="1" applyBorder="1"/>
    <xf numFmtId="0" fontId="10" fillId="0" borderId="7" xfId="3" applyFont="1" applyBorder="1" applyAlignment="1">
      <alignment vertical="top"/>
    </xf>
    <xf numFmtId="0" fontId="10" fillId="0" borderId="8" xfId="3" applyFont="1" applyBorder="1" applyAlignment="1">
      <alignment vertical="center" wrapText="1"/>
    </xf>
    <xf numFmtId="4" fontId="10" fillId="0" borderId="7" xfId="3" applyNumberFormat="1" applyFont="1" applyBorder="1" applyAlignment="1">
      <alignment vertical="center"/>
    </xf>
    <xf numFmtId="0" fontId="10" fillId="0" borderId="1" xfId="3" applyFont="1" applyBorder="1" applyAlignment="1">
      <alignment vertical="top"/>
    </xf>
    <xf numFmtId="0" fontId="10" fillId="0" borderId="3" xfId="3" applyFont="1" applyBorder="1" applyAlignment="1">
      <alignment vertical="top"/>
    </xf>
    <xf numFmtId="0" fontId="10" fillId="0" borderId="1" xfId="3" applyFont="1" applyBorder="1" applyAlignment="1">
      <alignment horizontal="right" vertical="center"/>
    </xf>
    <xf numFmtId="0" fontId="10" fillId="0" borderId="3" xfId="3" applyFont="1" applyBorder="1" applyAlignment="1">
      <alignment horizontal="right" vertical="center"/>
    </xf>
    <xf numFmtId="0" fontId="10" fillId="0" borderId="16" xfId="3" applyFont="1" applyBorder="1" applyAlignment="1">
      <alignment wrapText="1"/>
    </xf>
    <xf numFmtId="0" fontId="10" fillId="0" borderId="9" xfId="3" applyFont="1" applyBorder="1" applyAlignment="1">
      <alignment vertical="top"/>
    </xf>
    <xf numFmtId="0" fontId="10" fillId="0" borderId="8" xfId="3" applyFont="1" applyBorder="1" applyAlignment="1">
      <alignment wrapText="1"/>
    </xf>
    <xf numFmtId="0" fontId="20" fillId="0" borderId="26" xfId="3" applyFont="1" applyBorder="1" applyAlignment="1">
      <alignment horizontal="left" wrapText="1"/>
    </xf>
    <xf numFmtId="0" fontId="23" fillId="0" borderId="0" xfId="3" applyFont="1"/>
    <xf numFmtId="0" fontId="20" fillId="0" borderId="14" xfId="3" applyFont="1" applyBorder="1" applyAlignment="1">
      <alignment horizontal="left" wrapText="1"/>
    </xf>
    <xf numFmtId="0" fontId="20" fillId="0" borderId="26" xfId="3" applyFont="1" applyBorder="1" applyAlignment="1">
      <alignment horizontal="left" vertical="center" wrapText="1"/>
    </xf>
    <xf numFmtId="0" fontId="20" fillId="0" borderId="26" xfId="3" applyFont="1" applyBorder="1"/>
    <xf numFmtId="0" fontId="20" fillId="0" borderId="8" xfId="3" applyFont="1" applyBorder="1" applyAlignment="1">
      <alignment horizontal="left" wrapText="1"/>
    </xf>
    <xf numFmtId="0" fontId="20" fillId="0" borderId="22" xfId="3" applyFont="1" applyBorder="1" applyAlignment="1">
      <alignment horizontal="left" vertical="center" wrapText="1"/>
    </xf>
    <xf numFmtId="0" fontId="20" fillId="0" borderId="25" xfId="3" applyFont="1" applyBorder="1"/>
    <xf numFmtId="0" fontId="20" fillId="0" borderId="14" xfId="3" applyFont="1" applyBorder="1" applyAlignment="1">
      <alignment vertical="center" wrapText="1"/>
    </xf>
    <xf numFmtId="0" fontId="20" fillId="0" borderId="16" xfId="3" applyFont="1" applyBorder="1" applyAlignment="1">
      <alignment vertical="center" wrapText="1"/>
    </xf>
    <xf numFmtId="0" fontId="20" fillId="0" borderId="16" xfId="3" applyFont="1" applyBorder="1" applyAlignment="1">
      <alignment horizontal="left" vertical="center" wrapText="1"/>
    </xf>
    <xf numFmtId="0" fontId="24" fillId="0" borderId="22" xfId="3" applyFont="1" applyBorder="1"/>
    <xf numFmtId="0" fontId="24" fillId="0" borderId="14" xfId="3" applyFont="1" applyBorder="1"/>
    <xf numFmtId="0" fontId="24" fillId="0" borderId="26" xfId="3" applyFont="1" applyBorder="1"/>
    <xf numFmtId="4" fontId="10" fillId="0" borderId="20" xfId="3" applyNumberFormat="1" applyFont="1" applyBorder="1"/>
    <xf numFmtId="0" fontId="20" fillId="0" borderId="8" xfId="3" applyFont="1" applyBorder="1" applyAlignment="1">
      <alignment horizontal="left" vertical="center" wrapText="1"/>
    </xf>
    <xf numFmtId="0" fontId="24" fillId="0" borderId="16" xfId="3" applyFont="1" applyBorder="1"/>
    <xf numFmtId="0" fontId="20" fillId="0" borderId="8" xfId="3" applyFont="1" applyBorder="1" applyAlignment="1">
      <alignment vertical="top" wrapText="1"/>
    </xf>
    <xf numFmtId="0" fontId="20" fillId="0" borderId="22" xfId="3" applyFont="1" applyBorder="1" applyAlignment="1">
      <alignment horizontal="left" wrapText="1"/>
    </xf>
    <xf numFmtId="0" fontId="20" fillId="0" borderId="24" xfId="3" applyFont="1" applyBorder="1" applyAlignment="1">
      <alignment horizontal="left" vertical="center" wrapText="1"/>
    </xf>
    <xf numFmtId="0" fontId="10" fillId="0" borderId="7" xfId="3" applyFont="1" applyBorder="1"/>
    <xf numFmtId="0" fontId="20" fillId="0" borderId="16" xfId="3" applyFont="1" applyBorder="1" applyAlignment="1">
      <alignment vertical="top" wrapText="1"/>
    </xf>
    <xf numFmtId="0" fontId="20" fillId="0" borderId="16" xfId="3" applyFont="1" applyBorder="1"/>
    <xf numFmtId="0" fontId="10" fillId="0" borderId="16" xfId="3" applyFont="1" applyBorder="1" applyAlignment="1">
      <alignment horizontal="left" vertical="top" wrapText="1"/>
    </xf>
    <xf numFmtId="0" fontId="20" fillId="0" borderId="22" xfId="3" applyFont="1" applyBorder="1" applyAlignment="1">
      <alignment vertical="top" wrapText="1"/>
    </xf>
    <xf numFmtId="0" fontId="20" fillId="0" borderId="25" xfId="3" applyFont="1" applyBorder="1" applyAlignment="1">
      <alignment vertical="top" wrapText="1"/>
    </xf>
    <xf numFmtId="0" fontId="5" fillId="0" borderId="16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4" fontId="4" fillId="0" borderId="18" xfId="3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25" fillId="0" borderId="0" xfId="0" applyFont="1"/>
    <xf numFmtId="0" fontId="5" fillId="0" borderId="0" xfId="0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0" fontId="16" fillId="0" borderId="0" xfId="0" applyFont="1"/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indent="2"/>
    </xf>
    <xf numFmtId="4" fontId="29" fillId="0" borderId="1" xfId="0" applyNumberFormat="1" applyFont="1" applyBorder="1" applyAlignment="1">
      <alignment vertical="center"/>
    </xf>
    <xf numFmtId="0" fontId="28" fillId="0" borderId="4" xfId="0" applyFont="1" applyBorder="1" applyAlignment="1">
      <alignment horizontal="left" vertical="center" indent="2"/>
    </xf>
    <xf numFmtId="4" fontId="29" fillId="0" borderId="4" xfId="0" applyNumberFormat="1" applyFont="1" applyBorder="1" applyAlignment="1">
      <alignment vertical="center"/>
    </xf>
    <xf numFmtId="4" fontId="29" fillId="0" borderId="4" xfId="0" applyNumberFormat="1" applyFont="1" applyBorder="1" applyAlignment="1">
      <alignment vertical="top"/>
    </xf>
    <xf numFmtId="4" fontId="29" fillId="0" borderId="4" xfId="0" applyNumberFormat="1" applyFont="1" applyBorder="1" applyAlignment="1">
      <alignment horizontal="right" vertical="center"/>
    </xf>
    <xf numFmtId="0" fontId="28" fillId="0" borderId="4" xfId="0" applyFont="1" applyBorder="1" applyAlignment="1">
      <alignment horizontal="center" vertical="top"/>
    </xf>
    <xf numFmtId="0" fontId="29" fillId="0" borderId="4" xfId="0" applyFont="1" applyBorder="1" applyAlignment="1">
      <alignment horizontal="center" vertical="top"/>
    </xf>
    <xf numFmtId="0" fontId="28" fillId="0" borderId="4" xfId="0" applyFont="1" applyBorder="1" applyAlignment="1">
      <alignment horizontal="left" vertical="top" wrapText="1" indent="2"/>
    </xf>
    <xf numFmtId="0" fontId="28" fillId="0" borderId="7" xfId="0" applyFont="1" applyBorder="1" applyAlignment="1">
      <alignment horizontal="center" vertical="top"/>
    </xf>
    <xf numFmtId="0" fontId="29" fillId="0" borderId="7" xfId="0" applyFont="1" applyBorder="1" applyAlignment="1">
      <alignment horizontal="center" vertical="top"/>
    </xf>
    <xf numFmtId="4" fontId="29" fillId="0" borderId="7" xfId="0" applyNumberFormat="1" applyFont="1" applyBorder="1" applyAlignment="1">
      <alignment vertical="top"/>
    </xf>
    <xf numFmtId="0" fontId="29" fillId="0" borderId="18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/>
    </xf>
    <xf numFmtId="0" fontId="28" fillId="0" borderId="18" xfId="0" applyFont="1" applyBorder="1" applyAlignment="1">
      <alignment horizontal="left" vertical="center" indent="2"/>
    </xf>
    <xf numFmtId="4" fontId="29" fillId="0" borderId="18" xfId="0" applyNumberFormat="1" applyFont="1" applyBorder="1" applyAlignment="1">
      <alignment vertical="center"/>
    </xf>
    <xf numFmtId="0" fontId="28" fillId="0" borderId="4" xfId="0" applyFont="1" applyBorder="1" applyAlignment="1">
      <alignment horizontal="left" vertical="center" wrapText="1" indent="2"/>
    </xf>
    <xf numFmtId="0" fontId="28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left" vertical="center" indent="2"/>
    </xf>
    <xf numFmtId="4" fontId="29" fillId="0" borderId="7" xfId="0" applyNumberFormat="1" applyFont="1" applyBorder="1" applyAlignment="1">
      <alignment vertical="center"/>
    </xf>
    <xf numFmtId="4" fontId="29" fillId="0" borderId="7" xfId="0" applyNumberFormat="1" applyFont="1" applyBorder="1" applyAlignment="1">
      <alignment horizontal="right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vertical="center"/>
    </xf>
    <xf numFmtId="0" fontId="3" fillId="0" borderId="0" xfId="0" applyFont="1"/>
    <xf numFmtId="0" fontId="16" fillId="0" borderId="0" xfId="0" applyFont="1" applyAlignment="1">
      <alignment vertical="center"/>
    </xf>
    <xf numFmtId="0" fontId="30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" fontId="32" fillId="0" borderId="7" xfId="0" applyNumberFormat="1" applyFont="1" applyBorder="1" applyAlignment="1">
      <alignment vertical="center"/>
    </xf>
    <xf numFmtId="4" fontId="17" fillId="0" borderId="7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3" fillId="0" borderId="0" xfId="0" applyFont="1" applyAlignment="1">
      <alignment wrapText="1"/>
    </xf>
    <xf numFmtId="49" fontId="17" fillId="0" borderId="18" xfId="0" applyNumberFormat="1" applyFont="1" applyBorder="1" applyAlignment="1">
      <alignment horizontal="center" vertical="center"/>
    </xf>
    <xf numFmtId="4" fontId="17" fillId="0" borderId="18" xfId="0" applyNumberFormat="1" applyFont="1" applyBorder="1" applyAlignment="1">
      <alignment horizontal="center" vertical="center"/>
    </xf>
    <xf numFmtId="4" fontId="32" fillId="0" borderId="18" xfId="0" applyNumberFormat="1" applyFont="1" applyBorder="1" applyAlignment="1">
      <alignment vertical="center"/>
    </xf>
    <xf numFmtId="0" fontId="33" fillId="0" borderId="0" xfId="0" applyFont="1"/>
    <xf numFmtId="4" fontId="17" fillId="0" borderId="4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49" fontId="17" fillId="0" borderId="9" xfId="0" applyNumberFormat="1" applyFont="1" applyBorder="1" applyAlignment="1">
      <alignment horizontal="center" vertical="center"/>
    </xf>
    <xf numFmtId="4" fontId="17" fillId="0" borderId="7" xfId="0" applyNumberFormat="1" applyFont="1" applyBorder="1" applyAlignment="1">
      <alignment vertical="center"/>
    </xf>
    <xf numFmtId="0" fontId="33" fillId="0" borderId="0" xfId="0" applyFont="1" applyAlignment="1">
      <alignment vertical="center" wrapText="1"/>
    </xf>
    <xf numFmtId="49" fontId="17" fillId="0" borderId="6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right" vertical="center"/>
    </xf>
    <xf numFmtId="4" fontId="34" fillId="0" borderId="0" xfId="0" applyNumberFormat="1" applyFont="1"/>
    <xf numFmtId="0" fontId="34" fillId="0" borderId="0" xfId="0" applyFont="1"/>
    <xf numFmtId="0" fontId="0" fillId="0" borderId="0" xfId="0" applyAlignment="1">
      <alignment horizontal="centerContinuous"/>
    </xf>
    <xf numFmtId="0" fontId="1" fillId="0" borderId="14" xfId="0" applyFont="1" applyBorder="1" applyAlignment="1">
      <alignment vertical="center"/>
    </xf>
    <xf numFmtId="4" fontId="1" fillId="0" borderId="15" xfId="0" applyNumberFormat="1" applyFont="1" applyBorder="1"/>
    <xf numFmtId="4" fontId="1" fillId="0" borderId="15" xfId="0" applyNumberFormat="1" applyFont="1" applyBorder="1" applyAlignment="1">
      <alignment horizontal="right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0" fontId="1" fillId="0" borderId="15" xfId="0" applyFont="1" applyBorder="1"/>
    <xf numFmtId="4" fontId="2" fillId="0" borderId="15" xfId="0" applyNumberFormat="1" applyFont="1" applyBorder="1"/>
    <xf numFmtId="0" fontId="2" fillId="0" borderId="14" xfId="0" applyFont="1" applyBorder="1"/>
    <xf numFmtId="4" fontId="2" fillId="0" borderId="15" xfId="0" applyNumberFormat="1" applyFont="1" applyBorder="1" applyAlignment="1">
      <alignment horizontal="right"/>
    </xf>
    <xf numFmtId="0" fontId="2" fillId="0" borderId="14" xfId="0" applyFont="1" applyBorder="1" applyAlignment="1">
      <alignment wrapText="1"/>
    </xf>
    <xf numFmtId="0" fontId="1" fillId="0" borderId="14" xfId="0" applyFont="1" applyBorder="1"/>
    <xf numFmtId="0" fontId="3" fillId="0" borderId="14" xfId="0" applyFont="1" applyBorder="1" applyAlignment="1">
      <alignment wrapText="1"/>
    </xf>
    <xf numFmtId="0" fontId="1" fillId="0" borderId="22" xfId="0" applyFont="1" applyBorder="1" applyAlignment="1">
      <alignment vertical="top"/>
    </xf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16" fillId="0" borderId="0" xfId="3"/>
    <xf numFmtId="0" fontId="4" fillId="0" borderId="16" xfId="3" applyFont="1" applyBorder="1" applyAlignment="1">
      <alignment horizontal="left" vertical="center"/>
    </xf>
    <xf numFmtId="0" fontId="4" fillId="0" borderId="19" xfId="3" applyFont="1" applyBorder="1" applyAlignment="1">
      <alignment horizontal="left" vertical="center"/>
    </xf>
    <xf numFmtId="0" fontId="4" fillId="0" borderId="17" xfId="3" applyFont="1" applyBorder="1" applyAlignment="1">
      <alignment horizontal="left" vertical="center"/>
    </xf>
    <xf numFmtId="0" fontId="24" fillId="0" borderId="16" xfId="3" applyFont="1" applyBorder="1" applyAlignment="1">
      <alignment horizontal="center"/>
    </xf>
    <xf numFmtId="0" fontId="24" fillId="0" borderId="19" xfId="3" applyFont="1" applyBorder="1" applyAlignment="1">
      <alignment horizontal="center"/>
    </xf>
    <xf numFmtId="4" fontId="24" fillId="0" borderId="18" xfId="3" applyNumberFormat="1" applyFont="1" applyBorder="1"/>
    <xf numFmtId="0" fontId="21" fillId="0" borderId="0" xfId="3" applyFont="1" applyAlignment="1">
      <alignment vertical="center"/>
    </xf>
    <xf numFmtId="3" fontId="16" fillId="0" borderId="0" xfId="3" applyNumberFormat="1"/>
    <xf numFmtId="4" fontId="16" fillId="0" borderId="0" xfId="3" applyNumberFormat="1"/>
    <xf numFmtId="0" fontId="0" fillId="0" borderId="0" xfId="0" applyAlignment="1">
      <alignment vertical="center"/>
    </xf>
    <xf numFmtId="0" fontId="8" fillId="0" borderId="20" xfId="0" applyFont="1" applyBorder="1" applyAlignment="1">
      <alignment vertical="center" wrapText="1"/>
    </xf>
    <xf numFmtId="3" fontId="0" fillId="0" borderId="20" xfId="0" applyNumberFormat="1" applyBorder="1" applyAlignment="1">
      <alignment vertical="center"/>
    </xf>
    <xf numFmtId="0" fontId="26" fillId="2" borderId="18" xfId="0" applyFont="1" applyFill="1" applyBorder="1" applyAlignment="1">
      <alignment horizontal="left" vertical="center" indent="2"/>
    </xf>
    <xf numFmtId="4" fontId="26" fillId="2" borderId="7" xfId="0" applyNumberFormat="1" applyFont="1" applyFill="1" applyBorder="1" applyAlignment="1">
      <alignment vertical="center"/>
    </xf>
    <xf numFmtId="0" fontId="0" fillId="2" borderId="0" xfId="0" applyFill="1"/>
    <xf numFmtId="0" fontId="1" fillId="0" borderId="0" xfId="0" applyFont="1"/>
    <xf numFmtId="0" fontId="3" fillId="0" borderId="0" xfId="0" applyFont="1" applyAlignment="1">
      <alignment vertical="center"/>
    </xf>
    <xf numFmtId="4" fontId="36" fillId="0" borderId="4" xfId="0" applyNumberFormat="1" applyFont="1" applyBorder="1" applyAlignment="1">
      <alignment vertical="center"/>
    </xf>
    <xf numFmtId="0" fontId="17" fillId="0" borderId="4" xfId="0" applyFont="1" applyBorder="1"/>
    <xf numFmtId="0" fontId="17" fillId="0" borderId="4" xfId="0" applyFont="1" applyBorder="1" applyAlignment="1">
      <alignment wrapText="1"/>
    </xf>
    <xf numFmtId="0" fontId="12" fillId="0" borderId="16" xfId="0" applyFont="1" applyBorder="1" applyAlignment="1">
      <alignment horizontal="center" vertical="center"/>
    </xf>
    <xf numFmtId="0" fontId="35" fillId="0" borderId="19" xfId="0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4" fontId="12" fillId="0" borderId="17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4" fontId="0" fillId="0" borderId="0" xfId="0" applyNumberFormat="1"/>
  </cellXfs>
  <cellStyles count="5">
    <cellStyle name="Normalny" xfId="0" builtinId="0"/>
    <cellStyle name="Normalny 2" xfId="1" xr:uid="{8132E0C3-CFBA-45A6-A514-B9E141E5A75E}"/>
    <cellStyle name="Normalny 3" xfId="2" xr:uid="{88EC3A11-9928-403B-8DEA-3DA31C917A84}"/>
    <cellStyle name="Normalny 3 2" xfId="3" xr:uid="{147B75B9-7053-474F-AADC-96C05AA8B602}"/>
    <cellStyle name="Normalny 5" xfId="4" xr:uid="{2E524507-F305-4391-9B01-4EF871D7B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88A35-EC13-4485-B684-5D1DF409DD3E}">
  <dimension ref="A1:H464"/>
  <sheetViews>
    <sheetView tabSelected="1" zoomScale="160" zoomScaleNormal="160" workbookViewId="0"/>
  </sheetViews>
  <sheetFormatPr defaultRowHeight="15" x14ac:dyDescent="0.25"/>
  <cols>
    <col min="1" max="1" width="3.7109375" customWidth="1"/>
    <col min="2" max="2" width="6" customWidth="1"/>
    <col min="3" max="3" width="5" customWidth="1"/>
    <col min="4" max="4" width="39.5703125" customWidth="1"/>
    <col min="5" max="5" width="13" customWidth="1"/>
    <col min="6" max="6" width="10.5703125" customWidth="1"/>
    <col min="7" max="7" width="10.28515625" customWidth="1"/>
    <col min="8" max="8" width="12.5703125" customWidth="1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129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16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130</v>
      </c>
      <c r="G4" s="1"/>
      <c r="H4" s="1"/>
    </row>
    <row r="5" spans="1:8" ht="30" customHeight="1" x14ac:dyDescent="0.25">
      <c r="A5" s="4" t="s">
        <v>19</v>
      </c>
      <c r="B5" s="284"/>
      <c r="C5" s="5"/>
      <c r="D5" s="5"/>
      <c r="E5" s="284"/>
      <c r="F5" s="284"/>
      <c r="G5" s="6"/>
      <c r="H5" s="284"/>
    </row>
    <row r="6" spans="1:8" ht="19.5" customHeight="1" x14ac:dyDescent="0.25">
      <c r="A6" s="1"/>
      <c r="B6" s="1"/>
      <c r="C6" s="2"/>
      <c r="D6" s="2"/>
      <c r="E6" s="7"/>
      <c r="F6" s="1"/>
      <c r="G6" s="8"/>
      <c r="H6" s="50" t="s">
        <v>1</v>
      </c>
    </row>
    <row r="7" spans="1:8" s="15" customFormat="1" ht="11.25" x14ac:dyDescent="0.2">
      <c r="A7" s="9"/>
      <c r="B7" s="9"/>
      <c r="C7" s="10"/>
      <c r="D7" s="11"/>
      <c r="E7" s="12" t="s">
        <v>2</v>
      </c>
      <c r="F7" s="13"/>
      <c r="G7" s="14"/>
      <c r="H7" s="12" t="s">
        <v>2</v>
      </c>
    </row>
    <row r="8" spans="1:8" s="15" customFormat="1" ht="11.25" x14ac:dyDescent="0.2">
      <c r="A8" s="16" t="s">
        <v>3</v>
      </c>
      <c r="B8" s="16" t="s">
        <v>4</v>
      </c>
      <c r="C8" s="17" t="s">
        <v>5</v>
      </c>
      <c r="D8" s="18" t="s">
        <v>6</v>
      </c>
      <c r="E8" s="16" t="s">
        <v>17</v>
      </c>
      <c r="F8" s="19" t="s">
        <v>7</v>
      </c>
      <c r="G8" s="16" t="s">
        <v>8</v>
      </c>
      <c r="H8" s="16" t="s">
        <v>9</v>
      </c>
    </row>
    <row r="9" spans="1:8" s="15" customFormat="1" ht="4.5" customHeight="1" x14ac:dyDescent="0.2">
      <c r="A9" s="20"/>
      <c r="B9" s="20"/>
      <c r="C9" s="21"/>
      <c r="D9" s="22"/>
      <c r="E9" s="20"/>
      <c r="F9" s="23"/>
      <c r="G9" s="23"/>
      <c r="H9" s="20"/>
    </row>
    <row r="10" spans="1:8" s="15" customFormat="1" ht="18.75" customHeight="1" thickBot="1" x14ac:dyDescent="0.25">
      <c r="A10" s="51"/>
      <c r="B10" s="51"/>
      <c r="C10" s="25"/>
      <c r="D10" s="26" t="s">
        <v>21</v>
      </c>
      <c r="E10" s="27">
        <v>850960023.81999993</v>
      </c>
      <c r="F10" s="27">
        <f>SUM(F11,F38,F71)</f>
        <v>508681.97</v>
      </c>
      <c r="G10" s="27">
        <f>SUM(G11,G38,G71)</f>
        <v>1073645</v>
      </c>
      <c r="H10" s="27">
        <f t="shared" ref="H10:H11" si="0">SUM(E10+F10-G10)</f>
        <v>850395060.78999996</v>
      </c>
    </row>
    <row r="11" spans="1:8" s="15" customFormat="1" ht="19.5" customHeight="1" thickBot="1" x14ac:dyDescent="0.25">
      <c r="A11" s="51"/>
      <c r="B11" s="51"/>
      <c r="C11" s="25"/>
      <c r="D11" s="28" t="s">
        <v>22</v>
      </c>
      <c r="E11" s="29">
        <v>716736238.64999998</v>
      </c>
      <c r="F11" s="29">
        <f>SUM(F12,F34)</f>
        <v>51025</v>
      </c>
      <c r="G11" s="29">
        <f>SUM(G12,G34)</f>
        <v>1072083</v>
      </c>
      <c r="H11" s="29">
        <f t="shared" si="0"/>
        <v>715715180.64999998</v>
      </c>
    </row>
    <row r="12" spans="1:8" s="15" customFormat="1" ht="16.5" customHeight="1" thickTop="1" thickBot="1" x14ac:dyDescent="0.25">
      <c r="A12" s="31">
        <v>852</v>
      </c>
      <c r="B12" s="31"/>
      <c r="C12" s="32"/>
      <c r="D12" s="33" t="s">
        <v>23</v>
      </c>
      <c r="E12" s="29">
        <v>25666556.789999999</v>
      </c>
      <c r="F12" s="34">
        <f>SUM(F13,F19,F23,F28,F31)</f>
        <v>35651</v>
      </c>
      <c r="G12" s="34">
        <f>SUM(G13,G19,G23,G28,G31)</f>
        <v>1072083</v>
      </c>
      <c r="H12" s="29">
        <f t="shared" ref="H12" si="1">SUM(E12+F12-G12)</f>
        <v>24630124.789999999</v>
      </c>
    </row>
    <row r="13" spans="1:8" s="15" customFormat="1" ht="12" customHeight="1" thickTop="1" x14ac:dyDescent="0.2">
      <c r="A13" s="31"/>
      <c r="B13" s="44">
        <v>85202</v>
      </c>
      <c r="C13" s="25"/>
      <c r="D13" s="36" t="s">
        <v>24</v>
      </c>
      <c r="E13" s="37">
        <v>2127035</v>
      </c>
      <c r="F13" s="38">
        <f>SUM(F14)</f>
        <v>758</v>
      </c>
      <c r="G13" s="38">
        <f>SUM(G14)</f>
        <v>0</v>
      </c>
      <c r="H13" s="37">
        <f t="shared" ref="H13:H15" si="2">SUM(E13+F13-G13)</f>
        <v>2127793</v>
      </c>
    </row>
    <row r="14" spans="1:8" s="15" customFormat="1" ht="12" customHeight="1" x14ac:dyDescent="0.2">
      <c r="A14" s="31"/>
      <c r="B14" s="35"/>
      <c r="C14" s="25"/>
      <c r="D14" s="285" t="s">
        <v>25</v>
      </c>
      <c r="E14" s="286">
        <v>376848</v>
      </c>
      <c r="F14" s="287">
        <f>SUM(F15:F15)</f>
        <v>758</v>
      </c>
      <c r="G14" s="287">
        <f>SUM(G15:G15)</f>
        <v>0</v>
      </c>
      <c r="H14" s="286">
        <f t="shared" si="2"/>
        <v>377606</v>
      </c>
    </row>
    <row r="15" spans="1:8" s="15" customFormat="1" ht="21" customHeight="1" x14ac:dyDescent="0.2">
      <c r="A15" s="31"/>
      <c r="B15" s="35"/>
      <c r="C15" s="52" t="s">
        <v>26</v>
      </c>
      <c r="D15" s="53" t="s">
        <v>27</v>
      </c>
      <c r="E15" s="40">
        <v>256848</v>
      </c>
      <c r="F15" s="40">
        <v>758</v>
      </c>
      <c r="G15" s="54"/>
      <c r="H15" s="40">
        <f t="shared" si="2"/>
        <v>257606</v>
      </c>
    </row>
    <row r="16" spans="1:8" s="15" customFormat="1" ht="12" customHeight="1" x14ac:dyDescent="0.2">
      <c r="A16" s="31"/>
      <c r="B16" s="55">
        <v>85213</v>
      </c>
      <c r="C16" s="56"/>
      <c r="D16" s="57" t="s">
        <v>28</v>
      </c>
      <c r="E16" s="43"/>
      <c r="F16" s="43"/>
      <c r="G16" s="43"/>
      <c r="H16" s="43"/>
    </row>
    <row r="17" spans="1:8" s="15" customFormat="1" ht="12" customHeight="1" x14ac:dyDescent="0.2">
      <c r="A17" s="31"/>
      <c r="B17" s="56"/>
      <c r="C17" s="56"/>
      <c r="D17" s="58" t="s">
        <v>29</v>
      </c>
      <c r="E17" s="45"/>
      <c r="F17" s="43"/>
      <c r="G17" s="43"/>
      <c r="H17" s="45"/>
    </row>
    <row r="18" spans="1:8" s="15" customFormat="1" ht="12" customHeight="1" x14ac:dyDescent="0.2">
      <c r="A18" s="31"/>
      <c r="B18" s="56"/>
      <c r="C18" s="56"/>
      <c r="D18" s="58" t="s">
        <v>30</v>
      </c>
      <c r="E18" s="45"/>
      <c r="F18" s="43"/>
      <c r="G18" s="43"/>
      <c r="H18" s="45"/>
    </row>
    <row r="19" spans="1:8" s="15" customFormat="1" ht="12" customHeight="1" x14ac:dyDescent="0.2">
      <c r="A19" s="31"/>
      <c r="B19" s="59"/>
      <c r="C19" s="58"/>
      <c r="D19" s="60" t="s">
        <v>31</v>
      </c>
      <c r="E19" s="61">
        <v>379300</v>
      </c>
      <c r="F19" s="61"/>
      <c r="G19" s="61">
        <f>SUM(G20)</f>
        <v>3578</v>
      </c>
      <c r="H19" s="37">
        <f>SUM(E19+F19-G19)</f>
        <v>375722</v>
      </c>
    </row>
    <row r="20" spans="1:8" s="15" customFormat="1" ht="12" customHeight="1" x14ac:dyDescent="0.2">
      <c r="A20" s="31"/>
      <c r="B20" s="59"/>
      <c r="C20" s="58"/>
      <c r="D20" s="285" t="s">
        <v>25</v>
      </c>
      <c r="E20" s="62">
        <v>379300</v>
      </c>
      <c r="F20" s="63"/>
      <c r="G20" s="63">
        <f>SUM(G21)</f>
        <v>3578</v>
      </c>
      <c r="H20" s="286">
        <f>SUM(E20+F20-G20)</f>
        <v>375722</v>
      </c>
    </row>
    <row r="21" spans="1:8" s="15" customFormat="1" ht="33.75" customHeight="1" x14ac:dyDescent="0.2">
      <c r="A21" s="31"/>
      <c r="B21" s="58"/>
      <c r="C21" s="52" t="s">
        <v>32</v>
      </c>
      <c r="D21" s="64" t="s">
        <v>33</v>
      </c>
      <c r="E21" s="43">
        <v>379300</v>
      </c>
      <c r="F21" s="43"/>
      <c r="G21" s="43">
        <v>3578</v>
      </c>
      <c r="H21" s="43">
        <f>SUM(E21+F21-G21)</f>
        <v>375722</v>
      </c>
    </row>
    <row r="22" spans="1:8" s="15" customFormat="1" ht="12" customHeight="1" x14ac:dyDescent="0.2">
      <c r="A22" s="31"/>
      <c r="B22" s="35">
        <v>85214</v>
      </c>
      <c r="C22" s="25"/>
      <c r="D22" s="41" t="s">
        <v>34</v>
      </c>
      <c r="E22" s="65"/>
      <c r="F22" s="66"/>
      <c r="G22" s="66"/>
      <c r="H22" s="65"/>
    </row>
    <row r="23" spans="1:8" s="15" customFormat="1" ht="12" customHeight="1" x14ac:dyDescent="0.2">
      <c r="A23" s="31"/>
      <c r="B23" s="35"/>
      <c r="C23" s="25"/>
      <c r="D23" s="67" t="s">
        <v>35</v>
      </c>
      <c r="E23" s="37">
        <v>7806339</v>
      </c>
      <c r="F23" s="38">
        <f>SUM(F24,F26)</f>
        <v>539</v>
      </c>
      <c r="G23" s="38">
        <f>SUM(G24,G26)</f>
        <v>1068505</v>
      </c>
      <c r="H23" s="37">
        <f>SUM(E23+F23-G23)</f>
        <v>6738373</v>
      </c>
    </row>
    <row r="24" spans="1:8" s="15" customFormat="1" ht="12" customHeight="1" x14ac:dyDescent="0.2">
      <c r="A24" s="31"/>
      <c r="B24" s="35"/>
      <c r="C24" s="25"/>
      <c r="D24" s="285" t="s">
        <v>25</v>
      </c>
      <c r="E24" s="286">
        <v>7754539</v>
      </c>
      <c r="F24" s="287">
        <f>SUM(F25)</f>
        <v>0</v>
      </c>
      <c r="G24" s="287">
        <f>SUM(G25)</f>
        <v>1068505</v>
      </c>
      <c r="H24" s="286">
        <f t="shared" ref="H24:H38" si="3">SUM(E24+F24-G24)</f>
        <v>6686034</v>
      </c>
    </row>
    <row r="25" spans="1:8" s="15" customFormat="1" ht="33.75" customHeight="1" x14ac:dyDescent="0.2">
      <c r="A25" s="31"/>
      <c r="B25" s="35"/>
      <c r="C25" s="52" t="s">
        <v>32</v>
      </c>
      <c r="D25" s="64" t="s">
        <v>33</v>
      </c>
      <c r="E25" s="43">
        <v>7754539</v>
      </c>
      <c r="F25" s="54"/>
      <c r="G25" s="54">
        <v>1068505</v>
      </c>
      <c r="H25" s="43">
        <f t="shared" si="3"/>
        <v>6686034</v>
      </c>
    </row>
    <row r="26" spans="1:8" s="15" customFormat="1" ht="12" customHeight="1" x14ac:dyDescent="0.2">
      <c r="A26" s="31"/>
      <c r="B26" s="31"/>
      <c r="C26" s="77"/>
      <c r="D26" s="288" t="s">
        <v>36</v>
      </c>
      <c r="E26" s="286">
        <v>2810</v>
      </c>
      <c r="F26" s="287">
        <f>SUM(F27:F27)</f>
        <v>539</v>
      </c>
      <c r="G26" s="287">
        <f>SUM(G27:G27)</f>
        <v>0</v>
      </c>
      <c r="H26" s="286">
        <f t="shared" si="3"/>
        <v>3349</v>
      </c>
    </row>
    <row r="27" spans="1:8" s="15" customFormat="1" ht="33" customHeight="1" x14ac:dyDescent="0.2">
      <c r="A27" s="31"/>
      <c r="B27" s="31"/>
      <c r="C27" s="52" t="s">
        <v>37</v>
      </c>
      <c r="D27" s="64" t="s">
        <v>38</v>
      </c>
      <c r="E27" s="40">
        <v>2810</v>
      </c>
      <c r="F27" s="40">
        <v>539</v>
      </c>
      <c r="G27" s="54"/>
      <c r="H27" s="40">
        <f t="shared" si="3"/>
        <v>3349</v>
      </c>
    </row>
    <row r="28" spans="1:8" s="15" customFormat="1" ht="12" customHeight="1" x14ac:dyDescent="0.2">
      <c r="A28" s="31"/>
      <c r="B28" s="35">
        <v>85216</v>
      </c>
      <c r="C28" s="25"/>
      <c r="D28" s="36" t="s">
        <v>39</v>
      </c>
      <c r="E28" s="37">
        <v>4626067</v>
      </c>
      <c r="F28" s="38">
        <f t="shared" ref="F28:G28" si="4">SUM(F29)</f>
        <v>20155</v>
      </c>
      <c r="G28" s="38">
        <f t="shared" si="4"/>
        <v>0</v>
      </c>
      <c r="H28" s="37">
        <f>SUM(E28+F28-G28)</f>
        <v>4646222</v>
      </c>
    </row>
    <row r="29" spans="1:8" s="15" customFormat="1" ht="12" customHeight="1" x14ac:dyDescent="0.2">
      <c r="A29" s="31"/>
      <c r="B29" s="35"/>
      <c r="C29" s="25"/>
      <c r="D29" s="285" t="s">
        <v>25</v>
      </c>
      <c r="E29" s="286">
        <v>4542250</v>
      </c>
      <c r="F29" s="287">
        <f>SUM(F30)</f>
        <v>20155</v>
      </c>
      <c r="G29" s="287">
        <f>SUM(G30)</f>
        <v>0</v>
      </c>
      <c r="H29" s="286">
        <f>SUM(E29+F29-G29)</f>
        <v>4562405</v>
      </c>
    </row>
    <row r="30" spans="1:8" s="15" customFormat="1" ht="34.5" customHeight="1" x14ac:dyDescent="0.2">
      <c r="A30" s="31"/>
      <c r="B30" s="31"/>
      <c r="C30" s="52" t="s">
        <v>32</v>
      </c>
      <c r="D30" s="64" t="s">
        <v>33</v>
      </c>
      <c r="E30" s="43">
        <v>4542250</v>
      </c>
      <c r="F30" s="54">
        <v>20155</v>
      </c>
      <c r="G30" s="54"/>
      <c r="H30" s="43">
        <f>SUM(E30+F30-G30)</f>
        <v>4562405</v>
      </c>
    </row>
    <row r="31" spans="1:8" s="15" customFormat="1" ht="12" customHeight="1" x14ac:dyDescent="0.2">
      <c r="A31" s="31"/>
      <c r="B31" s="35">
        <v>85230</v>
      </c>
      <c r="C31" s="25"/>
      <c r="D31" s="36" t="s">
        <v>40</v>
      </c>
      <c r="E31" s="37">
        <v>4510773</v>
      </c>
      <c r="F31" s="38">
        <f t="shared" ref="F31:G31" si="5">SUM(F32)</f>
        <v>14199</v>
      </c>
      <c r="G31" s="38">
        <f t="shared" si="5"/>
        <v>0</v>
      </c>
      <c r="H31" s="37">
        <f>SUM(E31+F31-G31)</f>
        <v>4524972</v>
      </c>
    </row>
    <row r="32" spans="1:8" s="15" customFormat="1" ht="21.75" customHeight="1" x14ac:dyDescent="0.2">
      <c r="A32" s="31"/>
      <c r="B32" s="31"/>
      <c r="C32" s="77"/>
      <c r="D32" s="288" t="s">
        <v>41</v>
      </c>
      <c r="E32" s="286">
        <v>55050</v>
      </c>
      <c r="F32" s="287">
        <f>SUM(F33:F33)</f>
        <v>14199</v>
      </c>
      <c r="G32" s="287">
        <f>SUM(G33:G33)</f>
        <v>0</v>
      </c>
      <c r="H32" s="286">
        <f t="shared" ref="H32:H33" si="6">SUM(E32+F32-G32)</f>
        <v>69249</v>
      </c>
    </row>
    <row r="33" spans="1:8" s="15" customFormat="1" ht="33.75" customHeight="1" x14ac:dyDescent="0.2">
      <c r="A33" s="31"/>
      <c r="B33" s="31"/>
      <c r="C33" s="52" t="s">
        <v>37</v>
      </c>
      <c r="D33" s="64" t="s">
        <v>38</v>
      </c>
      <c r="E33" s="40">
        <v>55050</v>
      </c>
      <c r="F33" s="40">
        <v>14199</v>
      </c>
      <c r="G33" s="54"/>
      <c r="H33" s="40">
        <f t="shared" si="6"/>
        <v>69249</v>
      </c>
    </row>
    <row r="34" spans="1:8" s="15" customFormat="1" ht="12" customHeight="1" thickBot="1" x14ac:dyDescent="0.25">
      <c r="A34" s="31">
        <v>855</v>
      </c>
      <c r="B34" s="31"/>
      <c r="C34" s="32"/>
      <c r="D34" s="33" t="s">
        <v>42</v>
      </c>
      <c r="E34" s="34">
        <v>2232086</v>
      </c>
      <c r="F34" s="34">
        <f>SUM(F35)</f>
        <v>15374</v>
      </c>
      <c r="G34" s="34">
        <f>SUM(G35)</f>
        <v>0</v>
      </c>
      <c r="H34" s="34">
        <f>SUM(E34+F34-G34)</f>
        <v>2247460</v>
      </c>
    </row>
    <row r="35" spans="1:8" s="15" customFormat="1" ht="33.75" customHeight="1" thickTop="1" x14ac:dyDescent="0.2">
      <c r="A35" s="44"/>
      <c r="B35" s="68">
        <v>85502</v>
      </c>
      <c r="C35" s="25"/>
      <c r="D35" s="69" t="s">
        <v>43</v>
      </c>
      <c r="E35" s="37">
        <v>520534</v>
      </c>
      <c r="F35" s="38">
        <f t="shared" ref="F35:G35" si="7">SUM(F36)</f>
        <v>15374</v>
      </c>
      <c r="G35" s="38">
        <f t="shared" si="7"/>
        <v>0</v>
      </c>
      <c r="H35" s="37">
        <f>SUM(E35+F35-G35)</f>
        <v>535908</v>
      </c>
    </row>
    <row r="36" spans="1:8" s="15" customFormat="1" ht="12" customHeight="1" x14ac:dyDescent="0.2">
      <c r="A36" s="24"/>
      <c r="B36" s="31"/>
      <c r="C36" s="77"/>
      <c r="D36" s="288" t="s">
        <v>44</v>
      </c>
      <c r="E36" s="286">
        <v>89204</v>
      </c>
      <c r="F36" s="287">
        <f>SUM(F37:F37)</f>
        <v>15374</v>
      </c>
      <c r="G36" s="287">
        <f>SUM(G37:G37)</f>
        <v>0</v>
      </c>
      <c r="H36" s="286">
        <f t="shared" ref="H36:H37" si="8">SUM(E36+F36-G36)</f>
        <v>104578</v>
      </c>
    </row>
    <row r="37" spans="1:8" s="15" customFormat="1" ht="33.75" customHeight="1" x14ac:dyDescent="0.2">
      <c r="A37" s="24"/>
      <c r="B37" s="31"/>
      <c r="C37" s="52" t="s">
        <v>37</v>
      </c>
      <c r="D37" s="64" t="s">
        <v>38</v>
      </c>
      <c r="E37" s="40">
        <v>89204</v>
      </c>
      <c r="F37" s="40">
        <v>15374</v>
      </c>
      <c r="G37" s="54"/>
      <c r="H37" s="40">
        <f t="shared" si="8"/>
        <v>104578</v>
      </c>
    </row>
    <row r="38" spans="1:8" s="15" customFormat="1" ht="18.75" customHeight="1" thickBot="1" x14ac:dyDescent="0.25">
      <c r="A38" s="51"/>
      <c r="B38" s="51"/>
      <c r="C38" s="25"/>
      <c r="D38" s="28" t="s">
        <v>45</v>
      </c>
      <c r="E38" s="29">
        <v>113697557.67</v>
      </c>
      <c r="F38" s="34">
        <f>SUM(F39,F43,F49,F56,F60)</f>
        <v>456456.97</v>
      </c>
      <c r="G38" s="34">
        <f>SUM(G39,G43,G49,G56,G60)</f>
        <v>1562</v>
      </c>
      <c r="H38" s="29">
        <f t="shared" si="3"/>
        <v>114152452.64</v>
      </c>
    </row>
    <row r="39" spans="1:8" s="15" customFormat="1" ht="18.75" customHeight="1" thickTop="1" thickBot="1" x14ac:dyDescent="0.25">
      <c r="A39" s="30">
        <v>750</v>
      </c>
      <c r="B39" s="31"/>
      <c r="C39" s="32"/>
      <c r="D39" s="33" t="s">
        <v>46</v>
      </c>
      <c r="E39" s="34">
        <v>1814696.8299999998</v>
      </c>
      <c r="F39" s="34">
        <f t="shared" ref="F39:G39" si="9">SUM(F40)</f>
        <v>837.97</v>
      </c>
      <c r="G39" s="34">
        <f t="shared" si="9"/>
        <v>0</v>
      </c>
      <c r="H39" s="34">
        <f t="shared" ref="H39:H42" si="10">SUM(E39+F39-G39)</f>
        <v>1815534.7999999998</v>
      </c>
    </row>
    <row r="40" spans="1:8" s="15" customFormat="1" ht="12" customHeight="1" thickTop="1" x14ac:dyDescent="0.2">
      <c r="A40" s="30"/>
      <c r="B40" s="70">
        <v>75011</v>
      </c>
      <c r="C40" s="70"/>
      <c r="D40" s="71" t="s">
        <v>47</v>
      </c>
      <c r="E40" s="37">
        <v>1814696.8299999998</v>
      </c>
      <c r="F40" s="38">
        <f>SUM(F41)</f>
        <v>837.97</v>
      </c>
      <c r="G40" s="38">
        <f>SUM(G41)</f>
        <v>0</v>
      </c>
      <c r="H40" s="37">
        <f t="shared" si="10"/>
        <v>1815534.7999999998</v>
      </c>
    </row>
    <row r="41" spans="1:8" s="15" customFormat="1" ht="12" customHeight="1" x14ac:dyDescent="0.2">
      <c r="A41" s="30"/>
      <c r="B41" s="31"/>
      <c r="C41" s="25"/>
      <c r="D41" s="288" t="s">
        <v>48</v>
      </c>
      <c r="E41" s="286">
        <v>17811.829999999998</v>
      </c>
      <c r="F41" s="287">
        <f>SUM(F42:F42)</f>
        <v>837.97</v>
      </c>
      <c r="G41" s="287">
        <f>SUM(G42:G42)</f>
        <v>0</v>
      </c>
      <c r="H41" s="286">
        <f t="shared" si="10"/>
        <v>18649.8</v>
      </c>
    </row>
    <row r="42" spans="1:8" s="15" customFormat="1" ht="33.75" customHeight="1" x14ac:dyDescent="0.2">
      <c r="A42" s="72"/>
      <c r="B42" s="73"/>
      <c r="C42" s="74" t="s">
        <v>37</v>
      </c>
      <c r="D42" s="75" t="s">
        <v>38</v>
      </c>
      <c r="E42" s="37">
        <v>17811.829999999998</v>
      </c>
      <c r="F42" s="37">
        <v>837.97</v>
      </c>
      <c r="G42" s="38"/>
      <c r="H42" s="37">
        <f t="shared" si="10"/>
        <v>18649.8</v>
      </c>
    </row>
    <row r="43" spans="1:8" s="15" customFormat="1" ht="12" customHeight="1" thickBot="1" x14ac:dyDescent="0.25">
      <c r="A43" s="31">
        <v>754</v>
      </c>
      <c r="B43" s="31"/>
      <c r="C43" s="32"/>
      <c r="D43" s="33" t="s">
        <v>49</v>
      </c>
      <c r="E43" s="34">
        <v>3892974</v>
      </c>
      <c r="F43" s="34">
        <f>SUM(F44)</f>
        <v>234986</v>
      </c>
      <c r="G43" s="34">
        <f>SUM(G44)</f>
        <v>0</v>
      </c>
      <c r="H43" s="34">
        <f>SUM(E43+F43-G43)</f>
        <v>4127960</v>
      </c>
    </row>
    <row r="44" spans="1:8" s="15" customFormat="1" ht="12" customHeight="1" thickTop="1" x14ac:dyDescent="0.2">
      <c r="A44" s="35"/>
      <c r="B44" s="35">
        <v>75495</v>
      </c>
      <c r="C44" s="25"/>
      <c r="D44" s="36" t="s">
        <v>50</v>
      </c>
      <c r="E44" s="37">
        <v>3892974</v>
      </c>
      <c r="F44" s="38">
        <f>SUM(F45,F47)</f>
        <v>234986</v>
      </c>
      <c r="G44" s="38">
        <f>SUM(G45,G47)</f>
        <v>0</v>
      </c>
      <c r="H44" s="37">
        <f>SUM(E44+F44-G44)</f>
        <v>4127960</v>
      </c>
    </row>
    <row r="45" spans="1:8" s="15" customFormat="1" ht="21.75" customHeight="1" x14ac:dyDescent="0.2">
      <c r="A45" s="51"/>
      <c r="B45" s="51"/>
      <c r="C45" s="77"/>
      <c r="D45" s="288" t="s">
        <v>51</v>
      </c>
      <c r="E45" s="286">
        <v>2212704</v>
      </c>
      <c r="F45" s="287">
        <f>SUM(F46:F46)</f>
        <v>656</v>
      </c>
      <c r="G45" s="287">
        <f>SUM(G46:G46)</f>
        <v>0</v>
      </c>
      <c r="H45" s="286">
        <f t="shared" ref="H45:H48" si="11">SUM(E45+F45-G45)</f>
        <v>2213360</v>
      </c>
    </row>
    <row r="46" spans="1:8" s="15" customFormat="1" ht="34.5" customHeight="1" x14ac:dyDescent="0.2">
      <c r="A46" s="51"/>
      <c r="B46" s="51"/>
      <c r="C46" s="52" t="s">
        <v>37</v>
      </c>
      <c r="D46" s="64" t="s">
        <v>38</v>
      </c>
      <c r="E46" s="40">
        <v>2212704</v>
      </c>
      <c r="F46" s="40">
        <v>656</v>
      </c>
      <c r="G46" s="54"/>
      <c r="H46" s="40">
        <f t="shared" si="11"/>
        <v>2213360</v>
      </c>
    </row>
    <row r="47" spans="1:8" s="15" customFormat="1" ht="23.25" customHeight="1" x14ac:dyDescent="0.2">
      <c r="A47" s="51"/>
      <c r="B47" s="51"/>
      <c r="C47" s="77"/>
      <c r="D47" s="288" t="s">
        <v>52</v>
      </c>
      <c r="E47" s="286">
        <v>1680270</v>
      </c>
      <c r="F47" s="287">
        <f>SUM(F48:F48)</f>
        <v>234330</v>
      </c>
      <c r="G47" s="287">
        <f>SUM(G48:G48)</f>
        <v>0</v>
      </c>
      <c r="H47" s="286">
        <f t="shared" si="11"/>
        <v>1914600</v>
      </c>
    </row>
    <row r="48" spans="1:8" s="15" customFormat="1" ht="35.25" customHeight="1" x14ac:dyDescent="0.2">
      <c r="A48" s="51"/>
      <c r="B48" s="51"/>
      <c r="C48" s="52" t="s">
        <v>37</v>
      </c>
      <c r="D48" s="64" t="s">
        <v>38</v>
      </c>
      <c r="E48" s="40">
        <v>1680270</v>
      </c>
      <c r="F48" s="40">
        <v>234330</v>
      </c>
      <c r="G48" s="54"/>
      <c r="H48" s="40">
        <f t="shared" si="11"/>
        <v>1914600</v>
      </c>
    </row>
    <row r="49" spans="1:8" s="15" customFormat="1" ht="12" customHeight="1" thickBot="1" x14ac:dyDescent="0.25">
      <c r="A49" s="31">
        <v>852</v>
      </c>
      <c r="B49" s="31"/>
      <c r="C49" s="32"/>
      <c r="D49" s="33" t="s">
        <v>23</v>
      </c>
      <c r="E49" s="29">
        <v>11756924.07</v>
      </c>
      <c r="F49" s="34">
        <f>SUM(F50,F53)</f>
        <v>4798</v>
      </c>
      <c r="G49" s="34">
        <f>SUM(G50)</f>
        <v>0</v>
      </c>
      <c r="H49" s="34">
        <f>SUM(E49+F49-G49)</f>
        <v>11761722.07</v>
      </c>
    </row>
    <row r="50" spans="1:8" s="15" customFormat="1" ht="12" customHeight="1" thickTop="1" x14ac:dyDescent="0.2">
      <c r="A50" s="30"/>
      <c r="B50" s="35">
        <v>85219</v>
      </c>
      <c r="C50" s="25"/>
      <c r="D50" s="36" t="s">
        <v>53</v>
      </c>
      <c r="E50" s="37">
        <v>32160</v>
      </c>
      <c r="F50" s="38">
        <f t="shared" ref="F50:G51" si="12">SUM(F51)</f>
        <v>3891</v>
      </c>
      <c r="G50" s="38">
        <f t="shared" si="12"/>
        <v>0</v>
      </c>
      <c r="H50" s="37">
        <f t="shared" ref="H50:H59" si="13">SUM(E50+F50-G50)</f>
        <v>36051</v>
      </c>
    </row>
    <row r="51" spans="1:8" s="15" customFormat="1" ht="12" customHeight="1" x14ac:dyDescent="0.2">
      <c r="A51" s="30"/>
      <c r="B51" s="35"/>
      <c r="C51" s="25"/>
      <c r="D51" s="285" t="s">
        <v>25</v>
      </c>
      <c r="E51" s="286">
        <v>32160</v>
      </c>
      <c r="F51" s="287">
        <f t="shared" si="12"/>
        <v>3891</v>
      </c>
      <c r="G51" s="287">
        <f t="shared" si="12"/>
        <v>0</v>
      </c>
      <c r="H51" s="286">
        <f t="shared" si="13"/>
        <v>36051</v>
      </c>
    </row>
    <row r="52" spans="1:8" s="15" customFormat="1" ht="45.75" customHeight="1" x14ac:dyDescent="0.2">
      <c r="A52" s="30"/>
      <c r="B52" s="31"/>
      <c r="C52" s="52" t="s">
        <v>54</v>
      </c>
      <c r="D52" s="76" t="s">
        <v>55</v>
      </c>
      <c r="E52" s="43">
        <v>32160</v>
      </c>
      <c r="F52" s="40">
        <v>3891</v>
      </c>
      <c r="G52" s="40"/>
      <c r="H52" s="43">
        <f t="shared" si="13"/>
        <v>36051</v>
      </c>
    </row>
    <row r="53" spans="1:8" s="15" customFormat="1" ht="12" customHeight="1" x14ac:dyDescent="0.2">
      <c r="A53" s="30"/>
      <c r="B53" s="35">
        <v>85228</v>
      </c>
      <c r="C53" s="25"/>
      <c r="D53" s="42" t="s">
        <v>56</v>
      </c>
      <c r="E53" s="37">
        <v>3371776</v>
      </c>
      <c r="F53" s="38">
        <f t="shared" ref="F53:G54" si="14">SUM(F54)</f>
        <v>907</v>
      </c>
      <c r="G53" s="38">
        <f t="shared" si="14"/>
        <v>0</v>
      </c>
      <c r="H53" s="37">
        <f t="shared" si="13"/>
        <v>3372683</v>
      </c>
    </row>
    <row r="54" spans="1:8" s="15" customFormat="1" ht="12" customHeight="1" x14ac:dyDescent="0.2">
      <c r="A54" s="30"/>
      <c r="B54" s="35"/>
      <c r="C54" s="25"/>
      <c r="D54" s="285" t="s">
        <v>25</v>
      </c>
      <c r="E54" s="286">
        <v>3371776</v>
      </c>
      <c r="F54" s="287">
        <f t="shared" si="14"/>
        <v>907</v>
      </c>
      <c r="G54" s="287">
        <f t="shared" si="14"/>
        <v>0</v>
      </c>
      <c r="H54" s="286">
        <f t="shared" si="13"/>
        <v>3372683</v>
      </c>
    </row>
    <row r="55" spans="1:8" s="15" customFormat="1" ht="45.75" customHeight="1" x14ac:dyDescent="0.2">
      <c r="A55" s="30"/>
      <c r="B55" s="31"/>
      <c r="C55" s="52" t="s">
        <v>54</v>
      </c>
      <c r="D55" s="76" t="s">
        <v>55</v>
      </c>
      <c r="E55" s="43">
        <v>3371776</v>
      </c>
      <c r="F55" s="40">
        <v>907</v>
      </c>
      <c r="G55" s="40"/>
      <c r="H55" s="43">
        <f t="shared" si="13"/>
        <v>3372683</v>
      </c>
    </row>
    <row r="56" spans="1:8" s="15" customFormat="1" ht="12" customHeight="1" thickBot="1" x14ac:dyDescent="0.25">
      <c r="A56" s="31">
        <v>853</v>
      </c>
      <c r="B56" s="31"/>
      <c r="C56" s="32"/>
      <c r="D56" s="33" t="s">
        <v>57</v>
      </c>
      <c r="E56" s="34">
        <v>17126838.77</v>
      </c>
      <c r="F56" s="34">
        <f>SUM(F57)</f>
        <v>7344</v>
      </c>
      <c r="G56" s="34">
        <f>SUM(G57)</f>
        <v>0</v>
      </c>
      <c r="H56" s="34">
        <f t="shared" si="13"/>
        <v>17134182.77</v>
      </c>
    </row>
    <row r="57" spans="1:8" s="15" customFormat="1" ht="12" customHeight="1" thickTop="1" x14ac:dyDescent="0.2">
      <c r="A57" s="31"/>
      <c r="B57" s="35">
        <v>85395</v>
      </c>
      <c r="C57" s="25"/>
      <c r="D57" s="36" t="s">
        <v>50</v>
      </c>
      <c r="E57" s="37">
        <v>17126838.77</v>
      </c>
      <c r="F57" s="38">
        <f t="shared" ref="F57:G57" si="15">SUM(F58)</f>
        <v>7344</v>
      </c>
      <c r="G57" s="38">
        <f t="shared" si="15"/>
        <v>0</v>
      </c>
      <c r="H57" s="37">
        <f t="shared" si="13"/>
        <v>17134182.77</v>
      </c>
    </row>
    <row r="58" spans="1:8" s="15" customFormat="1" ht="21" customHeight="1" x14ac:dyDescent="0.2">
      <c r="A58" s="31"/>
      <c r="B58" s="35"/>
      <c r="C58" s="25"/>
      <c r="D58" s="289" t="s">
        <v>58</v>
      </c>
      <c r="E58" s="286">
        <v>359550</v>
      </c>
      <c r="F58" s="287">
        <f>SUM(F59:F59)</f>
        <v>7344</v>
      </c>
      <c r="G58" s="287">
        <f>SUM(G59:G59)</f>
        <v>0</v>
      </c>
      <c r="H58" s="286">
        <f t="shared" si="13"/>
        <v>366894</v>
      </c>
    </row>
    <row r="59" spans="1:8" s="15" customFormat="1" ht="33" customHeight="1" x14ac:dyDescent="0.2">
      <c r="A59" s="31"/>
      <c r="B59" s="35"/>
      <c r="C59" s="52" t="s">
        <v>37</v>
      </c>
      <c r="D59" s="64" t="s">
        <v>38</v>
      </c>
      <c r="E59" s="40">
        <v>359550</v>
      </c>
      <c r="F59" s="40">
        <v>7344</v>
      </c>
      <c r="G59" s="54"/>
      <c r="H59" s="40">
        <f t="shared" si="13"/>
        <v>366894</v>
      </c>
    </row>
    <row r="60" spans="1:8" s="15" customFormat="1" ht="12.75" customHeight="1" thickBot="1" x14ac:dyDescent="0.25">
      <c r="A60" s="31">
        <v>855</v>
      </c>
      <c r="B60" s="31"/>
      <c r="C60" s="32"/>
      <c r="D60" s="33" t="s">
        <v>42</v>
      </c>
      <c r="E60" s="34">
        <v>78481519</v>
      </c>
      <c r="F60" s="34">
        <f>SUM(F63,F68)</f>
        <v>208491</v>
      </c>
      <c r="G60" s="34">
        <f>SUM(G63,G68)</f>
        <v>1562</v>
      </c>
      <c r="H60" s="34">
        <f>SUM(E60+F60-G60)</f>
        <v>78688448</v>
      </c>
    </row>
    <row r="61" spans="1:8" s="15" customFormat="1" ht="12.75" customHeight="1" thickTop="1" x14ac:dyDescent="0.2">
      <c r="A61" s="31"/>
      <c r="B61" s="58">
        <v>85502</v>
      </c>
      <c r="C61" s="77"/>
      <c r="D61" s="78" t="s">
        <v>59</v>
      </c>
      <c r="E61" s="66"/>
      <c r="F61" s="66"/>
      <c r="G61" s="66"/>
      <c r="H61" s="66"/>
    </row>
    <row r="62" spans="1:8" s="15" customFormat="1" ht="12.75" customHeight="1" x14ac:dyDescent="0.2">
      <c r="A62" s="31"/>
      <c r="B62" s="58"/>
      <c r="C62" s="77"/>
      <c r="D62" s="78" t="s">
        <v>60</v>
      </c>
      <c r="E62" s="66"/>
      <c r="F62" s="66"/>
      <c r="G62" s="66"/>
      <c r="H62" s="66"/>
    </row>
    <row r="63" spans="1:8" s="15" customFormat="1" ht="12.75" customHeight="1" x14ac:dyDescent="0.2">
      <c r="A63" s="31"/>
      <c r="B63" s="58"/>
      <c r="C63" s="77"/>
      <c r="D63" s="67" t="s">
        <v>61</v>
      </c>
      <c r="E63" s="37">
        <v>41259119</v>
      </c>
      <c r="F63" s="38">
        <f t="shared" ref="F63:G63" si="16">SUM(F64)</f>
        <v>208491</v>
      </c>
      <c r="G63" s="38">
        <f t="shared" si="16"/>
        <v>0</v>
      </c>
      <c r="H63" s="37">
        <f>SUM(E63+F63-G63)</f>
        <v>41467610</v>
      </c>
    </row>
    <row r="64" spans="1:8" s="15" customFormat="1" ht="12.75" customHeight="1" x14ac:dyDescent="0.2">
      <c r="A64" s="31"/>
      <c r="B64" s="35"/>
      <c r="C64" s="25"/>
      <c r="D64" s="285" t="s">
        <v>25</v>
      </c>
      <c r="E64" s="286">
        <v>41259119</v>
      </c>
      <c r="F64" s="287">
        <f>SUM(F65)</f>
        <v>208491</v>
      </c>
      <c r="G64" s="287">
        <f>SUM(G65)</f>
        <v>0</v>
      </c>
      <c r="H64" s="286">
        <f>SUM(E64+F64-G64)</f>
        <v>41467610</v>
      </c>
    </row>
    <row r="65" spans="1:8" s="15" customFormat="1" ht="45" customHeight="1" x14ac:dyDescent="0.2">
      <c r="A65" s="31"/>
      <c r="B65" s="31"/>
      <c r="C65" s="52" t="s">
        <v>54</v>
      </c>
      <c r="D65" s="76" t="s">
        <v>55</v>
      </c>
      <c r="E65" s="43">
        <v>41259119</v>
      </c>
      <c r="F65" s="40">
        <v>208491</v>
      </c>
      <c r="G65" s="40"/>
      <c r="H65" s="43">
        <f t="shared" ref="H65" si="17">SUM(E65+F65-G65)</f>
        <v>41467610</v>
      </c>
    </row>
    <row r="66" spans="1:8" s="15" customFormat="1" ht="12" customHeight="1" x14ac:dyDescent="0.2">
      <c r="A66" s="31"/>
      <c r="B66" s="35">
        <v>85513</v>
      </c>
      <c r="C66" s="25"/>
      <c r="D66" s="58" t="s">
        <v>62</v>
      </c>
      <c r="E66" s="43"/>
      <c r="F66" s="40"/>
      <c r="G66" s="40"/>
      <c r="H66" s="43"/>
    </row>
    <row r="67" spans="1:8" s="15" customFormat="1" ht="12" customHeight="1" x14ac:dyDescent="0.2">
      <c r="A67" s="31"/>
      <c r="B67" s="51"/>
      <c r="C67" s="25"/>
      <c r="D67" s="41" t="s">
        <v>63</v>
      </c>
      <c r="E67" s="43"/>
      <c r="F67" s="40"/>
      <c r="G67" s="40"/>
      <c r="H67" s="43"/>
    </row>
    <row r="68" spans="1:8" s="15" customFormat="1" ht="12" customHeight="1" x14ac:dyDescent="0.2">
      <c r="A68" s="31"/>
      <c r="B68" s="35"/>
      <c r="C68" s="25"/>
      <c r="D68" s="36" t="s">
        <v>64</v>
      </c>
      <c r="E68" s="37">
        <v>382956</v>
      </c>
      <c r="F68" s="38">
        <f t="shared" ref="F68:G69" si="18">SUM(F69)</f>
        <v>0</v>
      </c>
      <c r="G68" s="38">
        <f t="shared" si="18"/>
        <v>1562</v>
      </c>
      <c r="H68" s="37">
        <f t="shared" ref="H68:H72" si="19">SUM(E68+F68-G68)</f>
        <v>381394</v>
      </c>
    </row>
    <row r="69" spans="1:8" s="15" customFormat="1" ht="12" customHeight="1" x14ac:dyDescent="0.2">
      <c r="A69" s="31"/>
      <c r="B69" s="35"/>
      <c r="C69" s="25"/>
      <c r="D69" s="285" t="s">
        <v>25</v>
      </c>
      <c r="E69" s="286">
        <v>382956</v>
      </c>
      <c r="F69" s="287">
        <f t="shared" si="18"/>
        <v>0</v>
      </c>
      <c r="G69" s="287">
        <f t="shared" si="18"/>
        <v>1562</v>
      </c>
      <c r="H69" s="286">
        <f t="shared" si="19"/>
        <v>381394</v>
      </c>
    </row>
    <row r="70" spans="1:8" s="15" customFormat="1" ht="45" customHeight="1" x14ac:dyDescent="0.2">
      <c r="A70" s="31"/>
      <c r="B70" s="31"/>
      <c r="C70" s="52" t="s">
        <v>54</v>
      </c>
      <c r="D70" s="76" t="s">
        <v>55</v>
      </c>
      <c r="E70" s="43">
        <v>382956</v>
      </c>
      <c r="F70" s="40"/>
      <c r="G70" s="40">
        <v>1562</v>
      </c>
      <c r="H70" s="43">
        <f t="shared" si="19"/>
        <v>381394</v>
      </c>
    </row>
    <row r="71" spans="1:8" s="15" customFormat="1" ht="20.25" customHeight="1" thickBot="1" x14ac:dyDescent="0.25">
      <c r="A71" s="51"/>
      <c r="B71" s="51"/>
      <c r="C71" s="25"/>
      <c r="D71" s="28" t="s">
        <v>65</v>
      </c>
      <c r="E71" s="29">
        <v>20526227.5</v>
      </c>
      <c r="F71" s="29">
        <f>SUM(F72)</f>
        <v>1200</v>
      </c>
      <c r="G71" s="29">
        <f>SUM(G72)</f>
        <v>0</v>
      </c>
      <c r="H71" s="29">
        <f t="shared" si="19"/>
        <v>20527427.5</v>
      </c>
    </row>
    <row r="72" spans="1:8" s="15" customFormat="1" ht="19.5" customHeight="1" thickTop="1" thickBot="1" x14ac:dyDescent="0.25">
      <c r="A72" s="30">
        <v>853</v>
      </c>
      <c r="B72" s="31"/>
      <c r="C72" s="32"/>
      <c r="D72" s="33" t="s">
        <v>57</v>
      </c>
      <c r="E72" s="29">
        <v>525330</v>
      </c>
      <c r="F72" s="29">
        <f>SUM(F73)</f>
        <v>1200</v>
      </c>
      <c r="G72" s="29">
        <f>SUM(G73)</f>
        <v>0</v>
      </c>
      <c r="H72" s="29">
        <f t="shared" si="19"/>
        <v>526530</v>
      </c>
    </row>
    <row r="73" spans="1:8" s="15" customFormat="1" ht="12" customHeight="1" thickTop="1" x14ac:dyDescent="0.2">
      <c r="A73" s="30"/>
      <c r="B73" s="35">
        <v>85321</v>
      </c>
      <c r="C73" s="25"/>
      <c r="D73" s="36" t="s">
        <v>66</v>
      </c>
      <c r="E73" s="37">
        <v>497610</v>
      </c>
      <c r="F73" s="37">
        <f t="shared" ref="F73:G74" si="20">SUM(F74)</f>
        <v>1200</v>
      </c>
      <c r="G73" s="37">
        <f t="shared" si="20"/>
        <v>0</v>
      </c>
      <c r="H73" s="37">
        <f>SUM(E73+F73-G73)</f>
        <v>498810</v>
      </c>
    </row>
    <row r="74" spans="1:8" s="15" customFormat="1" ht="33" customHeight="1" x14ac:dyDescent="0.2">
      <c r="A74" s="30"/>
      <c r="B74" s="35"/>
      <c r="C74" s="25"/>
      <c r="D74" s="290" t="s">
        <v>67</v>
      </c>
      <c r="E74" s="286">
        <v>1050</v>
      </c>
      <c r="F74" s="287">
        <f t="shared" si="20"/>
        <v>1200</v>
      </c>
      <c r="G74" s="287">
        <f t="shared" si="20"/>
        <v>0</v>
      </c>
      <c r="H74" s="286">
        <f>SUM(E74+F74-G74)</f>
        <v>2250</v>
      </c>
    </row>
    <row r="75" spans="1:8" s="15" customFormat="1" ht="33" customHeight="1" x14ac:dyDescent="0.2">
      <c r="A75" s="72"/>
      <c r="B75" s="79"/>
      <c r="C75" s="74" t="s">
        <v>37</v>
      </c>
      <c r="D75" s="75" t="s">
        <v>38</v>
      </c>
      <c r="E75" s="61">
        <v>1050</v>
      </c>
      <c r="F75" s="37">
        <v>1200</v>
      </c>
      <c r="G75" s="37"/>
      <c r="H75" s="61">
        <f t="shared" ref="H75:H77" si="21">SUM(E75+F75-G75)</f>
        <v>2250</v>
      </c>
    </row>
    <row r="76" spans="1:8" s="15" customFormat="1" ht="21.75" customHeight="1" thickBot="1" x14ac:dyDescent="0.25">
      <c r="A76" s="35"/>
      <c r="B76" s="35"/>
      <c r="C76" s="25"/>
      <c r="D76" s="26" t="s">
        <v>10</v>
      </c>
      <c r="E76" s="27">
        <v>1009083589.92</v>
      </c>
      <c r="F76" s="27">
        <f>SUM(F77,F153,F198)</f>
        <v>608624.34</v>
      </c>
      <c r="G76" s="27">
        <f>SUM(G77,G153,G198)</f>
        <v>1173587.3700000001</v>
      </c>
      <c r="H76" s="27">
        <f t="shared" si="21"/>
        <v>1008518626.89</v>
      </c>
    </row>
    <row r="77" spans="1:8" s="15" customFormat="1" ht="18" customHeight="1" thickBot="1" x14ac:dyDescent="0.25">
      <c r="A77" s="35"/>
      <c r="B77" s="35"/>
      <c r="C77" s="25"/>
      <c r="D77" s="28" t="s">
        <v>11</v>
      </c>
      <c r="E77" s="29">
        <v>874859804.75</v>
      </c>
      <c r="F77" s="29">
        <f>SUM(F78,F83,F88,F111,F117,F135,F148)</f>
        <v>107825.52</v>
      </c>
      <c r="G77" s="29">
        <f>SUM(G78,G83,G88,G111,G117,G135,G148)</f>
        <v>1128883.52</v>
      </c>
      <c r="H77" s="29">
        <f t="shared" si="21"/>
        <v>873838746.75</v>
      </c>
    </row>
    <row r="78" spans="1:8" s="15" customFormat="1" ht="17.25" customHeight="1" thickTop="1" thickBot="1" x14ac:dyDescent="0.25">
      <c r="A78" s="30">
        <v>630</v>
      </c>
      <c r="B78" s="31"/>
      <c r="C78" s="44"/>
      <c r="D78" s="80" t="s">
        <v>68</v>
      </c>
      <c r="E78" s="29">
        <v>3486255</v>
      </c>
      <c r="F78" s="34">
        <f>SUM(F79)</f>
        <v>1000</v>
      </c>
      <c r="G78" s="34">
        <f>SUM(G79)</f>
        <v>1000</v>
      </c>
      <c r="H78" s="81">
        <f t="shared" ref="H78:H82" si="22">SUM(E78+F78-G78)</f>
        <v>3486255</v>
      </c>
    </row>
    <row r="79" spans="1:8" s="15" customFormat="1" ht="12" customHeight="1" thickTop="1" x14ac:dyDescent="0.2">
      <c r="A79" s="30"/>
      <c r="B79" s="35">
        <v>63003</v>
      </c>
      <c r="C79" s="44"/>
      <c r="D79" s="36" t="s">
        <v>69</v>
      </c>
      <c r="E79" s="37">
        <v>3486255</v>
      </c>
      <c r="F79" s="37">
        <f>SUM(F80)</f>
        <v>1000</v>
      </c>
      <c r="G79" s="37">
        <f>SUM(G80)</f>
        <v>1000</v>
      </c>
      <c r="H79" s="37">
        <f t="shared" si="22"/>
        <v>3486255</v>
      </c>
    </row>
    <row r="80" spans="1:8" s="15" customFormat="1" ht="12" customHeight="1" x14ac:dyDescent="0.2">
      <c r="A80" s="30"/>
      <c r="B80" s="44"/>
      <c r="C80" s="44"/>
      <c r="D80" s="291" t="s">
        <v>70</v>
      </c>
      <c r="E80" s="286">
        <v>1986255</v>
      </c>
      <c r="F80" s="292">
        <f>SUM(F81:F82)</f>
        <v>1000</v>
      </c>
      <c r="G80" s="292">
        <f>SUM(G81:G82)</f>
        <v>1000</v>
      </c>
      <c r="H80" s="292">
        <f t="shared" si="22"/>
        <v>1986255</v>
      </c>
    </row>
    <row r="81" spans="1:8" s="15" customFormat="1" ht="12" customHeight="1" x14ac:dyDescent="0.2">
      <c r="A81" s="30"/>
      <c r="B81" s="44"/>
      <c r="C81" s="55">
        <v>4210</v>
      </c>
      <c r="D81" s="82" t="s">
        <v>71</v>
      </c>
      <c r="E81" s="43">
        <v>138450</v>
      </c>
      <c r="F81" s="43"/>
      <c r="G81" s="43">
        <v>1000</v>
      </c>
      <c r="H81" s="54">
        <f t="shared" si="22"/>
        <v>137450</v>
      </c>
    </row>
    <row r="82" spans="1:8" s="15" customFormat="1" ht="33.75" customHeight="1" x14ac:dyDescent="0.2">
      <c r="A82" s="30"/>
      <c r="B82" s="44"/>
      <c r="C82" s="83">
        <v>4920</v>
      </c>
      <c r="D82" s="84" t="s">
        <v>72</v>
      </c>
      <c r="E82" s="43">
        <v>0</v>
      </c>
      <c r="F82" s="43">
        <v>1000</v>
      </c>
      <c r="G82" s="43"/>
      <c r="H82" s="54">
        <f t="shared" si="22"/>
        <v>1000</v>
      </c>
    </row>
    <row r="83" spans="1:8" s="15" customFormat="1" ht="11.25" customHeight="1" thickBot="1" x14ac:dyDescent="0.25">
      <c r="A83" s="30">
        <v>750</v>
      </c>
      <c r="B83" s="30"/>
      <c r="C83" s="32"/>
      <c r="D83" s="33" t="s">
        <v>46</v>
      </c>
      <c r="E83" s="29">
        <v>83404030.280000016</v>
      </c>
      <c r="F83" s="34">
        <f>SUM(F84)</f>
        <v>40000</v>
      </c>
      <c r="G83" s="34">
        <f>SUM(G84)</f>
        <v>40000</v>
      </c>
      <c r="H83" s="81">
        <f t="shared" ref="H83:H87" si="23">SUM(E83+F83-G83)</f>
        <v>83404030.280000016</v>
      </c>
    </row>
    <row r="84" spans="1:8" s="15" customFormat="1" ht="11.25" customHeight="1" thickTop="1" x14ac:dyDescent="0.2">
      <c r="A84" s="30"/>
      <c r="B84" s="25" t="s">
        <v>73</v>
      </c>
      <c r="C84" s="44"/>
      <c r="D84" s="36" t="s">
        <v>74</v>
      </c>
      <c r="E84" s="37">
        <v>31968169.280000001</v>
      </c>
      <c r="F84" s="37">
        <f>SUM(F85)</f>
        <v>40000</v>
      </c>
      <c r="G84" s="37">
        <f>SUM(G85)</f>
        <v>40000</v>
      </c>
      <c r="H84" s="37">
        <f t="shared" si="23"/>
        <v>31968169.280000001</v>
      </c>
    </row>
    <row r="85" spans="1:8" s="15" customFormat="1" ht="12" customHeight="1" x14ac:dyDescent="0.2">
      <c r="A85" s="30"/>
      <c r="B85" s="44"/>
      <c r="C85" s="44"/>
      <c r="D85" s="293" t="s">
        <v>75</v>
      </c>
      <c r="E85" s="286">
        <v>27790590.690000001</v>
      </c>
      <c r="F85" s="292">
        <f>SUM(F86:F87)</f>
        <v>40000</v>
      </c>
      <c r="G85" s="292">
        <f>SUM(G86:G87)</f>
        <v>40000</v>
      </c>
      <c r="H85" s="292">
        <f t="shared" si="23"/>
        <v>27790590.690000001</v>
      </c>
    </row>
    <row r="86" spans="1:8" s="15" customFormat="1" ht="21.75" customHeight="1" x14ac:dyDescent="0.2">
      <c r="A86" s="30"/>
      <c r="B86" s="44"/>
      <c r="C86" s="85">
        <v>4140</v>
      </c>
      <c r="D86" s="86" t="s">
        <v>76</v>
      </c>
      <c r="E86" s="43">
        <v>198142</v>
      </c>
      <c r="F86" s="43"/>
      <c r="G86" s="43">
        <v>40000</v>
      </c>
      <c r="H86" s="54">
        <f t="shared" si="23"/>
        <v>158142</v>
      </c>
    </row>
    <row r="87" spans="1:8" s="15" customFormat="1" ht="12" customHeight="1" x14ac:dyDescent="0.2">
      <c r="A87" s="30"/>
      <c r="B87" s="44"/>
      <c r="C87" s="44">
        <v>4260</v>
      </c>
      <c r="D87" s="39" t="s">
        <v>77</v>
      </c>
      <c r="E87" s="43">
        <v>898000</v>
      </c>
      <c r="F87" s="43">
        <v>40000</v>
      </c>
      <c r="G87" s="43"/>
      <c r="H87" s="54">
        <f t="shared" si="23"/>
        <v>938000</v>
      </c>
    </row>
    <row r="88" spans="1:8" s="15" customFormat="1" ht="12" customHeight="1" thickBot="1" x14ac:dyDescent="0.25">
      <c r="A88" s="32" t="s">
        <v>78</v>
      </c>
      <c r="B88" s="31"/>
      <c r="C88" s="32"/>
      <c r="D88" s="33" t="s">
        <v>23</v>
      </c>
      <c r="E88" s="29">
        <v>69160933.840000004</v>
      </c>
      <c r="F88" s="34">
        <f>SUM(F89,F95,F99,F104,F107)</f>
        <v>35651</v>
      </c>
      <c r="G88" s="34">
        <f>SUM(G89,G95,G99,G104,G107)</f>
        <v>1072083</v>
      </c>
      <c r="H88" s="29">
        <f t="shared" ref="H88:H91" si="24">SUM(E88+F88-G88)</f>
        <v>68124501.840000004</v>
      </c>
    </row>
    <row r="89" spans="1:8" s="15" customFormat="1" ht="12" customHeight="1" thickTop="1" x14ac:dyDescent="0.2">
      <c r="A89" s="32"/>
      <c r="B89" s="35">
        <v>85202</v>
      </c>
      <c r="C89" s="25"/>
      <c r="D89" s="42" t="s">
        <v>24</v>
      </c>
      <c r="E89" s="46">
        <v>17034026.259999998</v>
      </c>
      <c r="F89" s="38">
        <f>SUM(F90)</f>
        <v>758</v>
      </c>
      <c r="G89" s="38">
        <f>SUM(G90)</f>
        <v>0</v>
      </c>
      <c r="H89" s="37">
        <f t="shared" si="24"/>
        <v>17034784.259999998</v>
      </c>
    </row>
    <row r="90" spans="1:8" s="15" customFormat="1" ht="12" customHeight="1" x14ac:dyDescent="0.2">
      <c r="A90" s="32"/>
      <c r="B90" s="35"/>
      <c r="C90" s="25"/>
      <c r="D90" s="293" t="s">
        <v>79</v>
      </c>
      <c r="E90" s="286">
        <v>4024930.26</v>
      </c>
      <c r="F90" s="294">
        <f>SUM(F91:F91)</f>
        <v>758</v>
      </c>
      <c r="G90" s="294">
        <f>SUM(G91:G91)</f>
        <v>0</v>
      </c>
      <c r="H90" s="292">
        <f t="shared" si="24"/>
        <v>4025688.26</v>
      </c>
    </row>
    <row r="91" spans="1:8" s="15" customFormat="1" ht="12" customHeight="1" x14ac:dyDescent="0.2">
      <c r="A91" s="32"/>
      <c r="B91" s="35"/>
      <c r="C91" s="44">
        <v>4260</v>
      </c>
      <c r="D91" s="39" t="s">
        <v>77</v>
      </c>
      <c r="E91" s="43">
        <v>271770</v>
      </c>
      <c r="F91" s="45">
        <v>758</v>
      </c>
      <c r="G91" s="45"/>
      <c r="H91" s="54">
        <f t="shared" si="24"/>
        <v>272528</v>
      </c>
    </row>
    <row r="92" spans="1:8" s="15" customFormat="1" ht="12" customHeight="1" x14ac:dyDescent="0.2">
      <c r="A92" s="32"/>
      <c r="B92" s="44">
        <v>85213</v>
      </c>
      <c r="C92" s="70"/>
      <c r="D92" s="87" t="s">
        <v>28</v>
      </c>
      <c r="E92" s="45"/>
      <c r="F92" s="54"/>
      <c r="G92" s="54"/>
      <c r="H92" s="40"/>
    </row>
    <row r="93" spans="1:8" s="15" customFormat="1" ht="12" customHeight="1" x14ac:dyDescent="0.2">
      <c r="A93" s="32"/>
      <c r="B93" s="70"/>
      <c r="C93" s="70"/>
      <c r="D93" s="35" t="s">
        <v>29</v>
      </c>
      <c r="E93" s="45"/>
      <c r="F93" s="54"/>
      <c r="G93" s="54"/>
      <c r="H93" s="45"/>
    </row>
    <row r="94" spans="1:8" s="15" customFormat="1" ht="12" customHeight="1" x14ac:dyDescent="0.2">
      <c r="A94" s="32"/>
      <c r="B94" s="70"/>
      <c r="C94" s="70"/>
      <c r="D94" s="35" t="s">
        <v>30</v>
      </c>
      <c r="E94" s="45"/>
      <c r="F94" s="43"/>
      <c r="G94" s="43"/>
      <c r="H94" s="43"/>
    </row>
    <row r="95" spans="1:8" s="15" customFormat="1" ht="12" customHeight="1" x14ac:dyDescent="0.2">
      <c r="A95" s="32"/>
      <c r="B95" s="89"/>
      <c r="C95" s="35"/>
      <c r="D95" s="90" t="s">
        <v>31</v>
      </c>
      <c r="E95" s="46">
        <v>379300</v>
      </c>
      <c r="F95" s="38">
        <f>SUM(F96)</f>
        <v>0</v>
      </c>
      <c r="G95" s="38">
        <f>SUM(G96)</f>
        <v>3578</v>
      </c>
      <c r="H95" s="37">
        <f t="shared" ref="H95:H97" si="25">SUM(E95+F95-G95)</f>
        <v>375722</v>
      </c>
    </row>
    <row r="96" spans="1:8" s="15" customFormat="1" ht="12" customHeight="1" x14ac:dyDescent="0.2">
      <c r="A96" s="32"/>
      <c r="B96" s="35"/>
      <c r="C96" s="25"/>
      <c r="D96" s="293" t="s">
        <v>80</v>
      </c>
      <c r="E96" s="286">
        <v>379300</v>
      </c>
      <c r="F96" s="294">
        <f>SUM(F97)</f>
        <v>0</v>
      </c>
      <c r="G96" s="294">
        <f>SUM(G97)</f>
        <v>3578</v>
      </c>
      <c r="H96" s="292">
        <f t="shared" si="25"/>
        <v>375722</v>
      </c>
    </row>
    <row r="97" spans="1:8" s="15" customFormat="1" ht="12" customHeight="1" x14ac:dyDescent="0.2">
      <c r="A97" s="32"/>
      <c r="B97" s="35"/>
      <c r="C97" s="44">
        <v>4130</v>
      </c>
      <c r="D97" s="39" t="s">
        <v>81</v>
      </c>
      <c r="E97" s="45">
        <v>379300</v>
      </c>
      <c r="F97" s="54"/>
      <c r="G97" s="54">
        <v>3578</v>
      </c>
      <c r="H97" s="54">
        <f t="shared" si="25"/>
        <v>375722</v>
      </c>
    </row>
    <row r="98" spans="1:8" s="15" customFormat="1" ht="12" customHeight="1" x14ac:dyDescent="0.2">
      <c r="A98" s="32"/>
      <c r="B98" s="35">
        <v>85214</v>
      </c>
      <c r="C98" s="25"/>
      <c r="D98" s="41" t="s">
        <v>34</v>
      </c>
      <c r="E98" s="65"/>
      <c r="F98" s="66"/>
      <c r="G98" s="66"/>
      <c r="H98" s="65"/>
    </row>
    <row r="99" spans="1:8" s="15" customFormat="1" ht="12" customHeight="1" x14ac:dyDescent="0.2">
      <c r="A99" s="32"/>
      <c r="B99" s="35"/>
      <c r="C99" s="25"/>
      <c r="D99" s="67" t="s">
        <v>35</v>
      </c>
      <c r="E99" s="37">
        <v>9293649.1400000006</v>
      </c>
      <c r="F99" s="38">
        <f>SUM(F100,F102)</f>
        <v>539</v>
      </c>
      <c r="G99" s="38">
        <f>SUM(G100,G102)</f>
        <v>1068505</v>
      </c>
      <c r="H99" s="37">
        <f>SUM(E99+F99-G99)</f>
        <v>8225683.1400000006</v>
      </c>
    </row>
    <row r="100" spans="1:8" s="15" customFormat="1" ht="12" customHeight="1" x14ac:dyDescent="0.2">
      <c r="A100" s="32"/>
      <c r="B100" s="35"/>
      <c r="C100" s="25"/>
      <c r="D100" s="293" t="s">
        <v>80</v>
      </c>
      <c r="E100" s="62">
        <v>9245726.1400000006</v>
      </c>
      <c r="F100" s="287">
        <f>SUM(F101:F101)</f>
        <v>0</v>
      </c>
      <c r="G100" s="287">
        <f>SUM(G101:G101)</f>
        <v>1068505</v>
      </c>
      <c r="H100" s="286">
        <f t="shared" ref="H100:H106" si="26">SUM(E100+F100-G100)</f>
        <v>8177221.1400000006</v>
      </c>
    </row>
    <row r="101" spans="1:8" s="15" customFormat="1" ht="12" customHeight="1" x14ac:dyDescent="0.2">
      <c r="A101" s="32"/>
      <c r="B101" s="35"/>
      <c r="C101" s="68">
        <v>3110</v>
      </c>
      <c r="D101" s="39" t="s">
        <v>82</v>
      </c>
      <c r="E101" s="40">
        <v>9156926.1400000006</v>
      </c>
      <c r="F101" s="54"/>
      <c r="G101" s="54">
        <v>1068505</v>
      </c>
      <c r="H101" s="54">
        <f t="shared" si="26"/>
        <v>8088421.1400000006</v>
      </c>
    </row>
    <row r="102" spans="1:8" s="15" customFormat="1" ht="21" customHeight="1" x14ac:dyDescent="0.2">
      <c r="A102" s="32"/>
      <c r="B102" s="31"/>
      <c r="C102" s="77"/>
      <c r="D102" s="288" t="s">
        <v>83</v>
      </c>
      <c r="E102" s="286">
        <v>2810</v>
      </c>
      <c r="F102" s="287">
        <f>SUM(F103:F103)</f>
        <v>539</v>
      </c>
      <c r="G102" s="287">
        <f>SUM(G103:G103)</f>
        <v>0</v>
      </c>
      <c r="H102" s="286">
        <f t="shared" si="26"/>
        <v>3349</v>
      </c>
    </row>
    <row r="103" spans="1:8" s="15" customFormat="1" ht="21.75" customHeight="1" x14ac:dyDescent="0.2">
      <c r="A103" s="32"/>
      <c r="B103" s="31"/>
      <c r="C103" s="68">
        <v>3290</v>
      </c>
      <c r="D103" s="91" t="s">
        <v>84</v>
      </c>
      <c r="E103" s="40">
        <v>2810</v>
      </c>
      <c r="F103" s="40">
        <v>539</v>
      </c>
      <c r="G103" s="54"/>
      <c r="H103" s="40">
        <f t="shared" si="26"/>
        <v>3349</v>
      </c>
    </row>
    <row r="104" spans="1:8" s="15" customFormat="1" ht="12" customHeight="1" x14ac:dyDescent="0.2">
      <c r="A104" s="32"/>
      <c r="B104" s="35">
        <v>85216</v>
      </c>
      <c r="C104" s="25"/>
      <c r="D104" s="36" t="s">
        <v>39</v>
      </c>
      <c r="E104" s="46">
        <v>4626067</v>
      </c>
      <c r="F104" s="37">
        <f>SUM(F105)</f>
        <v>20155</v>
      </c>
      <c r="G104" s="37">
        <f>SUM(G105)</f>
        <v>0</v>
      </c>
      <c r="H104" s="37">
        <f t="shared" si="26"/>
        <v>4646222</v>
      </c>
    </row>
    <row r="105" spans="1:8" s="15" customFormat="1" ht="12" customHeight="1" x14ac:dyDescent="0.2">
      <c r="A105" s="32"/>
      <c r="B105" s="35"/>
      <c r="C105" s="25"/>
      <c r="D105" s="293" t="s">
        <v>85</v>
      </c>
      <c r="E105" s="62">
        <v>4542250</v>
      </c>
      <c r="F105" s="294">
        <f>SUM(F106:F106)</f>
        <v>20155</v>
      </c>
      <c r="G105" s="294">
        <f>SUM(G106:G106)</f>
        <v>0</v>
      </c>
      <c r="H105" s="292">
        <f t="shared" si="26"/>
        <v>4562405</v>
      </c>
    </row>
    <row r="106" spans="1:8" s="15" customFormat="1" ht="12" customHeight="1" x14ac:dyDescent="0.2">
      <c r="A106" s="32"/>
      <c r="B106" s="35"/>
      <c r="C106" s="44">
        <v>3110</v>
      </c>
      <c r="D106" s="39" t="s">
        <v>82</v>
      </c>
      <c r="E106" s="43">
        <v>4541250</v>
      </c>
      <c r="F106" s="43">
        <v>20155</v>
      </c>
      <c r="G106" s="43"/>
      <c r="H106" s="54">
        <f t="shared" si="26"/>
        <v>4561405</v>
      </c>
    </row>
    <row r="107" spans="1:8" s="15" customFormat="1" ht="12" customHeight="1" x14ac:dyDescent="0.2">
      <c r="A107" s="32"/>
      <c r="B107" s="55">
        <v>85230</v>
      </c>
      <c r="C107" s="56"/>
      <c r="D107" s="60" t="s">
        <v>40</v>
      </c>
      <c r="E107" s="46">
        <v>5624340</v>
      </c>
      <c r="F107" s="38">
        <f>SUM(F108)</f>
        <v>14199</v>
      </c>
      <c r="G107" s="38">
        <f>SUM(G108)</f>
        <v>0</v>
      </c>
      <c r="H107" s="37">
        <f>SUM(E107+F107-G107)</f>
        <v>5638539</v>
      </c>
    </row>
    <row r="108" spans="1:8" s="15" customFormat="1" ht="21.75" customHeight="1" x14ac:dyDescent="0.2">
      <c r="A108" s="32"/>
      <c r="B108" s="31"/>
      <c r="C108" s="25"/>
      <c r="D108" s="295" t="s">
        <v>86</v>
      </c>
      <c r="E108" s="286">
        <v>55050</v>
      </c>
      <c r="F108" s="287">
        <f>SUM(F109:F110)</f>
        <v>14199</v>
      </c>
      <c r="G108" s="287">
        <f>SUM(G109:G110)</f>
        <v>0</v>
      </c>
      <c r="H108" s="286">
        <f>SUM(E108+F108-G108)</f>
        <v>69249</v>
      </c>
    </row>
    <row r="109" spans="1:8" s="15" customFormat="1" ht="21.75" customHeight="1" x14ac:dyDescent="0.2">
      <c r="A109" s="32"/>
      <c r="B109" s="31"/>
      <c r="C109" s="68">
        <v>3290</v>
      </c>
      <c r="D109" s="91" t="s">
        <v>84</v>
      </c>
      <c r="E109" s="45">
        <v>9634.5</v>
      </c>
      <c r="F109" s="43">
        <v>3635.5</v>
      </c>
      <c r="G109" s="43"/>
      <c r="H109" s="54">
        <f t="shared" ref="H109:H116" si="27">SUM(E109+F109-G109)</f>
        <v>13270</v>
      </c>
    </row>
    <row r="110" spans="1:8" s="15" customFormat="1" ht="12" customHeight="1" x14ac:dyDescent="0.2">
      <c r="A110" s="32"/>
      <c r="B110" s="31"/>
      <c r="C110" s="35">
        <v>4370</v>
      </c>
      <c r="D110" s="35" t="s">
        <v>87</v>
      </c>
      <c r="E110" s="45">
        <v>45415.5</v>
      </c>
      <c r="F110" s="43">
        <v>10563.5</v>
      </c>
      <c r="G110" s="43"/>
      <c r="H110" s="54">
        <f t="shared" si="27"/>
        <v>55979</v>
      </c>
    </row>
    <row r="111" spans="1:8" s="15" customFormat="1" ht="12" customHeight="1" thickBot="1" x14ac:dyDescent="0.25">
      <c r="A111" s="30">
        <v>853</v>
      </c>
      <c r="B111" s="31"/>
      <c r="C111" s="32"/>
      <c r="D111" s="33" t="s">
        <v>57</v>
      </c>
      <c r="E111" s="29">
        <v>13975000.9</v>
      </c>
      <c r="F111" s="34">
        <f>SUM(F112)</f>
        <v>3000</v>
      </c>
      <c r="G111" s="34">
        <f>SUM(G112)</f>
        <v>3000</v>
      </c>
      <c r="H111" s="29">
        <f t="shared" si="27"/>
        <v>13975000.9</v>
      </c>
    </row>
    <row r="112" spans="1:8" s="15" customFormat="1" ht="12" customHeight="1" thickTop="1" x14ac:dyDescent="0.2">
      <c r="A112" s="32"/>
      <c r="B112" s="35">
        <v>85321</v>
      </c>
      <c r="C112" s="25"/>
      <c r="D112" s="36" t="s">
        <v>66</v>
      </c>
      <c r="E112" s="46">
        <v>336503</v>
      </c>
      <c r="F112" s="38">
        <f>SUM(F113)</f>
        <v>3000</v>
      </c>
      <c r="G112" s="38">
        <f>SUM(G113)</f>
        <v>3000</v>
      </c>
      <c r="H112" s="37">
        <f t="shared" si="27"/>
        <v>336503</v>
      </c>
    </row>
    <row r="113" spans="1:8" s="15" customFormat="1" ht="11.25" customHeight="1" x14ac:dyDescent="0.2">
      <c r="A113" s="32"/>
      <c r="B113" s="35"/>
      <c r="C113" s="25"/>
      <c r="D113" s="296" t="s">
        <v>88</v>
      </c>
      <c r="E113" s="62">
        <v>265982</v>
      </c>
      <c r="F113" s="294">
        <f>SUM(F114:F116)</f>
        <v>3000</v>
      </c>
      <c r="G113" s="294">
        <f>SUM(G114:G116)</f>
        <v>3000</v>
      </c>
      <c r="H113" s="292">
        <f t="shared" si="27"/>
        <v>265982</v>
      </c>
    </row>
    <row r="114" spans="1:8" s="15" customFormat="1" ht="12" customHeight="1" x14ac:dyDescent="0.2">
      <c r="A114" s="32"/>
      <c r="B114" s="35"/>
      <c r="C114" s="77" t="s">
        <v>89</v>
      </c>
      <c r="D114" s="82" t="s">
        <v>71</v>
      </c>
      <c r="E114" s="45">
        <v>5220</v>
      </c>
      <c r="F114" s="40"/>
      <c r="G114" s="40">
        <v>2400</v>
      </c>
      <c r="H114" s="54">
        <f t="shared" si="27"/>
        <v>2820</v>
      </c>
    </row>
    <row r="115" spans="1:8" s="15" customFormat="1" ht="12" customHeight="1" x14ac:dyDescent="0.2">
      <c r="A115" s="32"/>
      <c r="B115" s="35"/>
      <c r="C115" s="44">
        <v>4300</v>
      </c>
      <c r="D115" s="39" t="s">
        <v>90</v>
      </c>
      <c r="E115" s="45">
        <v>28364</v>
      </c>
      <c r="F115" s="40">
        <v>3000</v>
      </c>
      <c r="G115" s="40"/>
      <c r="H115" s="54">
        <f t="shared" si="27"/>
        <v>31364</v>
      </c>
    </row>
    <row r="116" spans="1:8" s="15" customFormat="1" ht="21.6" customHeight="1" x14ac:dyDescent="0.2">
      <c r="A116" s="32"/>
      <c r="B116" s="35"/>
      <c r="C116" s="68">
        <v>4700</v>
      </c>
      <c r="D116" s="86" t="s">
        <v>91</v>
      </c>
      <c r="E116" s="45">
        <v>1000</v>
      </c>
      <c r="F116" s="40"/>
      <c r="G116" s="40">
        <v>600</v>
      </c>
      <c r="H116" s="54">
        <f t="shared" si="27"/>
        <v>400</v>
      </c>
    </row>
    <row r="117" spans="1:8" s="15" customFormat="1" ht="12" customHeight="1" thickBot="1" x14ac:dyDescent="0.25">
      <c r="A117" s="31">
        <v>855</v>
      </c>
      <c r="B117" s="31"/>
      <c r="C117" s="32"/>
      <c r="D117" s="33" t="s">
        <v>42</v>
      </c>
      <c r="E117" s="34">
        <v>23089841.129999999</v>
      </c>
      <c r="F117" s="34">
        <f>SUM(F118,F123)</f>
        <v>20107.52</v>
      </c>
      <c r="G117" s="34">
        <f>SUM(G118,G123)</f>
        <v>4733.5200000000004</v>
      </c>
      <c r="H117" s="34">
        <f>SUM(E117+F117-G117)</f>
        <v>23105215.129999999</v>
      </c>
    </row>
    <row r="118" spans="1:8" s="15" customFormat="1" ht="33.75" customHeight="1" thickTop="1" x14ac:dyDescent="0.2">
      <c r="A118" s="31"/>
      <c r="B118" s="68">
        <v>85502</v>
      </c>
      <c r="C118" s="25"/>
      <c r="D118" s="69" t="s">
        <v>43</v>
      </c>
      <c r="E118" s="37">
        <v>1150533</v>
      </c>
      <c r="F118" s="38">
        <f>SUM(F119)</f>
        <v>15374</v>
      </c>
      <c r="G118" s="38">
        <f>SUM(G119)</f>
        <v>0</v>
      </c>
      <c r="H118" s="37">
        <f>SUM(E118+F118-G118)</f>
        <v>1165907</v>
      </c>
    </row>
    <row r="119" spans="1:8" s="15" customFormat="1" ht="20.25" customHeight="1" x14ac:dyDescent="0.2">
      <c r="A119" s="31"/>
      <c r="B119" s="35"/>
      <c r="C119" s="77"/>
      <c r="D119" s="288" t="s">
        <v>92</v>
      </c>
      <c r="E119" s="286">
        <v>89204</v>
      </c>
      <c r="F119" s="287">
        <f>SUM(F120:F122)</f>
        <v>15374</v>
      </c>
      <c r="G119" s="287">
        <f>SUM(G120:G122)</f>
        <v>0</v>
      </c>
      <c r="H119" s="286">
        <f t="shared" ref="H119:H123" si="28">SUM(E119+F119-G119)</f>
        <v>104578</v>
      </c>
    </row>
    <row r="120" spans="1:8" s="15" customFormat="1" ht="21" customHeight="1" x14ac:dyDescent="0.2">
      <c r="A120" s="31"/>
      <c r="B120" s="35"/>
      <c r="C120" s="68">
        <v>3290</v>
      </c>
      <c r="D120" s="91" t="s">
        <v>84</v>
      </c>
      <c r="E120" s="40">
        <v>86772</v>
      </c>
      <c r="F120" s="40">
        <v>14926</v>
      </c>
      <c r="G120" s="54"/>
      <c r="H120" s="40">
        <f t="shared" si="28"/>
        <v>101698</v>
      </c>
    </row>
    <row r="121" spans="1:8" s="15" customFormat="1" ht="21.75" customHeight="1" x14ac:dyDescent="0.2">
      <c r="A121" s="31"/>
      <c r="B121" s="35"/>
      <c r="C121" s="68">
        <v>4740</v>
      </c>
      <c r="D121" s="91" t="s">
        <v>93</v>
      </c>
      <c r="E121" s="43">
        <v>2002</v>
      </c>
      <c r="F121" s="45">
        <v>373</v>
      </c>
      <c r="G121" s="43"/>
      <c r="H121" s="40">
        <f t="shared" si="28"/>
        <v>2375</v>
      </c>
    </row>
    <row r="122" spans="1:8" s="15" customFormat="1" ht="23.25" customHeight="1" x14ac:dyDescent="0.2">
      <c r="A122" s="73"/>
      <c r="B122" s="90"/>
      <c r="C122" s="92">
        <v>4850</v>
      </c>
      <c r="D122" s="69" t="s">
        <v>94</v>
      </c>
      <c r="E122" s="61">
        <v>400</v>
      </c>
      <c r="F122" s="46">
        <v>75</v>
      </c>
      <c r="G122" s="61"/>
      <c r="H122" s="37">
        <f t="shared" si="28"/>
        <v>475</v>
      </c>
    </row>
    <row r="123" spans="1:8" s="15" customFormat="1" ht="12" customHeight="1" x14ac:dyDescent="0.2">
      <c r="A123" s="32"/>
      <c r="B123" s="44">
        <v>85595</v>
      </c>
      <c r="C123" s="44"/>
      <c r="D123" s="36" t="s">
        <v>50</v>
      </c>
      <c r="E123" s="46">
        <v>553021</v>
      </c>
      <c r="F123" s="61">
        <f>SUM(F124)</f>
        <v>4733.5200000000004</v>
      </c>
      <c r="G123" s="61">
        <f>SUM(G124)</f>
        <v>4733.5200000000004</v>
      </c>
      <c r="H123" s="37">
        <f t="shared" si="28"/>
        <v>553021</v>
      </c>
    </row>
    <row r="124" spans="1:8" s="15" customFormat="1" ht="21.75" customHeight="1" x14ac:dyDescent="0.2">
      <c r="A124" s="32"/>
      <c r="B124" s="31"/>
      <c r="C124" s="44"/>
      <c r="D124" s="297" t="s">
        <v>95</v>
      </c>
      <c r="E124" s="62">
        <v>352314</v>
      </c>
      <c r="F124" s="63">
        <f>SUM(F125:F134)</f>
        <v>4733.5200000000004</v>
      </c>
      <c r="G124" s="63">
        <f>SUM(G125:G134)</f>
        <v>4733.5200000000004</v>
      </c>
      <c r="H124" s="286">
        <f>SUM(E124+F124-G124)</f>
        <v>352314</v>
      </c>
    </row>
    <row r="125" spans="1:8" s="15" customFormat="1" ht="12" customHeight="1" x14ac:dyDescent="0.2">
      <c r="A125" s="32"/>
      <c r="B125" s="31"/>
      <c r="C125" s="55">
        <v>4017</v>
      </c>
      <c r="D125" s="58" t="s">
        <v>96</v>
      </c>
      <c r="E125" s="45">
        <v>56081.08</v>
      </c>
      <c r="F125" s="43">
        <v>3341.03</v>
      </c>
      <c r="G125" s="43"/>
      <c r="H125" s="45">
        <f t="shared" ref="H125:H152" si="29">SUM(E125+F125-G125)</f>
        <v>59422.11</v>
      </c>
    </row>
    <row r="126" spans="1:8" s="15" customFormat="1" ht="12" customHeight="1" x14ac:dyDescent="0.2">
      <c r="A126" s="32"/>
      <c r="B126" s="31"/>
      <c r="C126" s="55">
        <v>4019</v>
      </c>
      <c r="D126" s="58" t="s">
        <v>96</v>
      </c>
      <c r="E126" s="45">
        <v>3298.88</v>
      </c>
      <c r="F126" s="43">
        <v>196.54</v>
      </c>
      <c r="G126" s="43"/>
      <c r="H126" s="45">
        <f t="shared" si="29"/>
        <v>3495.42</v>
      </c>
    </row>
    <row r="127" spans="1:8" s="15" customFormat="1" ht="12" customHeight="1" x14ac:dyDescent="0.2">
      <c r="A127" s="32"/>
      <c r="B127" s="31"/>
      <c r="C127" s="44">
        <v>4117</v>
      </c>
      <c r="D127" s="39" t="s">
        <v>97</v>
      </c>
      <c r="E127" s="45">
        <v>10460.24</v>
      </c>
      <c r="F127" s="43">
        <v>857.85</v>
      </c>
      <c r="G127" s="43"/>
      <c r="H127" s="45">
        <f t="shared" si="29"/>
        <v>11318.09</v>
      </c>
    </row>
    <row r="128" spans="1:8" s="15" customFormat="1" ht="12" customHeight="1" x14ac:dyDescent="0.2">
      <c r="A128" s="32"/>
      <c r="B128" s="31"/>
      <c r="C128" s="44">
        <v>4119</v>
      </c>
      <c r="D128" s="39" t="s">
        <v>97</v>
      </c>
      <c r="E128" s="45">
        <v>615.30999999999995</v>
      </c>
      <c r="F128" s="43">
        <v>50.46</v>
      </c>
      <c r="G128" s="43"/>
      <c r="H128" s="45">
        <f t="shared" si="29"/>
        <v>665.77</v>
      </c>
    </row>
    <row r="129" spans="1:8" s="15" customFormat="1" ht="12" customHeight="1" x14ac:dyDescent="0.2">
      <c r="A129" s="32"/>
      <c r="B129" s="31"/>
      <c r="C129" s="44">
        <v>4127</v>
      </c>
      <c r="D129" s="82" t="s">
        <v>98</v>
      </c>
      <c r="E129" s="45">
        <v>1136.83</v>
      </c>
      <c r="F129" s="43">
        <v>215.61</v>
      </c>
      <c r="G129" s="43"/>
      <c r="H129" s="45">
        <f t="shared" si="29"/>
        <v>1352.44</v>
      </c>
    </row>
    <row r="130" spans="1:8" s="15" customFormat="1" ht="12" customHeight="1" x14ac:dyDescent="0.2">
      <c r="A130" s="32"/>
      <c r="B130" s="31"/>
      <c r="C130" s="44">
        <v>4129</v>
      </c>
      <c r="D130" s="82" t="s">
        <v>98</v>
      </c>
      <c r="E130" s="45">
        <v>66.87</v>
      </c>
      <c r="F130" s="43">
        <v>12.71</v>
      </c>
      <c r="G130" s="43"/>
      <c r="H130" s="45">
        <f t="shared" si="29"/>
        <v>79.580000000000013</v>
      </c>
    </row>
    <row r="131" spans="1:8" s="15" customFormat="1" ht="12" customHeight="1" x14ac:dyDescent="0.2">
      <c r="A131" s="32"/>
      <c r="B131" s="31"/>
      <c r="C131" s="35">
        <v>4307</v>
      </c>
      <c r="D131" s="39" t="s">
        <v>90</v>
      </c>
      <c r="E131" s="45">
        <v>220083.89</v>
      </c>
      <c r="F131" s="43"/>
      <c r="G131" s="43">
        <v>4470.54</v>
      </c>
      <c r="H131" s="45">
        <f t="shared" si="29"/>
        <v>215613.35</v>
      </c>
    </row>
    <row r="132" spans="1:8" s="15" customFormat="1" ht="12" customHeight="1" x14ac:dyDescent="0.2">
      <c r="A132" s="32"/>
      <c r="B132" s="31"/>
      <c r="C132" s="35">
        <v>4309</v>
      </c>
      <c r="D132" s="39" t="s">
        <v>90</v>
      </c>
      <c r="E132" s="45">
        <v>12946.11</v>
      </c>
      <c r="F132" s="43"/>
      <c r="G132" s="43">
        <v>262.98</v>
      </c>
      <c r="H132" s="45">
        <f t="shared" si="29"/>
        <v>12683.130000000001</v>
      </c>
    </row>
    <row r="133" spans="1:8" s="15" customFormat="1" ht="12" customHeight="1" x14ac:dyDescent="0.2">
      <c r="A133" s="32"/>
      <c r="B133" s="31"/>
      <c r="C133" s="68">
        <v>4717</v>
      </c>
      <c r="D133" s="93" t="s">
        <v>99</v>
      </c>
      <c r="E133" s="45">
        <v>696.1</v>
      </c>
      <c r="F133" s="43">
        <v>56.05</v>
      </c>
      <c r="G133" s="43"/>
      <c r="H133" s="45">
        <f t="shared" si="29"/>
        <v>752.15</v>
      </c>
    </row>
    <row r="134" spans="1:8" s="15" customFormat="1" ht="12" customHeight="1" x14ac:dyDescent="0.2">
      <c r="A134" s="32"/>
      <c r="B134" s="31"/>
      <c r="C134" s="68">
        <v>4719</v>
      </c>
      <c r="D134" s="93" t="s">
        <v>99</v>
      </c>
      <c r="E134" s="45">
        <v>40.950000000000003</v>
      </c>
      <c r="F134" s="43">
        <v>3.27</v>
      </c>
      <c r="G134" s="43"/>
      <c r="H134" s="45">
        <f t="shared" si="29"/>
        <v>44.220000000000006</v>
      </c>
    </row>
    <row r="135" spans="1:8" s="15" customFormat="1" ht="12" customHeight="1" thickBot="1" x14ac:dyDescent="0.25">
      <c r="A135" s="31">
        <v>900</v>
      </c>
      <c r="B135" s="31"/>
      <c r="C135" s="32"/>
      <c r="D135" s="33" t="s">
        <v>100</v>
      </c>
      <c r="E135" s="29">
        <v>75544549.75</v>
      </c>
      <c r="F135" s="34">
        <f>SUM(F136,F140,F144)</f>
        <v>3467</v>
      </c>
      <c r="G135" s="34">
        <f>SUM(G136,G140,G144)</f>
        <v>3467</v>
      </c>
      <c r="H135" s="29">
        <f t="shared" si="29"/>
        <v>75544549.75</v>
      </c>
    </row>
    <row r="136" spans="1:8" s="15" customFormat="1" ht="12" customHeight="1" thickTop="1" x14ac:dyDescent="0.2">
      <c r="A136" s="31"/>
      <c r="B136" s="35">
        <v>90004</v>
      </c>
      <c r="C136" s="68"/>
      <c r="D136" s="94" t="s">
        <v>101</v>
      </c>
      <c r="E136" s="46">
        <v>645400</v>
      </c>
      <c r="F136" s="61">
        <f>SUM(F137)</f>
        <v>100</v>
      </c>
      <c r="G136" s="61">
        <f>SUM(G137)</f>
        <v>100</v>
      </c>
      <c r="H136" s="37">
        <f t="shared" si="29"/>
        <v>645400</v>
      </c>
    </row>
    <row r="137" spans="1:8" s="15" customFormat="1" ht="12" customHeight="1" x14ac:dyDescent="0.2">
      <c r="A137" s="31"/>
      <c r="B137" s="95"/>
      <c r="C137" s="68"/>
      <c r="D137" s="298" t="s">
        <v>102</v>
      </c>
      <c r="E137" s="62">
        <v>425400</v>
      </c>
      <c r="F137" s="63">
        <f>SUM(F138:F139)</f>
        <v>100</v>
      </c>
      <c r="G137" s="63">
        <f>SUM(G138:G139)</f>
        <v>100</v>
      </c>
      <c r="H137" s="286">
        <f>SUM(E137+F137-G137)</f>
        <v>425400</v>
      </c>
    </row>
    <row r="138" spans="1:8" s="15" customFormat="1" ht="22.5" customHeight="1" x14ac:dyDescent="0.2">
      <c r="A138" s="31"/>
      <c r="B138" s="95"/>
      <c r="C138" s="68">
        <v>4390</v>
      </c>
      <c r="D138" s="91" t="s">
        <v>103</v>
      </c>
      <c r="E138" s="45">
        <v>500</v>
      </c>
      <c r="F138" s="43"/>
      <c r="G138" s="43">
        <v>100</v>
      </c>
      <c r="H138" s="45">
        <f t="shared" ref="H138:H139" si="30">SUM(E138+F138-G138)</f>
        <v>400</v>
      </c>
    </row>
    <row r="139" spans="1:8" s="15" customFormat="1" ht="12" customHeight="1" x14ac:dyDescent="0.2">
      <c r="A139" s="31"/>
      <c r="B139" s="95"/>
      <c r="C139" s="44">
        <v>4430</v>
      </c>
      <c r="D139" s="39" t="s">
        <v>104</v>
      </c>
      <c r="E139" s="45">
        <v>3600</v>
      </c>
      <c r="F139" s="43">
        <v>100</v>
      </c>
      <c r="G139" s="43"/>
      <c r="H139" s="45">
        <f t="shared" si="30"/>
        <v>3700</v>
      </c>
    </row>
    <row r="140" spans="1:8" s="15" customFormat="1" ht="12" customHeight="1" x14ac:dyDescent="0.2">
      <c r="A140" s="31"/>
      <c r="B140" s="35">
        <v>90013</v>
      </c>
      <c r="C140" s="44"/>
      <c r="D140" s="36" t="s">
        <v>105</v>
      </c>
      <c r="E140" s="37">
        <v>1551866</v>
      </c>
      <c r="F140" s="37">
        <f>SUM(F141)</f>
        <v>67</v>
      </c>
      <c r="G140" s="37">
        <f>SUM(G141)</f>
        <v>67</v>
      </c>
      <c r="H140" s="37">
        <f t="shared" si="29"/>
        <v>1551866</v>
      </c>
    </row>
    <row r="141" spans="1:8" s="15" customFormat="1" ht="12" customHeight="1" x14ac:dyDescent="0.2">
      <c r="A141" s="31"/>
      <c r="B141" s="95"/>
      <c r="C141" s="44"/>
      <c r="D141" s="299" t="s">
        <v>106</v>
      </c>
      <c r="E141" s="292">
        <v>1551866</v>
      </c>
      <c r="F141" s="292">
        <f>SUM(F142:F143)</f>
        <v>67</v>
      </c>
      <c r="G141" s="292">
        <f>SUM(G142:G143)</f>
        <v>67</v>
      </c>
      <c r="H141" s="292">
        <f t="shared" si="29"/>
        <v>1551866</v>
      </c>
    </row>
    <row r="142" spans="1:8" s="15" customFormat="1" ht="12" customHeight="1" x14ac:dyDescent="0.2">
      <c r="A142" s="31"/>
      <c r="B142" s="35"/>
      <c r="C142" s="44">
        <v>4410</v>
      </c>
      <c r="D142" s="82" t="s">
        <v>107</v>
      </c>
      <c r="E142" s="45">
        <v>450</v>
      </c>
      <c r="F142" s="45"/>
      <c r="G142" s="45">
        <v>67</v>
      </c>
      <c r="H142" s="43">
        <f t="shared" si="29"/>
        <v>383</v>
      </c>
    </row>
    <row r="143" spans="1:8" s="15" customFormat="1" ht="12" customHeight="1" x14ac:dyDescent="0.2">
      <c r="A143" s="31"/>
      <c r="B143" s="35"/>
      <c r="C143" s="44">
        <v>4440</v>
      </c>
      <c r="D143" s="39" t="s">
        <v>108</v>
      </c>
      <c r="E143" s="45">
        <v>25523</v>
      </c>
      <c r="F143" s="45">
        <v>67</v>
      </c>
      <c r="G143" s="45"/>
      <c r="H143" s="54">
        <f t="shared" si="29"/>
        <v>25590</v>
      </c>
    </row>
    <row r="144" spans="1:8" s="15" customFormat="1" ht="12" customHeight="1" x14ac:dyDescent="0.2">
      <c r="A144" s="31"/>
      <c r="B144" s="35">
        <v>90095</v>
      </c>
      <c r="C144" s="32"/>
      <c r="D144" s="96" t="s">
        <v>50</v>
      </c>
      <c r="E144" s="37">
        <v>32525214.420000002</v>
      </c>
      <c r="F144" s="37">
        <f>SUM(F145)</f>
        <v>3300</v>
      </c>
      <c r="G144" s="37">
        <f>SUM(G145)</f>
        <v>3300</v>
      </c>
      <c r="H144" s="37">
        <f t="shared" si="29"/>
        <v>32525214.420000002</v>
      </c>
    </row>
    <row r="145" spans="1:8" s="15" customFormat="1" ht="33" customHeight="1" x14ac:dyDescent="0.2">
      <c r="A145" s="31"/>
      <c r="B145" s="35"/>
      <c r="C145" s="44"/>
      <c r="D145" s="288" t="s">
        <v>109</v>
      </c>
      <c r="E145" s="292">
        <v>327800</v>
      </c>
      <c r="F145" s="292">
        <f>SUM(F146:F147)</f>
        <v>3300</v>
      </c>
      <c r="G145" s="292">
        <f>SUM(G146:G147)</f>
        <v>3300</v>
      </c>
      <c r="H145" s="292">
        <f t="shared" si="29"/>
        <v>327800</v>
      </c>
    </row>
    <row r="146" spans="1:8" s="15" customFormat="1" ht="12" customHeight="1" x14ac:dyDescent="0.2">
      <c r="A146" s="31"/>
      <c r="B146" s="35"/>
      <c r="C146" s="44">
        <v>4260</v>
      </c>
      <c r="D146" s="39" t="s">
        <v>77</v>
      </c>
      <c r="E146" s="45">
        <v>158000</v>
      </c>
      <c r="F146" s="45">
        <v>3300</v>
      </c>
      <c r="G146" s="45"/>
      <c r="H146" s="45">
        <f t="shared" si="29"/>
        <v>161300</v>
      </c>
    </row>
    <row r="147" spans="1:8" s="15" customFormat="1" ht="12" customHeight="1" x14ac:dyDescent="0.2">
      <c r="A147" s="31"/>
      <c r="B147" s="35"/>
      <c r="C147" s="44">
        <v>4300</v>
      </c>
      <c r="D147" s="39" t="s">
        <v>90</v>
      </c>
      <c r="E147" s="45">
        <v>59000</v>
      </c>
      <c r="F147" s="45"/>
      <c r="G147" s="45">
        <v>3300</v>
      </c>
      <c r="H147" s="45">
        <f t="shared" si="29"/>
        <v>55700</v>
      </c>
    </row>
    <row r="148" spans="1:8" s="15" customFormat="1" ht="12" customHeight="1" thickBot="1" x14ac:dyDescent="0.25">
      <c r="A148" s="30">
        <v>926</v>
      </c>
      <c r="B148" s="30"/>
      <c r="C148" s="32"/>
      <c r="D148" s="33" t="s">
        <v>110</v>
      </c>
      <c r="E148" s="29">
        <v>26424576.18</v>
      </c>
      <c r="F148" s="34">
        <f>SUM(F149)</f>
        <v>4600</v>
      </c>
      <c r="G148" s="34">
        <f>SUM(G149)</f>
        <v>4600</v>
      </c>
      <c r="H148" s="81">
        <f t="shared" si="29"/>
        <v>26424576.18</v>
      </c>
    </row>
    <row r="149" spans="1:8" s="15" customFormat="1" ht="12" customHeight="1" thickTop="1" x14ac:dyDescent="0.2">
      <c r="A149" s="30"/>
      <c r="B149" s="44">
        <v>92604</v>
      </c>
      <c r="C149" s="70"/>
      <c r="D149" s="36" t="s">
        <v>111</v>
      </c>
      <c r="E149" s="37">
        <v>17290609</v>
      </c>
      <c r="F149" s="37">
        <f>SUM(F150)</f>
        <v>4600</v>
      </c>
      <c r="G149" s="37">
        <f>SUM(G150)</f>
        <v>4600</v>
      </c>
      <c r="H149" s="37">
        <f t="shared" si="29"/>
        <v>17290609</v>
      </c>
    </row>
    <row r="150" spans="1:8" s="15" customFormat="1" ht="12" customHeight="1" x14ac:dyDescent="0.2">
      <c r="A150" s="30"/>
      <c r="B150" s="30"/>
      <c r="C150" s="32"/>
      <c r="D150" s="291" t="s">
        <v>70</v>
      </c>
      <c r="E150" s="286">
        <v>16065609</v>
      </c>
      <c r="F150" s="292">
        <f>SUM(F151:F152)</f>
        <v>4600</v>
      </c>
      <c r="G150" s="292">
        <f>SUM(G151:G152)</f>
        <v>4600</v>
      </c>
      <c r="H150" s="292">
        <f t="shared" si="29"/>
        <v>16065609</v>
      </c>
    </row>
    <row r="151" spans="1:8" s="15" customFormat="1" ht="12" customHeight="1" x14ac:dyDescent="0.2">
      <c r="A151" s="30"/>
      <c r="B151" s="44"/>
      <c r="C151" s="55">
        <v>4210</v>
      </c>
      <c r="D151" s="82" t="s">
        <v>71</v>
      </c>
      <c r="E151" s="43">
        <v>744114</v>
      </c>
      <c r="F151" s="43"/>
      <c r="G151" s="43">
        <v>4600</v>
      </c>
      <c r="H151" s="54">
        <f t="shared" si="29"/>
        <v>739514</v>
      </c>
    </row>
    <row r="152" spans="1:8" s="15" customFormat="1" ht="33" customHeight="1" x14ac:dyDescent="0.2">
      <c r="A152" s="30"/>
      <c r="B152" s="44"/>
      <c r="C152" s="83">
        <v>4920</v>
      </c>
      <c r="D152" s="84" t="s">
        <v>72</v>
      </c>
      <c r="E152" s="43">
        <v>0</v>
      </c>
      <c r="F152" s="43">
        <v>4600</v>
      </c>
      <c r="G152" s="43"/>
      <c r="H152" s="54">
        <f t="shared" si="29"/>
        <v>4600</v>
      </c>
    </row>
    <row r="153" spans="1:8" s="15" customFormat="1" ht="18.600000000000001" customHeight="1" thickBot="1" x14ac:dyDescent="0.25">
      <c r="A153" s="95"/>
      <c r="B153" s="35"/>
      <c r="C153" s="44"/>
      <c r="D153" s="28" t="s">
        <v>112</v>
      </c>
      <c r="E153" s="29">
        <v>113697557.67</v>
      </c>
      <c r="F153" s="29">
        <f>SUM(F154,F160,F170,F178,F184)</f>
        <v>498789.81999999995</v>
      </c>
      <c r="G153" s="29">
        <f>SUM(G154,G160,G170,G178,G184)</f>
        <v>43894.85</v>
      </c>
      <c r="H153" s="29">
        <f t="shared" ref="H153:H158" si="31">SUM(E153+F153-G153)</f>
        <v>114152452.64</v>
      </c>
    </row>
    <row r="154" spans="1:8" s="15" customFormat="1" ht="18" customHeight="1" thickTop="1" thickBot="1" x14ac:dyDescent="0.25">
      <c r="A154" s="31">
        <v>750</v>
      </c>
      <c r="B154" s="31"/>
      <c r="C154" s="32"/>
      <c r="D154" s="33" t="s">
        <v>46</v>
      </c>
      <c r="E154" s="29">
        <v>1814696.8299999998</v>
      </c>
      <c r="F154" s="29">
        <f>SUM(F155)</f>
        <v>837.97</v>
      </c>
      <c r="G154" s="29">
        <f>SUM(G155)</f>
        <v>0</v>
      </c>
      <c r="H154" s="29">
        <f t="shared" si="31"/>
        <v>1815534.7999999998</v>
      </c>
    </row>
    <row r="155" spans="1:8" s="15" customFormat="1" ht="12" customHeight="1" thickTop="1" x14ac:dyDescent="0.2">
      <c r="A155" s="31"/>
      <c r="B155" s="44">
        <v>75011</v>
      </c>
      <c r="C155" s="70"/>
      <c r="D155" s="71" t="s">
        <v>47</v>
      </c>
      <c r="E155" s="46">
        <v>1814696.8299999998</v>
      </c>
      <c r="F155" s="38">
        <f>SUM(F156)</f>
        <v>837.97</v>
      </c>
      <c r="G155" s="38">
        <f>SUM(G156)</f>
        <v>0</v>
      </c>
      <c r="H155" s="37">
        <f t="shared" si="31"/>
        <v>1815534.7999999998</v>
      </c>
    </row>
    <row r="156" spans="1:8" s="15" customFormat="1" ht="21" customHeight="1" x14ac:dyDescent="0.2">
      <c r="A156" s="31"/>
      <c r="B156" s="31"/>
      <c r="C156" s="25"/>
      <c r="D156" s="290" t="s">
        <v>113</v>
      </c>
      <c r="E156" s="286">
        <v>17811.829999999998</v>
      </c>
      <c r="F156" s="294">
        <f>SUM(F157:F158)</f>
        <v>837.97</v>
      </c>
      <c r="G156" s="294">
        <f>SUM(G157:G158)</f>
        <v>0</v>
      </c>
      <c r="H156" s="292">
        <f t="shared" si="31"/>
        <v>18649.8</v>
      </c>
    </row>
    <row r="157" spans="1:8" s="15" customFormat="1" ht="22.15" customHeight="1" x14ac:dyDescent="0.2">
      <c r="A157" s="31"/>
      <c r="B157" s="31"/>
      <c r="C157" s="68">
        <v>4740</v>
      </c>
      <c r="D157" s="91" t="s">
        <v>93</v>
      </c>
      <c r="E157" s="43">
        <v>14887.85</v>
      </c>
      <c r="F157" s="43">
        <v>700.41</v>
      </c>
      <c r="G157" s="43"/>
      <c r="H157" s="54">
        <f t="shared" si="31"/>
        <v>15588.26</v>
      </c>
    </row>
    <row r="158" spans="1:8" s="15" customFormat="1" ht="22.15" customHeight="1" x14ac:dyDescent="0.2">
      <c r="A158" s="31"/>
      <c r="B158" s="31"/>
      <c r="C158" s="68">
        <v>4850</v>
      </c>
      <c r="D158" s="91" t="s">
        <v>94</v>
      </c>
      <c r="E158" s="43">
        <v>2923.9799999999996</v>
      </c>
      <c r="F158" s="43">
        <v>137.56</v>
      </c>
      <c r="G158" s="43"/>
      <c r="H158" s="54">
        <f t="shared" si="31"/>
        <v>3061.5399999999995</v>
      </c>
    </row>
    <row r="159" spans="1:8" s="15" customFormat="1" ht="12" customHeight="1" x14ac:dyDescent="0.2">
      <c r="A159" s="31">
        <v>754</v>
      </c>
      <c r="B159" s="31"/>
      <c r="C159" s="32"/>
      <c r="D159" s="33" t="s">
        <v>114</v>
      </c>
      <c r="E159" s="43"/>
      <c r="F159" s="40"/>
      <c r="G159" s="40"/>
      <c r="H159" s="43"/>
    </row>
    <row r="160" spans="1:8" s="15" customFormat="1" ht="12" customHeight="1" thickBot="1" x14ac:dyDescent="0.25">
      <c r="A160" s="31"/>
      <c r="B160" s="31"/>
      <c r="C160" s="32"/>
      <c r="D160" s="33" t="s">
        <v>115</v>
      </c>
      <c r="E160" s="34">
        <v>3892974</v>
      </c>
      <c r="F160" s="34">
        <f>SUM(F161)</f>
        <v>276718.84999999998</v>
      </c>
      <c r="G160" s="34">
        <f>SUM(G161)</f>
        <v>41732.85</v>
      </c>
      <c r="H160" s="34">
        <f>SUM(E160+F160-G160)</f>
        <v>4127960</v>
      </c>
    </row>
    <row r="161" spans="1:8" s="15" customFormat="1" ht="12" customHeight="1" thickTop="1" x14ac:dyDescent="0.2">
      <c r="A161" s="35"/>
      <c r="B161" s="35">
        <v>75495</v>
      </c>
      <c r="C161" s="25"/>
      <c r="D161" s="36" t="s">
        <v>50</v>
      </c>
      <c r="E161" s="37">
        <v>3892974</v>
      </c>
      <c r="F161" s="38">
        <f>SUM(F162,F165,F167)</f>
        <v>276718.84999999998</v>
      </c>
      <c r="G161" s="38">
        <f>SUM(G162,G165,G167)</f>
        <v>41732.85</v>
      </c>
      <c r="H161" s="37">
        <f>SUM(E161+F161-G161)</f>
        <v>4127960</v>
      </c>
    </row>
    <row r="162" spans="1:8" s="15" customFormat="1" ht="24" customHeight="1" x14ac:dyDescent="0.2">
      <c r="A162" s="35"/>
      <c r="B162" s="35"/>
      <c r="C162" s="77"/>
      <c r="D162" s="288" t="s">
        <v>116</v>
      </c>
      <c r="E162" s="286">
        <v>2212704</v>
      </c>
      <c r="F162" s="287">
        <f>SUM(F163:F164)</f>
        <v>656</v>
      </c>
      <c r="G162" s="287">
        <f>SUM(G163:G164)</f>
        <v>0</v>
      </c>
      <c r="H162" s="286">
        <f t="shared" ref="H162:H164" si="32">SUM(E162+F162-G162)</f>
        <v>2213360</v>
      </c>
    </row>
    <row r="163" spans="1:8" s="15" customFormat="1" ht="21.75" customHeight="1" x14ac:dyDescent="0.2">
      <c r="A163" s="35"/>
      <c r="B163" s="35"/>
      <c r="C163" s="68">
        <v>4740</v>
      </c>
      <c r="D163" s="91" t="s">
        <v>93</v>
      </c>
      <c r="E163" s="43">
        <v>9993</v>
      </c>
      <c r="F163" s="45">
        <v>547</v>
      </c>
      <c r="G163" s="43"/>
      <c r="H163" s="40">
        <f t="shared" si="32"/>
        <v>10540</v>
      </c>
    </row>
    <row r="164" spans="1:8" s="15" customFormat="1" ht="21.75" customHeight="1" x14ac:dyDescent="0.2">
      <c r="A164" s="35"/>
      <c r="B164" s="35"/>
      <c r="C164" s="68">
        <v>4850</v>
      </c>
      <c r="D164" s="91" t="s">
        <v>94</v>
      </c>
      <c r="E164" s="43">
        <v>1991</v>
      </c>
      <c r="F164" s="45">
        <v>109</v>
      </c>
      <c r="G164" s="43"/>
      <c r="H164" s="40">
        <f t="shared" si="32"/>
        <v>2100</v>
      </c>
    </row>
    <row r="165" spans="1:8" s="15" customFormat="1" ht="34.5" customHeight="1" x14ac:dyDescent="0.2">
      <c r="A165" s="51"/>
      <c r="B165" s="31"/>
      <c r="C165" s="77"/>
      <c r="D165" s="290" t="s">
        <v>117</v>
      </c>
      <c r="E165" s="292">
        <v>1505766.77</v>
      </c>
      <c r="F165" s="292">
        <f>SUM(F166:F166)</f>
        <v>234330</v>
      </c>
      <c r="G165" s="292">
        <f>SUM(G166:G166)</f>
        <v>41732.85</v>
      </c>
      <c r="H165" s="286">
        <f>SUM(E165+F165-G165)</f>
        <v>1698363.92</v>
      </c>
    </row>
    <row r="166" spans="1:8" s="15" customFormat="1" ht="12" customHeight="1" x14ac:dyDescent="0.2">
      <c r="A166" s="51"/>
      <c r="B166" s="31"/>
      <c r="C166" s="35">
        <v>4370</v>
      </c>
      <c r="D166" s="39" t="s">
        <v>87</v>
      </c>
      <c r="E166" s="45">
        <v>1505766.77</v>
      </c>
      <c r="F166" s="43">
        <v>234330</v>
      </c>
      <c r="G166" s="43">
        <v>41732.85</v>
      </c>
      <c r="H166" s="45">
        <f t="shared" ref="H166" si="33">SUM(E166+F166-G166)</f>
        <v>1698363.92</v>
      </c>
    </row>
    <row r="167" spans="1:8" s="15" customFormat="1" ht="34.5" customHeight="1" x14ac:dyDescent="0.2">
      <c r="A167" s="51"/>
      <c r="B167" s="31"/>
      <c r="C167" s="25"/>
      <c r="D167" s="300" t="s">
        <v>118</v>
      </c>
      <c r="E167" s="292">
        <v>174189.54</v>
      </c>
      <c r="F167" s="287">
        <f>SUM(F168:F169)</f>
        <v>41732.85</v>
      </c>
      <c r="G167" s="287">
        <f>SUM(G168:G169)</f>
        <v>0</v>
      </c>
      <c r="H167" s="286">
        <f>SUM(E167+F167-G167)</f>
        <v>215922.39</v>
      </c>
    </row>
    <row r="168" spans="1:8" s="15" customFormat="1" ht="12" customHeight="1" x14ac:dyDescent="0.2">
      <c r="A168" s="79"/>
      <c r="B168" s="73"/>
      <c r="C168" s="97">
        <v>4370</v>
      </c>
      <c r="D168" s="36" t="s">
        <v>87</v>
      </c>
      <c r="E168" s="46">
        <v>31752.97</v>
      </c>
      <c r="F168" s="46">
        <v>3151.89</v>
      </c>
      <c r="G168" s="46"/>
      <c r="H168" s="37">
        <f t="shared" ref="H168:H184" si="34">SUM(E168+F168-G168)</f>
        <v>34904.86</v>
      </c>
    </row>
    <row r="169" spans="1:8" s="15" customFormat="1" ht="22.5" customHeight="1" x14ac:dyDescent="0.2">
      <c r="A169" s="51"/>
      <c r="B169" s="31"/>
      <c r="C169" s="68">
        <v>4860</v>
      </c>
      <c r="D169" s="91" t="s">
        <v>119</v>
      </c>
      <c r="E169" s="45">
        <v>142050.4</v>
      </c>
      <c r="F169" s="45">
        <v>38580.959999999999</v>
      </c>
      <c r="G169" s="45"/>
      <c r="H169" s="40">
        <f t="shared" si="34"/>
        <v>180631.36</v>
      </c>
    </row>
    <row r="170" spans="1:8" s="15" customFormat="1" ht="12" customHeight="1" thickBot="1" x14ac:dyDescent="0.25">
      <c r="A170" s="32" t="s">
        <v>78</v>
      </c>
      <c r="B170" s="31"/>
      <c r="C170" s="32"/>
      <c r="D170" s="33" t="s">
        <v>23</v>
      </c>
      <c r="E170" s="29">
        <v>11756924.07</v>
      </c>
      <c r="F170" s="29">
        <f>SUM(F171,F175)</f>
        <v>4798</v>
      </c>
      <c r="G170" s="29">
        <f>SUM(G171,G175)</f>
        <v>0</v>
      </c>
      <c r="H170" s="29">
        <f t="shared" si="34"/>
        <v>11761722.07</v>
      </c>
    </row>
    <row r="171" spans="1:8" s="15" customFormat="1" ht="12" customHeight="1" thickTop="1" x14ac:dyDescent="0.2">
      <c r="A171" s="98"/>
      <c r="B171" s="35">
        <v>85219</v>
      </c>
      <c r="C171" s="25"/>
      <c r="D171" s="67" t="s">
        <v>53</v>
      </c>
      <c r="E171" s="46">
        <v>32160</v>
      </c>
      <c r="F171" s="38">
        <f t="shared" ref="F171:G171" si="35">SUM(F172)</f>
        <v>3891</v>
      </c>
      <c r="G171" s="38">
        <f t="shared" si="35"/>
        <v>0</v>
      </c>
      <c r="H171" s="37">
        <f t="shared" si="34"/>
        <v>36051</v>
      </c>
    </row>
    <row r="172" spans="1:8" s="15" customFormat="1" ht="12" customHeight="1" x14ac:dyDescent="0.2">
      <c r="A172" s="98"/>
      <c r="B172" s="31"/>
      <c r="C172" s="25"/>
      <c r="D172" s="293" t="s">
        <v>80</v>
      </c>
      <c r="E172" s="62">
        <v>32160</v>
      </c>
      <c r="F172" s="294">
        <f>SUM(F173:F174)</f>
        <v>3891</v>
      </c>
      <c r="G172" s="294">
        <f>SUM(G173:G174)</f>
        <v>0</v>
      </c>
      <c r="H172" s="292">
        <f t="shared" si="34"/>
        <v>36051</v>
      </c>
    </row>
    <row r="173" spans="1:8" s="15" customFormat="1" ht="12" customHeight="1" x14ac:dyDescent="0.2">
      <c r="A173" s="98"/>
      <c r="B173" s="31"/>
      <c r="C173" s="44">
        <v>3110</v>
      </c>
      <c r="D173" s="39" t="s">
        <v>82</v>
      </c>
      <c r="E173" s="43">
        <v>31686</v>
      </c>
      <c r="F173" s="43">
        <v>3834</v>
      </c>
      <c r="G173" s="99"/>
      <c r="H173" s="54">
        <f t="shared" si="34"/>
        <v>35520</v>
      </c>
    </row>
    <row r="174" spans="1:8" s="15" customFormat="1" ht="12" customHeight="1" x14ac:dyDescent="0.2">
      <c r="A174" s="98"/>
      <c r="B174" s="31"/>
      <c r="C174" s="55">
        <v>4210</v>
      </c>
      <c r="D174" s="82" t="s">
        <v>71</v>
      </c>
      <c r="E174" s="43">
        <v>474</v>
      </c>
      <c r="F174" s="43">
        <v>57</v>
      </c>
      <c r="G174" s="99"/>
      <c r="H174" s="54">
        <f t="shared" si="34"/>
        <v>531</v>
      </c>
    </row>
    <row r="175" spans="1:8" s="15" customFormat="1" ht="12" customHeight="1" x14ac:dyDescent="0.2">
      <c r="A175" s="98"/>
      <c r="B175" s="35">
        <v>85228</v>
      </c>
      <c r="C175" s="25"/>
      <c r="D175" s="42" t="s">
        <v>341</v>
      </c>
      <c r="E175" s="46">
        <v>3371776</v>
      </c>
      <c r="F175" s="38">
        <f t="shared" ref="F175:G175" si="36">SUM(F176)</f>
        <v>907</v>
      </c>
      <c r="G175" s="38">
        <f t="shared" si="36"/>
        <v>0</v>
      </c>
      <c r="H175" s="37">
        <f t="shared" si="34"/>
        <v>3372683</v>
      </c>
    </row>
    <row r="176" spans="1:8" s="15" customFormat="1" ht="12" customHeight="1" x14ac:dyDescent="0.2">
      <c r="A176" s="98"/>
      <c r="B176" s="35"/>
      <c r="C176" s="25"/>
      <c r="D176" s="301" t="s">
        <v>120</v>
      </c>
      <c r="E176" s="62">
        <v>3371776</v>
      </c>
      <c r="F176" s="294">
        <f>SUM(F177:F177)</f>
        <v>907</v>
      </c>
      <c r="G176" s="294">
        <f>SUM(G177:G177)</f>
        <v>0</v>
      </c>
      <c r="H176" s="292">
        <f t="shared" si="34"/>
        <v>3372683</v>
      </c>
    </row>
    <row r="177" spans="1:8" s="15" customFormat="1" ht="33.75" customHeight="1" x14ac:dyDescent="0.2">
      <c r="A177" s="98"/>
      <c r="B177" s="31"/>
      <c r="C177" s="100" t="s">
        <v>121</v>
      </c>
      <c r="D177" s="86" t="s">
        <v>122</v>
      </c>
      <c r="E177" s="43">
        <v>3371776</v>
      </c>
      <c r="F177" s="43">
        <v>907</v>
      </c>
      <c r="G177" s="43"/>
      <c r="H177" s="54">
        <f t="shared" si="34"/>
        <v>3372683</v>
      </c>
    </row>
    <row r="178" spans="1:8" s="15" customFormat="1" ht="12" customHeight="1" thickBot="1" x14ac:dyDescent="0.25">
      <c r="A178" s="30">
        <v>853</v>
      </c>
      <c r="B178" s="31"/>
      <c r="C178" s="32"/>
      <c r="D178" s="33" t="s">
        <v>57</v>
      </c>
      <c r="E178" s="29">
        <v>17126838.77</v>
      </c>
      <c r="F178" s="34">
        <f>SUM(F179)</f>
        <v>7344</v>
      </c>
      <c r="G178" s="34">
        <f>SUM(G179)</f>
        <v>0</v>
      </c>
      <c r="H178" s="29">
        <f t="shared" si="34"/>
        <v>17134182.77</v>
      </c>
    </row>
    <row r="179" spans="1:8" s="15" customFormat="1" ht="12" customHeight="1" thickTop="1" x14ac:dyDescent="0.2">
      <c r="A179" s="32"/>
      <c r="B179" s="35">
        <v>85395</v>
      </c>
      <c r="C179" s="25"/>
      <c r="D179" s="36" t="s">
        <v>50</v>
      </c>
      <c r="E179" s="46">
        <v>17126838.77</v>
      </c>
      <c r="F179" s="37">
        <f>SUM(F180)</f>
        <v>7344</v>
      </c>
      <c r="G179" s="37">
        <f>SUM(G180)</f>
        <v>0</v>
      </c>
      <c r="H179" s="37">
        <f t="shared" si="34"/>
        <v>17134182.77</v>
      </c>
    </row>
    <row r="180" spans="1:8" s="15" customFormat="1" ht="22.5" customHeight="1" x14ac:dyDescent="0.2">
      <c r="A180" s="32"/>
      <c r="B180" s="35"/>
      <c r="C180" s="77"/>
      <c r="D180" s="302" t="s">
        <v>123</v>
      </c>
      <c r="E180" s="286">
        <v>359550</v>
      </c>
      <c r="F180" s="287">
        <f>SUM(F181:F183)</f>
        <v>7344</v>
      </c>
      <c r="G180" s="287">
        <f>SUM(G181:G183)</f>
        <v>0</v>
      </c>
      <c r="H180" s="286">
        <f>SUM(E180+F180-G180)</f>
        <v>366894</v>
      </c>
    </row>
    <row r="181" spans="1:8" s="15" customFormat="1" ht="21" customHeight="1" x14ac:dyDescent="0.2">
      <c r="A181" s="32"/>
      <c r="B181" s="35"/>
      <c r="C181" s="68">
        <v>3290</v>
      </c>
      <c r="D181" s="91" t="s">
        <v>84</v>
      </c>
      <c r="E181" s="40">
        <v>352500</v>
      </c>
      <c r="F181" s="54">
        <v>7200</v>
      </c>
      <c r="G181" s="54"/>
      <c r="H181" s="54">
        <f>SUM(E181+F181-G181)</f>
        <v>359700</v>
      </c>
    </row>
    <row r="182" spans="1:8" s="15" customFormat="1" ht="22.5" customHeight="1" x14ac:dyDescent="0.2">
      <c r="A182" s="32"/>
      <c r="B182" s="35"/>
      <c r="C182" s="68">
        <v>4740</v>
      </c>
      <c r="D182" s="91" t="s">
        <v>93</v>
      </c>
      <c r="E182" s="43">
        <v>5863</v>
      </c>
      <c r="F182" s="54">
        <v>120</v>
      </c>
      <c r="G182" s="54"/>
      <c r="H182" s="54">
        <f t="shared" ref="H182:H183" si="37">SUM(E182+F182-G182)</f>
        <v>5983</v>
      </c>
    </row>
    <row r="183" spans="1:8" s="15" customFormat="1" ht="21" customHeight="1" x14ac:dyDescent="0.2">
      <c r="A183" s="32"/>
      <c r="B183" s="35"/>
      <c r="C183" s="68">
        <v>4850</v>
      </c>
      <c r="D183" s="91" t="s">
        <v>94</v>
      </c>
      <c r="E183" s="43">
        <v>1187</v>
      </c>
      <c r="F183" s="54">
        <v>24</v>
      </c>
      <c r="G183" s="54"/>
      <c r="H183" s="54">
        <f t="shared" si="37"/>
        <v>1211</v>
      </c>
    </row>
    <row r="184" spans="1:8" s="15" customFormat="1" ht="12" customHeight="1" thickBot="1" x14ac:dyDescent="0.25">
      <c r="A184" s="31">
        <v>855</v>
      </c>
      <c r="B184" s="31"/>
      <c r="C184" s="32"/>
      <c r="D184" s="33" t="s">
        <v>42</v>
      </c>
      <c r="E184" s="34">
        <v>78481519</v>
      </c>
      <c r="F184" s="29">
        <f>SUM(F187,F195)</f>
        <v>209091</v>
      </c>
      <c r="G184" s="29">
        <f>SUM(G187,G195)</f>
        <v>2162</v>
      </c>
      <c r="H184" s="29">
        <f t="shared" si="34"/>
        <v>78688448</v>
      </c>
    </row>
    <row r="185" spans="1:8" s="15" customFormat="1" ht="12" customHeight="1" thickTop="1" x14ac:dyDescent="0.2">
      <c r="A185" s="31"/>
      <c r="B185" s="58">
        <v>85502</v>
      </c>
      <c r="C185" s="77"/>
      <c r="D185" s="78" t="s">
        <v>59</v>
      </c>
      <c r="E185" s="43"/>
      <c r="F185" s="43"/>
      <c r="G185" s="99"/>
      <c r="H185" s="54"/>
    </row>
    <row r="186" spans="1:8" s="15" customFormat="1" ht="12" customHeight="1" x14ac:dyDescent="0.2">
      <c r="A186" s="31"/>
      <c r="B186" s="58"/>
      <c r="C186" s="77"/>
      <c r="D186" s="78" t="s">
        <v>60</v>
      </c>
      <c r="E186" s="43"/>
      <c r="F186" s="43"/>
      <c r="G186" s="99"/>
      <c r="H186" s="54"/>
    </row>
    <row r="187" spans="1:8" s="15" customFormat="1" ht="12" customHeight="1" x14ac:dyDescent="0.2">
      <c r="A187" s="31"/>
      <c r="B187" s="58"/>
      <c r="C187" s="77"/>
      <c r="D187" s="67" t="s">
        <v>61</v>
      </c>
      <c r="E187" s="38">
        <v>41259119</v>
      </c>
      <c r="F187" s="38">
        <f t="shared" ref="F187:G187" si="38">SUM(F188)</f>
        <v>209091</v>
      </c>
      <c r="G187" s="38">
        <f t="shared" si="38"/>
        <v>600</v>
      </c>
      <c r="H187" s="37">
        <f t="shared" ref="H187:H192" si="39">SUM(E187+F187-G187)</f>
        <v>41467610</v>
      </c>
    </row>
    <row r="188" spans="1:8" s="15" customFormat="1" ht="12" customHeight="1" x14ac:dyDescent="0.2">
      <c r="A188" s="31"/>
      <c r="B188" s="35"/>
      <c r="C188" s="25"/>
      <c r="D188" s="293" t="s">
        <v>80</v>
      </c>
      <c r="E188" s="294">
        <v>41259119</v>
      </c>
      <c r="F188" s="294">
        <f>SUM(F189:F192)</f>
        <v>209091</v>
      </c>
      <c r="G188" s="294">
        <f>SUM(G189:G192)</f>
        <v>600</v>
      </c>
      <c r="H188" s="292">
        <f t="shared" si="39"/>
        <v>41467610</v>
      </c>
    </row>
    <row r="189" spans="1:8" s="15" customFormat="1" ht="12" customHeight="1" x14ac:dyDescent="0.2">
      <c r="A189" s="31"/>
      <c r="B189" s="31"/>
      <c r="C189" s="44">
        <v>3110</v>
      </c>
      <c r="D189" s="39" t="s">
        <v>82</v>
      </c>
      <c r="E189" s="43">
        <v>36656497</v>
      </c>
      <c r="F189" s="45">
        <v>202737</v>
      </c>
      <c r="G189" s="45"/>
      <c r="H189" s="54">
        <f t="shared" si="39"/>
        <v>36859234</v>
      </c>
    </row>
    <row r="190" spans="1:8" s="15" customFormat="1" ht="12" customHeight="1" x14ac:dyDescent="0.2">
      <c r="A190" s="31"/>
      <c r="B190" s="31"/>
      <c r="C190" s="44">
        <v>4010</v>
      </c>
      <c r="D190" s="39" t="s">
        <v>96</v>
      </c>
      <c r="E190" s="43">
        <v>894506</v>
      </c>
      <c r="F190" s="45">
        <v>5424</v>
      </c>
      <c r="G190" s="45"/>
      <c r="H190" s="54">
        <f t="shared" si="39"/>
        <v>899930</v>
      </c>
    </row>
    <row r="191" spans="1:8" s="15" customFormat="1" ht="12" customHeight="1" x14ac:dyDescent="0.2">
      <c r="A191" s="31"/>
      <c r="B191" s="31"/>
      <c r="C191" s="44">
        <v>4110</v>
      </c>
      <c r="D191" s="39" t="s">
        <v>124</v>
      </c>
      <c r="E191" s="43">
        <v>3583728</v>
      </c>
      <c r="F191" s="45">
        <v>930</v>
      </c>
      <c r="G191" s="45"/>
      <c r="H191" s="54">
        <f t="shared" si="39"/>
        <v>3584658</v>
      </c>
    </row>
    <row r="192" spans="1:8" s="15" customFormat="1" ht="12" customHeight="1" x14ac:dyDescent="0.2">
      <c r="A192" s="31"/>
      <c r="B192" s="31"/>
      <c r="C192" s="44">
        <v>4300</v>
      </c>
      <c r="D192" s="39" t="s">
        <v>90</v>
      </c>
      <c r="E192" s="43">
        <v>6480</v>
      </c>
      <c r="F192" s="45"/>
      <c r="G192" s="45">
        <v>600</v>
      </c>
      <c r="H192" s="54">
        <f t="shared" si="39"/>
        <v>5880</v>
      </c>
    </row>
    <row r="193" spans="1:8" s="15" customFormat="1" ht="12" customHeight="1" x14ac:dyDescent="0.2">
      <c r="A193" s="31"/>
      <c r="B193" s="35">
        <v>85513</v>
      </c>
      <c r="C193" s="25"/>
      <c r="D193" s="58" t="s">
        <v>62</v>
      </c>
      <c r="E193" s="54"/>
      <c r="F193" s="54"/>
      <c r="G193" s="54"/>
      <c r="H193" s="54"/>
    </row>
    <row r="194" spans="1:8" s="15" customFormat="1" ht="12" customHeight="1" x14ac:dyDescent="0.2">
      <c r="A194" s="31"/>
      <c r="B194" s="51"/>
      <c r="C194" s="25"/>
      <c r="D194" s="41" t="s">
        <v>63</v>
      </c>
      <c r="E194" s="54"/>
      <c r="F194" s="54"/>
      <c r="G194" s="54"/>
      <c r="H194" s="54"/>
    </row>
    <row r="195" spans="1:8" s="15" customFormat="1" ht="12" customHeight="1" x14ac:dyDescent="0.2">
      <c r="A195" s="31"/>
      <c r="B195" s="35"/>
      <c r="C195" s="25"/>
      <c r="D195" s="36" t="s">
        <v>64</v>
      </c>
      <c r="E195" s="37">
        <v>382956</v>
      </c>
      <c r="F195" s="38">
        <f t="shared" ref="F195:G195" si="40">SUM(F196)</f>
        <v>0</v>
      </c>
      <c r="G195" s="38">
        <f t="shared" si="40"/>
        <v>1562</v>
      </c>
      <c r="H195" s="37">
        <f>SUM(E195+F195-G195)</f>
        <v>381394</v>
      </c>
    </row>
    <row r="196" spans="1:8" s="15" customFormat="1" ht="12" customHeight="1" x14ac:dyDescent="0.2">
      <c r="A196" s="31"/>
      <c r="B196" s="35"/>
      <c r="C196" s="25"/>
      <c r="D196" s="293" t="s">
        <v>80</v>
      </c>
      <c r="E196" s="286">
        <v>382956</v>
      </c>
      <c r="F196" s="287">
        <f>SUM(F197)</f>
        <v>0</v>
      </c>
      <c r="G196" s="287">
        <f>SUM(G197)</f>
        <v>1562</v>
      </c>
      <c r="H196" s="286">
        <f>SUM(E196+F196-G196)</f>
        <v>381394</v>
      </c>
    </row>
    <row r="197" spans="1:8" s="15" customFormat="1" ht="12" customHeight="1" x14ac:dyDescent="0.2">
      <c r="A197" s="31"/>
      <c r="B197" s="31"/>
      <c r="C197" s="44">
        <v>4130</v>
      </c>
      <c r="D197" s="39" t="s">
        <v>81</v>
      </c>
      <c r="E197" s="43">
        <v>382956</v>
      </c>
      <c r="F197" s="54"/>
      <c r="G197" s="54">
        <v>1562</v>
      </c>
      <c r="H197" s="43">
        <f>SUM(E197+F197-G197)</f>
        <v>381394</v>
      </c>
    </row>
    <row r="198" spans="1:8" s="15" customFormat="1" ht="18" customHeight="1" thickBot="1" x14ac:dyDescent="0.25">
      <c r="A198" s="98"/>
      <c r="B198" s="35"/>
      <c r="C198" s="44"/>
      <c r="D198" s="28" t="s">
        <v>125</v>
      </c>
      <c r="E198" s="29">
        <v>20526227.5</v>
      </c>
      <c r="F198" s="29">
        <f>SUM(F199)</f>
        <v>2009</v>
      </c>
      <c r="G198" s="29">
        <f>SUM(G199)</f>
        <v>809</v>
      </c>
      <c r="H198" s="29">
        <f>SUM(E198+F198-G198)</f>
        <v>20527427.5</v>
      </c>
    </row>
    <row r="199" spans="1:8" s="15" customFormat="1" ht="18.75" customHeight="1" thickTop="1" thickBot="1" x14ac:dyDescent="0.25">
      <c r="A199" s="30">
        <v>853</v>
      </c>
      <c r="B199" s="31"/>
      <c r="C199" s="32"/>
      <c r="D199" s="33" t="s">
        <v>57</v>
      </c>
      <c r="E199" s="29">
        <v>525330</v>
      </c>
      <c r="F199" s="29">
        <f>SUM(F200)</f>
        <v>2009</v>
      </c>
      <c r="G199" s="29">
        <f>SUM(G200)</f>
        <v>809</v>
      </c>
      <c r="H199" s="29">
        <f t="shared" ref="H199:H203" si="41">SUM(E199+F199-G199)</f>
        <v>526530</v>
      </c>
    </row>
    <row r="200" spans="1:8" s="15" customFormat="1" ht="12" customHeight="1" thickTop="1" x14ac:dyDescent="0.2">
      <c r="A200" s="30"/>
      <c r="B200" s="35">
        <v>85321</v>
      </c>
      <c r="C200" s="25"/>
      <c r="D200" s="36" t="s">
        <v>66</v>
      </c>
      <c r="E200" s="46">
        <v>497610</v>
      </c>
      <c r="F200" s="38">
        <f>SUM(F201,F204)</f>
        <v>2009</v>
      </c>
      <c r="G200" s="38">
        <f>SUM(G201,G204)</f>
        <v>809</v>
      </c>
      <c r="H200" s="37">
        <f t="shared" si="41"/>
        <v>498810</v>
      </c>
    </row>
    <row r="201" spans="1:8" s="15" customFormat="1" ht="12" customHeight="1" x14ac:dyDescent="0.2">
      <c r="A201" s="30"/>
      <c r="B201" s="35"/>
      <c r="C201" s="25"/>
      <c r="D201" s="293" t="s">
        <v>126</v>
      </c>
      <c r="E201" s="286">
        <v>225210</v>
      </c>
      <c r="F201" s="294">
        <f>SUM(F202:F203)</f>
        <v>809</v>
      </c>
      <c r="G201" s="294">
        <f>SUM(G202:G203)</f>
        <v>809</v>
      </c>
      <c r="H201" s="292">
        <f t="shared" si="41"/>
        <v>225210</v>
      </c>
    </row>
    <row r="202" spans="1:8" s="15" customFormat="1" ht="12" customHeight="1" x14ac:dyDescent="0.2">
      <c r="A202" s="30"/>
      <c r="B202" s="35"/>
      <c r="C202" s="44">
        <v>4170</v>
      </c>
      <c r="D202" s="39" t="s">
        <v>127</v>
      </c>
      <c r="E202" s="43">
        <v>100974</v>
      </c>
      <c r="F202" s="43">
        <v>809</v>
      </c>
      <c r="G202" s="43"/>
      <c r="H202" s="54">
        <f t="shared" si="41"/>
        <v>101783</v>
      </c>
    </row>
    <row r="203" spans="1:8" s="15" customFormat="1" ht="12" customHeight="1" x14ac:dyDescent="0.2">
      <c r="A203" s="30"/>
      <c r="B203" s="35"/>
      <c r="C203" s="77" t="s">
        <v>89</v>
      </c>
      <c r="D203" s="82" t="s">
        <v>71</v>
      </c>
      <c r="E203" s="43">
        <v>8250</v>
      </c>
      <c r="F203" s="43"/>
      <c r="G203" s="43">
        <v>809</v>
      </c>
      <c r="H203" s="54">
        <f t="shared" si="41"/>
        <v>7441</v>
      </c>
    </row>
    <row r="204" spans="1:8" s="15" customFormat="1" ht="46.5" customHeight="1" x14ac:dyDescent="0.2">
      <c r="A204" s="95"/>
      <c r="B204" s="101"/>
      <c r="C204" s="25"/>
      <c r="D204" s="290" t="s">
        <v>128</v>
      </c>
      <c r="E204" s="286">
        <v>1050</v>
      </c>
      <c r="F204" s="287">
        <f>SUM(F205:F207)</f>
        <v>1200</v>
      </c>
      <c r="G204" s="287">
        <f>SUM(G205:G207)</f>
        <v>0</v>
      </c>
      <c r="H204" s="286">
        <f>SUM(E204+F204-G204)</f>
        <v>2250</v>
      </c>
    </row>
    <row r="205" spans="1:8" s="15" customFormat="1" ht="12" customHeight="1" x14ac:dyDescent="0.2">
      <c r="A205" s="95"/>
      <c r="B205" s="101"/>
      <c r="C205" s="35">
        <v>4370</v>
      </c>
      <c r="D205" s="39" t="s">
        <v>87</v>
      </c>
      <c r="E205" s="45">
        <v>0</v>
      </c>
      <c r="F205" s="43">
        <v>730</v>
      </c>
      <c r="G205" s="43"/>
      <c r="H205" s="45">
        <f t="shared" ref="H205:H207" si="42">SUM(E205+F205-G205)</f>
        <v>730</v>
      </c>
    </row>
    <row r="206" spans="1:8" s="15" customFormat="1" ht="21" customHeight="1" x14ac:dyDescent="0.2">
      <c r="A206" s="30"/>
      <c r="B206" s="31"/>
      <c r="C206" s="68">
        <v>4740</v>
      </c>
      <c r="D206" s="91" t="s">
        <v>93</v>
      </c>
      <c r="E206" s="45">
        <v>0</v>
      </c>
      <c r="F206" s="45">
        <v>340</v>
      </c>
      <c r="G206" s="45"/>
      <c r="H206" s="45">
        <f t="shared" si="42"/>
        <v>340</v>
      </c>
    </row>
    <row r="207" spans="1:8" s="15" customFormat="1" ht="21.75" customHeight="1" x14ac:dyDescent="0.2">
      <c r="A207" s="30"/>
      <c r="B207" s="31"/>
      <c r="C207" s="68">
        <v>4850</v>
      </c>
      <c r="D207" s="91" t="s">
        <v>94</v>
      </c>
      <c r="E207" s="45">
        <v>0</v>
      </c>
      <c r="F207" s="45">
        <v>130</v>
      </c>
      <c r="G207" s="45"/>
      <c r="H207" s="45">
        <f t="shared" si="42"/>
        <v>130</v>
      </c>
    </row>
    <row r="208" spans="1:8" s="15" customFormat="1" ht="3.75" customHeight="1" x14ac:dyDescent="0.2">
      <c r="A208" s="47"/>
      <c r="B208" s="47"/>
      <c r="C208" s="48"/>
      <c r="D208" s="49"/>
      <c r="E208" s="37"/>
      <c r="F208" s="37"/>
      <c r="G208" s="37"/>
      <c r="H208" s="37"/>
    </row>
    <row r="209" s="15" customFormat="1" ht="12.6" customHeight="1" x14ac:dyDescent="0.2"/>
    <row r="210" s="15" customFormat="1" ht="12.6" customHeight="1" x14ac:dyDescent="0.2"/>
    <row r="211" s="15" customFormat="1" ht="12.6" customHeight="1" x14ac:dyDescent="0.2"/>
    <row r="212" s="15" customFormat="1" ht="12.6" customHeight="1" x14ac:dyDescent="0.2"/>
    <row r="213" s="15" customFormat="1" ht="12.6" customHeight="1" x14ac:dyDescent="0.2"/>
    <row r="214" s="15" customFormat="1" ht="12.6" customHeight="1" x14ac:dyDescent="0.2"/>
    <row r="215" s="15" customFormat="1" ht="12.6" customHeight="1" x14ac:dyDescent="0.2"/>
    <row r="216" s="15" customFormat="1" ht="12.6" customHeight="1" x14ac:dyDescent="0.2"/>
    <row r="217" s="15" customFormat="1" ht="12.6" customHeight="1" x14ac:dyDescent="0.2"/>
    <row r="218" s="15" customFormat="1" ht="12.6" customHeight="1" x14ac:dyDescent="0.2"/>
    <row r="219" s="15" customFormat="1" ht="12.6" customHeight="1" x14ac:dyDescent="0.2"/>
    <row r="220" s="15" customFormat="1" ht="12.6" customHeight="1" x14ac:dyDescent="0.2"/>
    <row r="221" s="15" customFormat="1" ht="12.6" customHeight="1" x14ac:dyDescent="0.2"/>
    <row r="222" s="15" customFormat="1" ht="12.6" customHeight="1" x14ac:dyDescent="0.2"/>
    <row r="223" s="15" customFormat="1" ht="12.6" customHeight="1" x14ac:dyDescent="0.2"/>
    <row r="224" s="15" customFormat="1" ht="12.6" customHeight="1" x14ac:dyDescent="0.2"/>
    <row r="225" s="15" customFormat="1" ht="12.6" customHeight="1" x14ac:dyDescent="0.2"/>
    <row r="226" s="15" customFormat="1" ht="12.6" customHeight="1" x14ac:dyDescent="0.2"/>
    <row r="227" s="15" customFormat="1" ht="12.6" customHeight="1" x14ac:dyDescent="0.2"/>
    <row r="228" s="15" customFormat="1" ht="12.6" customHeight="1" x14ac:dyDescent="0.2"/>
    <row r="229" s="15" customFormat="1" ht="12.6" customHeight="1" x14ac:dyDescent="0.2"/>
    <row r="230" s="15" customFormat="1" ht="12.6" customHeight="1" x14ac:dyDescent="0.2"/>
    <row r="231" s="15" customFormat="1" ht="12.6" customHeight="1" x14ac:dyDescent="0.2"/>
    <row r="232" s="15" customFormat="1" ht="12.6" customHeight="1" x14ac:dyDescent="0.2"/>
    <row r="233" s="15" customFormat="1" ht="12.6" customHeight="1" x14ac:dyDescent="0.2"/>
    <row r="234" s="15" customFormat="1" ht="12.6" customHeight="1" x14ac:dyDescent="0.2"/>
    <row r="235" s="15" customFormat="1" ht="12.6" customHeight="1" x14ac:dyDescent="0.2"/>
    <row r="236" s="15" customFormat="1" ht="12.6" customHeight="1" x14ac:dyDescent="0.2"/>
    <row r="237" s="15" customFormat="1" ht="12.6" customHeight="1" x14ac:dyDescent="0.2"/>
    <row r="238" s="15" customFormat="1" ht="12.6" customHeight="1" x14ac:dyDescent="0.2"/>
    <row r="239" s="15" customFormat="1" ht="12.6" customHeight="1" x14ac:dyDescent="0.2"/>
    <row r="240" s="15" customFormat="1" ht="12.6" customHeight="1" x14ac:dyDescent="0.2"/>
    <row r="241" s="15" customFormat="1" ht="12.6" customHeight="1" x14ac:dyDescent="0.2"/>
    <row r="242" s="15" customFormat="1" ht="12.6" customHeight="1" x14ac:dyDescent="0.2"/>
    <row r="243" s="15" customFormat="1" ht="12.6" customHeight="1" x14ac:dyDescent="0.2"/>
    <row r="244" s="15" customFormat="1" ht="12.6" customHeight="1" x14ac:dyDescent="0.2"/>
    <row r="245" s="15" customFormat="1" ht="12.6" customHeight="1" x14ac:dyDescent="0.2"/>
    <row r="246" s="15" customFormat="1" ht="12.6" customHeight="1" x14ac:dyDescent="0.2"/>
    <row r="247" s="15" customFormat="1" ht="12.2" customHeight="1" x14ac:dyDescent="0.2"/>
    <row r="248" s="15" customFormat="1" ht="12.2" customHeight="1" x14ac:dyDescent="0.2"/>
    <row r="249" s="15" customFormat="1" ht="12.2" customHeight="1" x14ac:dyDescent="0.2"/>
    <row r="250" s="15" customFormat="1" ht="12.95" customHeight="1" x14ac:dyDescent="0.2"/>
    <row r="251" s="15" customFormat="1" ht="12.95" customHeight="1" x14ac:dyDescent="0.2"/>
    <row r="252" s="15" customFormat="1" ht="12.95" customHeight="1" x14ac:dyDescent="0.2"/>
    <row r="253" s="15" customFormat="1" ht="12.95" customHeight="1" x14ac:dyDescent="0.2"/>
    <row r="254" s="15" customFormat="1" ht="12.95" customHeight="1" x14ac:dyDescent="0.2"/>
    <row r="255" s="15" customFormat="1" ht="12.95" customHeight="1" x14ac:dyDescent="0.2"/>
    <row r="256" s="15" customFormat="1" ht="12.95" customHeight="1" x14ac:dyDescent="0.2"/>
    <row r="257" s="15" customFormat="1" ht="12.95" customHeight="1" x14ac:dyDescent="0.2"/>
    <row r="258" s="15" customFormat="1" ht="12.95" customHeight="1" x14ac:dyDescent="0.2"/>
    <row r="259" s="15" customFormat="1" ht="12.95" customHeight="1" x14ac:dyDescent="0.2"/>
    <row r="260" s="15" customFormat="1" ht="12.95" customHeight="1" x14ac:dyDescent="0.2"/>
    <row r="261" s="15" customFormat="1" ht="12.95" customHeight="1" x14ac:dyDescent="0.2"/>
    <row r="262" s="15" customFormat="1" ht="12.95" customHeight="1" x14ac:dyDescent="0.2"/>
    <row r="263" s="15" customFormat="1" ht="12.95" customHeight="1" x14ac:dyDescent="0.2"/>
    <row r="264" s="15" customFormat="1" ht="12.95" customHeight="1" x14ac:dyDescent="0.2"/>
    <row r="265" s="15" customFormat="1" ht="12.95" customHeight="1" x14ac:dyDescent="0.2"/>
    <row r="266" s="15" customFormat="1" ht="12.95" customHeight="1" x14ac:dyDescent="0.2"/>
    <row r="267" s="15" customFormat="1" ht="12.95" customHeight="1" x14ac:dyDescent="0.2"/>
    <row r="268" s="15" customFormat="1" ht="12.95" customHeight="1" x14ac:dyDescent="0.2"/>
    <row r="269" s="15" customFormat="1" ht="12.95" customHeight="1" x14ac:dyDescent="0.2"/>
    <row r="270" s="15" customFormat="1" ht="12.95" customHeight="1" x14ac:dyDescent="0.2"/>
    <row r="271" s="15" customFormat="1" ht="12.95" customHeight="1" x14ac:dyDescent="0.2"/>
    <row r="272" s="15" customFormat="1" ht="12.95" customHeight="1" x14ac:dyDescent="0.2"/>
    <row r="273" s="15" customFormat="1" ht="12.95" customHeight="1" x14ac:dyDescent="0.2"/>
    <row r="274" s="15" customFormat="1" ht="12.95" customHeight="1" x14ac:dyDescent="0.2"/>
    <row r="275" s="15" customFormat="1" ht="12.95" customHeight="1" x14ac:dyDescent="0.2"/>
    <row r="276" s="15" customFormat="1" ht="12.95" customHeight="1" x14ac:dyDescent="0.2"/>
    <row r="277" s="15" customFormat="1" ht="12.95" customHeight="1" x14ac:dyDescent="0.2"/>
    <row r="278" s="15" customFormat="1" ht="12.95" customHeight="1" x14ac:dyDescent="0.2"/>
    <row r="279" s="15" customFormat="1" ht="12.95" customHeight="1" x14ac:dyDescent="0.2"/>
    <row r="280" s="15" customFormat="1" ht="12.95" customHeight="1" x14ac:dyDescent="0.2"/>
    <row r="281" s="15" customFormat="1" ht="12.95" customHeight="1" x14ac:dyDescent="0.2"/>
    <row r="282" s="15" customFormat="1" ht="12.95" customHeight="1" x14ac:dyDescent="0.2"/>
    <row r="283" s="15" customFormat="1" ht="12.95" customHeight="1" x14ac:dyDescent="0.2"/>
    <row r="284" s="15" customFormat="1" ht="12.95" customHeight="1" x14ac:dyDescent="0.2"/>
    <row r="285" s="15" customFormat="1" ht="12.95" customHeight="1" x14ac:dyDescent="0.2"/>
    <row r="286" s="15" customFormat="1" ht="12.95" customHeight="1" x14ac:dyDescent="0.2"/>
    <row r="287" s="15" customFormat="1" ht="12.95" customHeight="1" x14ac:dyDescent="0.2"/>
    <row r="288" s="15" customFormat="1" ht="12.95" customHeight="1" x14ac:dyDescent="0.2"/>
    <row r="289" s="15" customFormat="1" ht="12.95" customHeight="1" x14ac:dyDescent="0.2"/>
    <row r="290" s="15" customFormat="1" ht="12.95" customHeight="1" x14ac:dyDescent="0.2"/>
    <row r="291" s="15" customFormat="1" ht="12.95" customHeight="1" x14ac:dyDescent="0.2"/>
    <row r="292" s="15" customFormat="1" ht="12.95" customHeight="1" x14ac:dyDescent="0.2"/>
    <row r="293" s="15" customFormat="1" ht="12.95" customHeight="1" x14ac:dyDescent="0.2"/>
    <row r="294" s="15" customFormat="1" ht="12.95" customHeight="1" x14ac:dyDescent="0.2"/>
    <row r="295" s="15" customFormat="1" ht="12.95" customHeight="1" x14ac:dyDescent="0.2"/>
    <row r="296" s="15" customFormat="1" ht="12.95" customHeight="1" x14ac:dyDescent="0.2"/>
    <row r="297" s="15" customFormat="1" ht="12.95" customHeight="1" x14ac:dyDescent="0.2"/>
    <row r="298" s="15" customFormat="1" ht="12.95" customHeight="1" x14ac:dyDescent="0.2"/>
    <row r="299" s="15" customFormat="1" ht="12.95" customHeight="1" x14ac:dyDescent="0.2"/>
    <row r="300" s="15" customFormat="1" ht="12.95" customHeight="1" x14ac:dyDescent="0.2"/>
    <row r="301" s="15" customFormat="1" ht="12.95" customHeight="1" x14ac:dyDescent="0.2"/>
    <row r="302" s="15" customFormat="1" ht="12.95" customHeight="1" x14ac:dyDescent="0.2"/>
    <row r="303" s="15" customFormat="1" ht="12.95" customHeight="1" x14ac:dyDescent="0.2"/>
    <row r="304" s="15" customFormat="1" ht="12.95" customHeight="1" x14ac:dyDescent="0.2"/>
    <row r="305" s="15" customFormat="1" ht="12.95" customHeight="1" x14ac:dyDescent="0.2"/>
    <row r="306" s="15" customFormat="1" ht="12.95" customHeight="1" x14ac:dyDescent="0.2"/>
    <row r="307" s="15" customFormat="1" ht="12.95" customHeight="1" x14ac:dyDescent="0.2"/>
    <row r="308" s="15" customFormat="1" ht="12.95" customHeight="1" x14ac:dyDescent="0.2"/>
    <row r="309" s="15" customFormat="1" ht="12.95" customHeight="1" x14ac:dyDescent="0.2"/>
    <row r="310" s="15" customFormat="1" ht="12.95" customHeight="1" x14ac:dyDescent="0.2"/>
    <row r="311" s="15" customFormat="1" ht="12.95" customHeight="1" x14ac:dyDescent="0.2"/>
    <row r="312" s="15" customFormat="1" ht="12.95" customHeight="1" x14ac:dyDescent="0.2"/>
    <row r="313" s="15" customFormat="1" ht="12.95" customHeight="1" x14ac:dyDescent="0.2"/>
    <row r="314" s="15" customFormat="1" ht="12.95" customHeight="1" x14ac:dyDescent="0.2"/>
    <row r="315" s="15" customFormat="1" ht="12.95" customHeight="1" x14ac:dyDescent="0.2"/>
    <row r="316" s="15" customFormat="1" ht="12.95" customHeight="1" x14ac:dyDescent="0.2"/>
    <row r="317" customFormat="1" ht="12.95" customHeight="1" x14ac:dyDescent="0.25"/>
    <row r="318" customFormat="1" ht="12.95" customHeight="1" x14ac:dyDescent="0.25"/>
    <row r="319" customFormat="1" ht="12.95" customHeight="1" x14ac:dyDescent="0.25"/>
    <row r="320" customFormat="1" ht="12.95" customHeight="1" x14ac:dyDescent="0.25"/>
    <row r="321" customFormat="1" ht="12.95" customHeight="1" x14ac:dyDescent="0.25"/>
    <row r="322" customFormat="1" ht="12.95" customHeight="1" x14ac:dyDescent="0.25"/>
    <row r="323" customFormat="1" ht="12.95" customHeight="1" x14ac:dyDescent="0.25"/>
    <row r="324" customFormat="1" ht="12.95" customHeight="1" x14ac:dyDescent="0.25"/>
    <row r="325" customFormat="1" ht="12.95" customHeight="1" x14ac:dyDescent="0.25"/>
    <row r="326" customFormat="1" ht="12.95" customHeight="1" x14ac:dyDescent="0.25"/>
    <row r="327" customFormat="1" ht="12.95" customHeight="1" x14ac:dyDescent="0.25"/>
    <row r="328" customFormat="1" ht="12.95" customHeight="1" x14ac:dyDescent="0.25"/>
    <row r="329" customFormat="1" ht="12.75" customHeight="1" x14ac:dyDescent="0.25"/>
    <row r="330" customFormat="1" ht="12.75" customHeight="1" x14ac:dyDescent="0.25"/>
    <row r="331" customFormat="1" ht="12.75" customHeight="1" x14ac:dyDescent="0.25"/>
    <row r="332" customFormat="1" ht="12.75" customHeight="1" x14ac:dyDescent="0.25"/>
    <row r="333" customFormat="1" ht="12.75" customHeight="1" x14ac:dyDescent="0.25"/>
    <row r="334" customFormat="1" ht="12.75" customHeight="1" x14ac:dyDescent="0.25"/>
    <row r="335" customFormat="1" ht="12.75" customHeight="1" x14ac:dyDescent="0.25"/>
    <row r="336" customFormat="1" ht="12.75" customHeight="1" x14ac:dyDescent="0.25"/>
    <row r="337" customFormat="1" ht="12.75" customHeight="1" x14ac:dyDescent="0.25"/>
    <row r="338" customFormat="1" ht="12.75" customHeight="1" x14ac:dyDescent="0.25"/>
    <row r="339" customFormat="1" ht="12.75" customHeight="1" x14ac:dyDescent="0.25"/>
    <row r="340" customFormat="1" ht="12.75" customHeight="1" x14ac:dyDescent="0.25"/>
    <row r="341" customFormat="1" ht="12.75" customHeight="1" x14ac:dyDescent="0.25"/>
    <row r="342" customFormat="1" ht="12.75" customHeight="1" x14ac:dyDescent="0.25"/>
    <row r="343" customFormat="1" ht="12.75" customHeight="1" x14ac:dyDescent="0.25"/>
    <row r="344" customFormat="1" ht="12.75" customHeight="1" x14ac:dyDescent="0.25"/>
    <row r="345" customFormat="1" ht="12.75" customHeight="1" x14ac:dyDescent="0.25"/>
    <row r="346" customFormat="1" ht="12.75" customHeight="1" x14ac:dyDescent="0.25"/>
    <row r="347" customFormat="1" ht="12.75" customHeight="1" x14ac:dyDescent="0.25"/>
    <row r="348" customFormat="1" ht="12.75" customHeight="1" x14ac:dyDescent="0.25"/>
    <row r="349" customFormat="1" ht="12.75" customHeight="1" x14ac:dyDescent="0.25"/>
    <row r="350" customFormat="1" ht="12.75" customHeight="1" x14ac:dyDescent="0.25"/>
    <row r="351" customFormat="1" ht="12.75" customHeight="1" x14ac:dyDescent="0.25"/>
    <row r="352" customFormat="1" ht="12.75" customHeight="1" x14ac:dyDescent="0.25"/>
    <row r="353" customFormat="1" ht="12.75" customHeight="1" x14ac:dyDescent="0.25"/>
    <row r="354" customFormat="1" ht="12.75" customHeight="1" x14ac:dyDescent="0.25"/>
    <row r="355" customFormat="1" ht="12.75" customHeight="1" x14ac:dyDescent="0.25"/>
    <row r="356" customFormat="1" ht="12.75" customHeight="1" x14ac:dyDescent="0.25"/>
    <row r="357" customFormat="1" ht="12.75" customHeight="1" x14ac:dyDescent="0.25"/>
    <row r="358" customFormat="1" ht="12.75" customHeight="1" x14ac:dyDescent="0.25"/>
    <row r="359" customFormat="1" ht="12.75" customHeight="1" x14ac:dyDescent="0.25"/>
    <row r="360" customFormat="1" ht="12.75" customHeight="1" x14ac:dyDescent="0.25"/>
    <row r="361" customFormat="1" ht="12.75" customHeight="1" x14ac:dyDescent="0.25"/>
    <row r="362" customFormat="1" ht="12.75" customHeight="1" x14ac:dyDescent="0.25"/>
    <row r="363" customFormat="1" ht="12.75" customHeight="1" x14ac:dyDescent="0.25"/>
    <row r="364" customFormat="1" ht="12.75" customHeight="1" x14ac:dyDescent="0.25"/>
    <row r="365" customFormat="1" ht="12.75" customHeight="1" x14ac:dyDescent="0.25"/>
    <row r="366" customFormat="1" ht="12.75" customHeight="1" x14ac:dyDescent="0.25"/>
    <row r="367" customFormat="1" ht="12.75" customHeight="1" x14ac:dyDescent="0.25"/>
    <row r="368" customFormat="1" ht="12.75" customHeight="1" x14ac:dyDescent="0.25"/>
    <row r="369" customFormat="1" ht="12.75" customHeight="1" x14ac:dyDescent="0.25"/>
    <row r="370" customFormat="1" ht="12.75" customHeight="1" x14ac:dyDescent="0.25"/>
    <row r="371" customFormat="1" ht="12.75" customHeight="1" x14ac:dyDescent="0.25"/>
    <row r="372" customFormat="1" ht="12.75" customHeight="1" x14ac:dyDescent="0.25"/>
    <row r="373" customFormat="1" ht="12.75" customHeight="1" x14ac:dyDescent="0.25"/>
    <row r="374" customFormat="1" ht="12.75" customHeight="1" x14ac:dyDescent="0.25"/>
    <row r="375" customFormat="1" ht="12.75" customHeight="1" x14ac:dyDescent="0.25"/>
    <row r="376" customFormat="1" ht="12.75" customHeight="1" x14ac:dyDescent="0.25"/>
    <row r="377" customFormat="1" ht="12.75" customHeight="1" x14ac:dyDescent="0.25"/>
    <row r="378" customFormat="1" ht="12.75" customHeight="1" x14ac:dyDescent="0.25"/>
    <row r="379" customFormat="1" ht="12.75" customHeight="1" x14ac:dyDescent="0.25"/>
    <row r="380" customFormat="1" ht="12.75" customHeight="1" x14ac:dyDescent="0.25"/>
    <row r="381" customFormat="1" ht="12.75" customHeight="1" x14ac:dyDescent="0.25"/>
    <row r="382" customFormat="1" ht="12.75" customHeight="1" x14ac:dyDescent="0.25"/>
    <row r="383" customFormat="1" ht="12.75" customHeight="1" x14ac:dyDescent="0.25"/>
    <row r="384" customFormat="1" ht="12.75" customHeight="1" x14ac:dyDescent="0.25"/>
    <row r="385" customFormat="1" ht="12.75" customHeight="1" x14ac:dyDescent="0.25"/>
    <row r="386" customFormat="1" ht="12.75" customHeight="1" x14ac:dyDescent="0.25"/>
    <row r="387" customFormat="1" ht="12.75" customHeight="1" x14ac:dyDescent="0.25"/>
    <row r="388" customFormat="1" ht="12.75" customHeight="1" x14ac:dyDescent="0.25"/>
    <row r="389" customFormat="1" ht="12.75" customHeight="1" x14ac:dyDescent="0.25"/>
    <row r="390" customFormat="1" ht="12.75" customHeight="1" x14ac:dyDescent="0.25"/>
    <row r="391" customFormat="1" ht="12.75" customHeight="1" x14ac:dyDescent="0.25"/>
    <row r="392" customFormat="1" ht="12.75" customHeight="1" x14ac:dyDescent="0.25"/>
    <row r="393" customFormat="1" ht="12.75" customHeight="1" x14ac:dyDescent="0.25"/>
    <row r="394" customFormat="1" ht="12.75" customHeight="1" x14ac:dyDescent="0.25"/>
    <row r="395" customFormat="1" ht="12.75" customHeight="1" x14ac:dyDescent="0.25"/>
    <row r="396" customFormat="1" ht="12.75" customHeight="1" x14ac:dyDescent="0.25"/>
    <row r="397" customFormat="1" ht="12.75" customHeight="1" x14ac:dyDescent="0.25"/>
    <row r="398" customFormat="1" ht="12.75" customHeight="1" x14ac:dyDescent="0.25"/>
    <row r="399" customFormat="1" ht="12.75" customHeight="1" x14ac:dyDescent="0.25"/>
    <row r="400" customFormat="1" ht="12.75" customHeight="1" x14ac:dyDescent="0.25"/>
    <row r="401" customFormat="1" ht="12.75" customHeight="1" x14ac:dyDescent="0.25"/>
    <row r="402" customFormat="1" ht="12.75" customHeight="1" x14ac:dyDescent="0.25"/>
    <row r="403" customFormat="1" ht="12.75" customHeight="1" x14ac:dyDescent="0.25"/>
    <row r="404" customFormat="1" ht="12.75" customHeight="1" x14ac:dyDescent="0.25"/>
    <row r="405" customFormat="1" ht="12.75" customHeight="1" x14ac:dyDescent="0.25"/>
    <row r="406" customFormat="1" ht="12.75" customHeight="1" x14ac:dyDescent="0.25"/>
    <row r="407" customFormat="1" ht="12.75" customHeight="1" x14ac:dyDescent="0.25"/>
    <row r="408" customFormat="1" ht="12.75" customHeight="1" x14ac:dyDescent="0.25"/>
    <row r="409" customFormat="1" ht="12.75" customHeight="1" x14ac:dyDescent="0.25"/>
    <row r="410" customFormat="1" ht="12.75" customHeight="1" x14ac:dyDescent="0.25"/>
    <row r="411" customFormat="1" ht="12.75" customHeight="1" x14ac:dyDescent="0.25"/>
    <row r="412" customFormat="1" ht="12.75" customHeight="1" x14ac:dyDescent="0.25"/>
    <row r="413" customFormat="1" ht="12.75" customHeight="1" x14ac:dyDescent="0.25"/>
    <row r="414" customFormat="1" ht="12.75" customHeight="1" x14ac:dyDescent="0.25"/>
    <row r="415" customFormat="1" ht="12.75" customHeight="1" x14ac:dyDescent="0.25"/>
    <row r="416" customFormat="1" ht="12.75" customHeight="1" x14ac:dyDescent="0.25"/>
    <row r="417" customFormat="1" ht="12.75" customHeight="1" x14ac:dyDescent="0.25"/>
    <row r="418" customFormat="1" ht="12.75" customHeight="1" x14ac:dyDescent="0.25"/>
    <row r="419" customFormat="1" ht="12.75" customHeight="1" x14ac:dyDescent="0.25"/>
    <row r="420" customFormat="1" ht="12.75" customHeight="1" x14ac:dyDescent="0.25"/>
    <row r="421" customFormat="1" ht="12.75" customHeight="1" x14ac:dyDescent="0.25"/>
    <row r="422" customFormat="1" ht="12.75" customHeight="1" x14ac:dyDescent="0.25"/>
    <row r="423" customFormat="1" ht="12.75" customHeight="1" x14ac:dyDescent="0.25"/>
    <row r="424" customFormat="1" ht="12.75" customHeight="1" x14ac:dyDescent="0.25"/>
    <row r="425" customFormat="1" ht="12.75" customHeight="1" x14ac:dyDescent="0.25"/>
    <row r="426" customFormat="1" ht="12.75" customHeight="1" x14ac:dyDescent="0.25"/>
    <row r="427" customFormat="1" ht="12.75" customHeight="1" x14ac:dyDescent="0.25"/>
    <row r="428" customFormat="1" ht="12.75" customHeight="1" x14ac:dyDescent="0.25"/>
    <row r="429" customFormat="1" ht="12.75" customHeight="1" x14ac:dyDescent="0.25"/>
    <row r="430" customFormat="1" ht="12.75" customHeight="1" x14ac:dyDescent="0.25"/>
    <row r="431" customFormat="1" ht="12.75" customHeight="1" x14ac:dyDescent="0.25"/>
    <row r="432" customFormat="1" ht="12.75" customHeight="1" x14ac:dyDescent="0.25"/>
    <row r="433" customFormat="1" ht="12.75" customHeight="1" x14ac:dyDescent="0.25"/>
    <row r="434" customFormat="1" ht="12.75" customHeight="1" x14ac:dyDescent="0.25"/>
    <row r="435" customFormat="1" ht="12.75" customHeight="1" x14ac:dyDescent="0.25"/>
    <row r="436" customFormat="1" ht="12.75" customHeight="1" x14ac:dyDescent="0.25"/>
    <row r="437" customFormat="1" ht="12.75" customHeight="1" x14ac:dyDescent="0.25"/>
    <row r="438" customFormat="1" ht="12.75" customHeight="1" x14ac:dyDescent="0.25"/>
    <row r="439" customFormat="1" ht="12.75" customHeight="1" x14ac:dyDescent="0.25"/>
    <row r="440" customFormat="1" ht="12.75" customHeight="1" x14ac:dyDescent="0.25"/>
    <row r="441" customFormat="1" ht="12.75" customHeight="1" x14ac:dyDescent="0.25"/>
    <row r="442" customFormat="1" ht="12.75" customHeight="1" x14ac:dyDescent="0.25"/>
    <row r="443" customFormat="1" ht="12.75" customHeight="1" x14ac:dyDescent="0.25"/>
    <row r="444" customFormat="1" ht="12.75" customHeight="1" x14ac:dyDescent="0.25"/>
    <row r="445" customFormat="1" ht="12.75" customHeight="1" x14ac:dyDescent="0.25"/>
    <row r="446" customFormat="1" ht="12.75" customHeight="1" x14ac:dyDescent="0.25"/>
    <row r="447" customFormat="1" ht="12.75" customHeight="1" x14ac:dyDescent="0.25"/>
    <row r="448" customFormat="1" ht="12.75" customHeight="1" x14ac:dyDescent="0.25"/>
    <row r="449" customFormat="1" ht="12.75" customHeight="1" x14ac:dyDescent="0.25"/>
    <row r="450" customFormat="1" ht="12.75" customHeight="1" x14ac:dyDescent="0.25"/>
    <row r="451" customFormat="1" ht="12.75" customHeight="1" x14ac:dyDescent="0.25"/>
    <row r="452" customFormat="1" ht="12.75" customHeight="1" x14ac:dyDescent="0.25"/>
    <row r="453" customFormat="1" ht="12.75" customHeight="1" x14ac:dyDescent="0.25"/>
    <row r="454" customFormat="1" ht="12.75" customHeight="1" x14ac:dyDescent="0.25"/>
    <row r="455" customFormat="1" ht="12.75" customHeight="1" x14ac:dyDescent="0.25"/>
    <row r="456" customFormat="1" ht="12.75" customHeight="1" x14ac:dyDescent="0.25"/>
    <row r="457" customFormat="1" ht="12.75" customHeight="1" x14ac:dyDescent="0.25"/>
    <row r="458" customFormat="1" ht="12.75" customHeight="1" x14ac:dyDescent="0.25"/>
    <row r="459" customFormat="1" ht="12.75" customHeight="1" x14ac:dyDescent="0.25"/>
    <row r="460" customFormat="1" ht="12.75" customHeight="1" x14ac:dyDescent="0.25"/>
    <row r="461" customFormat="1" ht="12.75" customHeight="1" x14ac:dyDescent="0.25"/>
    <row r="462" customFormat="1" ht="12.75" customHeight="1" x14ac:dyDescent="0.25"/>
    <row r="463" customFormat="1" ht="12.75" customHeight="1" x14ac:dyDescent="0.25"/>
    <row r="464" customFormat="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  <rowBreaks count="3" manualBreakCount="3">
    <brk id="42" max="7" man="1"/>
    <brk id="75" max="7" man="1"/>
    <brk id="12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EF5E-75C8-436E-8951-AE46D09DBC73}">
  <dimension ref="A1:G176"/>
  <sheetViews>
    <sheetView zoomScale="140" zoomScaleNormal="140" workbookViewId="0"/>
  </sheetViews>
  <sheetFormatPr defaultColWidth="4" defaultRowHeight="12.75" x14ac:dyDescent="0.2"/>
  <cols>
    <col min="1" max="1" width="4" style="303"/>
    <col min="2" max="2" width="5.7109375" style="303" customWidth="1"/>
    <col min="3" max="3" width="8.42578125" style="303" customWidth="1"/>
    <col min="4" max="4" width="49.140625" style="303" customWidth="1"/>
    <col min="5" max="5" width="21.42578125" style="303" customWidth="1"/>
    <col min="6" max="6" width="9.140625" style="105" customWidth="1"/>
    <col min="7" max="7" width="12.28515625" style="106" customWidth="1"/>
    <col min="8" max="255" width="9.140625" style="303" customWidth="1"/>
    <col min="256" max="257" width="4" style="303"/>
    <col min="258" max="258" width="5.7109375" style="303" customWidth="1"/>
    <col min="259" max="259" width="8.42578125" style="303" customWidth="1"/>
    <col min="260" max="260" width="49.140625" style="303" customWidth="1"/>
    <col min="261" max="261" width="21.42578125" style="303" customWidth="1"/>
    <col min="262" max="262" width="9.140625" style="303" customWidth="1"/>
    <col min="263" max="263" width="12.28515625" style="303" customWidth="1"/>
    <col min="264" max="511" width="9.140625" style="303" customWidth="1"/>
    <col min="512" max="513" width="4" style="303"/>
    <col min="514" max="514" width="5.7109375" style="303" customWidth="1"/>
    <col min="515" max="515" width="8.42578125" style="303" customWidth="1"/>
    <col min="516" max="516" width="49.140625" style="303" customWidth="1"/>
    <col min="517" max="517" width="21.42578125" style="303" customWidth="1"/>
    <col min="518" max="518" width="9.140625" style="303" customWidth="1"/>
    <col min="519" max="519" width="12.28515625" style="303" customWidth="1"/>
    <col min="520" max="767" width="9.140625" style="303" customWidth="1"/>
    <col min="768" max="769" width="4" style="303"/>
    <col min="770" max="770" width="5.7109375" style="303" customWidth="1"/>
    <col min="771" max="771" width="8.42578125" style="303" customWidth="1"/>
    <col min="772" max="772" width="49.140625" style="303" customWidth="1"/>
    <col min="773" max="773" width="21.42578125" style="303" customWidth="1"/>
    <col min="774" max="774" width="9.140625" style="303" customWidth="1"/>
    <col min="775" max="775" width="12.28515625" style="303" customWidth="1"/>
    <col min="776" max="1023" width="9.140625" style="303" customWidth="1"/>
    <col min="1024" max="1025" width="4" style="303"/>
    <col min="1026" max="1026" width="5.7109375" style="303" customWidth="1"/>
    <col min="1027" max="1027" width="8.42578125" style="303" customWidth="1"/>
    <col min="1028" max="1028" width="49.140625" style="303" customWidth="1"/>
    <col min="1029" max="1029" width="21.42578125" style="303" customWidth="1"/>
    <col min="1030" max="1030" width="9.140625" style="303" customWidth="1"/>
    <col min="1031" max="1031" width="12.28515625" style="303" customWidth="1"/>
    <col min="1032" max="1279" width="9.140625" style="303" customWidth="1"/>
    <col min="1280" max="1281" width="4" style="303"/>
    <col min="1282" max="1282" width="5.7109375" style="303" customWidth="1"/>
    <col min="1283" max="1283" width="8.42578125" style="303" customWidth="1"/>
    <col min="1284" max="1284" width="49.140625" style="303" customWidth="1"/>
    <col min="1285" max="1285" width="21.42578125" style="303" customWidth="1"/>
    <col min="1286" max="1286" width="9.140625" style="303" customWidth="1"/>
    <col min="1287" max="1287" width="12.28515625" style="303" customWidth="1"/>
    <col min="1288" max="1535" width="9.140625" style="303" customWidth="1"/>
    <col min="1536" max="1537" width="4" style="303"/>
    <col min="1538" max="1538" width="5.7109375" style="303" customWidth="1"/>
    <col min="1539" max="1539" width="8.42578125" style="303" customWidth="1"/>
    <col min="1540" max="1540" width="49.140625" style="303" customWidth="1"/>
    <col min="1541" max="1541" width="21.42578125" style="303" customWidth="1"/>
    <col min="1542" max="1542" width="9.140625" style="303" customWidth="1"/>
    <col min="1543" max="1543" width="12.28515625" style="303" customWidth="1"/>
    <col min="1544" max="1791" width="9.140625" style="303" customWidth="1"/>
    <col min="1792" max="1793" width="4" style="303"/>
    <col min="1794" max="1794" width="5.7109375" style="303" customWidth="1"/>
    <col min="1795" max="1795" width="8.42578125" style="303" customWidth="1"/>
    <col min="1796" max="1796" width="49.140625" style="303" customWidth="1"/>
    <col min="1797" max="1797" width="21.42578125" style="303" customWidth="1"/>
    <col min="1798" max="1798" width="9.140625" style="303" customWidth="1"/>
    <col min="1799" max="1799" width="12.28515625" style="303" customWidth="1"/>
    <col min="1800" max="2047" width="9.140625" style="303" customWidth="1"/>
    <col min="2048" max="2049" width="4" style="303"/>
    <col min="2050" max="2050" width="5.7109375" style="303" customWidth="1"/>
    <col min="2051" max="2051" width="8.42578125" style="303" customWidth="1"/>
    <col min="2052" max="2052" width="49.140625" style="303" customWidth="1"/>
    <col min="2053" max="2053" width="21.42578125" style="303" customWidth="1"/>
    <col min="2054" max="2054" width="9.140625" style="303" customWidth="1"/>
    <col min="2055" max="2055" width="12.28515625" style="303" customWidth="1"/>
    <col min="2056" max="2303" width="9.140625" style="303" customWidth="1"/>
    <col min="2304" max="2305" width="4" style="303"/>
    <col min="2306" max="2306" width="5.7109375" style="303" customWidth="1"/>
    <col min="2307" max="2307" width="8.42578125" style="303" customWidth="1"/>
    <col min="2308" max="2308" width="49.140625" style="303" customWidth="1"/>
    <col min="2309" max="2309" width="21.42578125" style="303" customWidth="1"/>
    <col min="2310" max="2310" width="9.140625" style="303" customWidth="1"/>
    <col min="2311" max="2311" width="12.28515625" style="303" customWidth="1"/>
    <col min="2312" max="2559" width="9.140625" style="303" customWidth="1"/>
    <col min="2560" max="2561" width="4" style="303"/>
    <col min="2562" max="2562" width="5.7109375" style="303" customWidth="1"/>
    <col min="2563" max="2563" width="8.42578125" style="303" customWidth="1"/>
    <col min="2564" max="2564" width="49.140625" style="303" customWidth="1"/>
    <col min="2565" max="2565" width="21.42578125" style="303" customWidth="1"/>
    <col min="2566" max="2566" width="9.140625" style="303" customWidth="1"/>
    <col min="2567" max="2567" width="12.28515625" style="303" customWidth="1"/>
    <col min="2568" max="2815" width="9.140625" style="303" customWidth="1"/>
    <col min="2816" max="2817" width="4" style="303"/>
    <col min="2818" max="2818" width="5.7109375" style="303" customWidth="1"/>
    <col min="2819" max="2819" width="8.42578125" style="303" customWidth="1"/>
    <col min="2820" max="2820" width="49.140625" style="303" customWidth="1"/>
    <col min="2821" max="2821" width="21.42578125" style="303" customWidth="1"/>
    <col min="2822" max="2822" width="9.140625" style="303" customWidth="1"/>
    <col min="2823" max="2823" width="12.28515625" style="303" customWidth="1"/>
    <col min="2824" max="3071" width="9.140625" style="303" customWidth="1"/>
    <col min="3072" max="3073" width="4" style="303"/>
    <col min="3074" max="3074" width="5.7109375" style="303" customWidth="1"/>
    <col min="3075" max="3075" width="8.42578125" style="303" customWidth="1"/>
    <col min="3076" max="3076" width="49.140625" style="303" customWidth="1"/>
    <col min="3077" max="3077" width="21.42578125" style="303" customWidth="1"/>
    <col min="3078" max="3078" width="9.140625" style="303" customWidth="1"/>
    <col min="3079" max="3079" width="12.28515625" style="303" customWidth="1"/>
    <col min="3080" max="3327" width="9.140625" style="303" customWidth="1"/>
    <col min="3328" max="3329" width="4" style="303"/>
    <col min="3330" max="3330" width="5.7109375" style="303" customWidth="1"/>
    <col min="3331" max="3331" width="8.42578125" style="303" customWidth="1"/>
    <col min="3332" max="3332" width="49.140625" style="303" customWidth="1"/>
    <col min="3333" max="3333" width="21.42578125" style="303" customWidth="1"/>
    <col min="3334" max="3334" width="9.140625" style="303" customWidth="1"/>
    <col min="3335" max="3335" width="12.28515625" style="303" customWidth="1"/>
    <col min="3336" max="3583" width="9.140625" style="303" customWidth="1"/>
    <col min="3584" max="3585" width="4" style="303"/>
    <col min="3586" max="3586" width="5.7109375" style="303" customWidth="1"/>
    <col min="3587" max="3587" width="8.42578125" style="303" customWidth="1"/>
    <col min="3588" max="3588" width="49.140625" style="303" customWidth="1"/>
    <col min="3589" max="3589" width="21.42578125" style="303" customWidth="1"/>
    <col min="3590" max="3590" width="9.140625" style="303" customWidth="1"/>
    <col min="3591" max="3591" width="12.28515625" style="303" customWidth="1"/>
    <col min="3592" max="3839" width="9.140625" style="303" customWidth="1"/>
    <col min="3840" max="3841" width="4" style="303"/>
    <col min="3842" max="3842" width="5.7109375" style="303" customWidth="1"/>
    <col min="3843" max="3843" width="8.42578125" style="303" customWidth="1"/>
    <col min="3844" max="3844" width="49.140625" style="303" customWidth="1"/>
    <col min="3845" max="3845" width="21.42578125" style="303" customWidth="1"/>
    <col min="3846" max="3846" width="9.140625" style="303" customWidth="1"/>
    <col min="3847" max="3847" width="12.28515625" style="303" customWidth="1"/>
    <col min="3848" max="4095" width="9.140625" style="303" customWidth="1"/>
    <col min="4096" max="4097" width="4" style="303"/>
    <col min="4098" max="4098" width="5.7109375" style="303" customWidth="1"/>
    <col min="4099" max="4099" width="8.42578125" style="303" customWidth="1"/>
    <col min="4100" max="4100" width="49.140625" style="303" customWidth="1"/>
    <col min="4101" max="4101" width="21.42578125" style="303" customWidth="1"/>
    <col min="4102" max="4102" width="9.140625" style="303" customWidth="1"/>
    <col min="4103" max="4103" width="12.28515625" style="303" customWidth="1"/>
    <col min="4104" max="4351" width="9.140625" style="303" customWidth="1"/>
    <col min="4352" max="4353" width="4" style="303"/>
    <col min="4354" max="4354" width="5.7109375" style="303" customWidth="1"/>
    <col min="4355" max="4355" width="8.42578125" style="303" customWidth="1"/>
    <col min="4356" max="4356" width="49.140625" style="303" customWidth="1"/>
    <col min="4357" max="4357" width="21.42578125" style="303" customWidth="1"/>
    <col min="4358" max="4358" width="9.140625" style="303" customWidth="1"/>
    <col min="4359" max="4359" width="12.28515625" style="303" customWidth="1"/>
    <col min="4360" max="4607" width="9.140625" style="303" customWidth="1"/>
    <col min="4608" max="4609" width="4" style="303"/>
    <col min="4610" max="4610" width="5.7109375" style="303" customWidth="1"/>
    <col min="4611" max="4611" width="8.42578125" style="303" customWidth="1"/>
    <col min="4612" max="4612" width="49.140625" style="303" customWidth="1"/>
    <col min="4613" max="4613" width="21.42578125" style="303" customWidth="1"/>
    <col min="4614" max="4614" width="9.140625" style="303" customWidth="1"/>
    <col min="4615" max="4615" width="12.28515625" style="303" customWidth="1"/>
    <col min="4616" max="4863" width="9.140625" style="303" customWidth="1"/>
    <col min="4864" max="4865" width="4" style="303"/>
    <col min="4866" max="4866" width="5.7109375" style="303" customWidth="1"/>
    <col min="4867" max="4867" width="8.42578125" style="303" customWidth="1"/>
    <col min="4868" max="4868" width="49.140625" style="303" customWidth="1"/>
    <col min="4869" max="4869" width="21.42578125" style="303" customWidth="1"/>
    <col min="4870" max="4870" width="9.140625" style="303" customWidth="1"/>
    <col min="4871" max="4871" width="12.28515625" style="303" customWidth="1"/>
    <col min="4872" max="5119" width="9.140625" style="303" customWidth="1"/>
    <col min="5120" max="5121" width="4" style="303"/>
    <col min="5122" max="5122" width="5.7109375" style="303" customWidth="1"/>
    <col min="5123" max="5123" width="8.42578125" style="303" customWidth="1"/>
    <col min="5124" max="5124" width="49.140625" style="303" customWidth="1"/>
    <col min="5125" max="5125" width="21.42578125" style="303" customWidth="1"/>
    <col min="5126" max="5126" width="9.140625" style="303" customWidth="1"/>
    <col min="5127" max="5127" width="12.28515625" style="303" customWidth="1"/>
    <col min="5128" max="5375" width="9.140625" style="303" customWidth="1"/>
    <col min="5376" max="5377" width="4" style="303"/>
    <col min="5378" max="5378" width="5.7109375" style="303" customWidth="1"/>
    <col min="5379" max="5379" width="8.42578125" style="303" customWidth="1"/>
    <col min="5380" max="5380" width="49.140625" style="303" customWidth="1"/>
    <col min="5381" max="5381" width="21.42578125" style="303" customWidth="1"/>
    <col min="5382" max="5382" width="9.140625" style="303" customWidth="1"/>
    <col min="5383" max="5383" width="12.28515625" style="303" customWidth="1"/>
    <col min="5384" max="5631" width="9.140625" style="303" customWidth="1"/>
    <col min="5632" max="5633" width="4" style="303"/>
    <col min="5634" max="5634" width="5.7109375" style="303" customWidth="1"/>
    <col min="5635" max="5635" width="8.42578125" style="303" customWidth="1"/>
    <col min="5636" max="5636" width="49.140625" style="303" customWidth="1"/>
    <col min="5637" max="5637" width="21.42578125" style="303" customWidth="1"/>
    <col min="5638" max="5638" width="9.140625" style="303" customWidth="1"/>
    <col min="5639" max="5639" width="12.28515625" style="303" customWidth="1"/>
    <col min="5640" max="5887" width="9.140625" style="303" customWidth="1"/>
    <col min="5888" max="5889" width="4" style="303"/>
    <col min="5890" max="5890" width="5.7109375" style="303" customWidth="1"/>
    <col min="5891" max="5891" width="8.42578125" style="303" customWidth="1"/>
    <col min="5892" max="5892" width="49.140625" style="303" customWidth="1"/>
    <col min="5893" max="5893" width="21.42578125" style="303" customWidth="1"/>
    <col min="5894" max="5894" width="9.140625" style="303" customWidth="1"/>
    <col min="5895" max="5895" width="12.28515625" style="303" customWidth="1"/>
    <col min="5896" max="6143" width="9.140625" style="303" customWidth="1"/>
    <col min="6144" max="6145" width="4" style="303"/>
    <col min="6146" max="6146" width="5.7109375" style="303" customWidth="1"/>
    <col min="6147" max="6147" width="8.42578125" style="303" customWidth="1"/>
    <col min="6148" max="6148" width="49.140625" style="303" customWidth="1"/>
    <col min="6149" max="6149" width="21.42578125" style="303" customWidth="1"/>
    <col min="6150" max="6150" width="9.140625" style="303" customWidth="1"/>
    <col min="6151" max="6151" width="12.28515625" style="303" customWidth="1"/>
    <col min="6152" max="6399" width="9.140625" style="303" customWidth="1"/>
    <col min="6400" max="6401" width="4" style="303"/>
    <col min="6402" max="6402" width="5.7109375" style="303" customWidth="1"/>
    <col min="6403" max="6403" width="8.42578125" style="303" customWidth="1"/>
    <col min="6404" max="6404" width="49.140625" style="303" customWidth="1"/>
    <col min="6405" max="6405" width="21.42578125" style="303" customWidth="1"/>
    <col min="6406" max="6406" width="9.140625" style="303" customWidth="1"/>
    <col min="6407" max="6407" width="12.28515625" style="303" customWidth="1"/>
    <col min="6408" max="6655" width="9.140625" style="303" customWidth="1"/>
    <col min="6656" max="6657" width="4" style="303"/>
    <col min="6658" max="6658" width="5.7109375" style="303" customWidth="1"/>
    <col min="6659" max="6659" width="8.42578125" style="303" customWidth="1"/>
    <col min="6660" max="6660" width="49.140625" style="303" customWidth="1"/>
    <col min="6661" max="6661" width="21.42578125" style="303" customWidth="1"/>
    <col min="6662" max="6662" width="9.140625" style="303" customWidth="1"/>
    <col min="6663" max="6663" width="12.28515625" style="303" customWidth="1"/>
    <col min="6664" max="6911" width="9.140625" style="303" customWidth="1"/>
    <col min="6912" max="6913" width="4" style="303"/>
    <col min="6914" max="6914" width="5.7109375" style="303" customWidth="1"/>
    <col min="6915" max="6915" width="8.42578125" style="303" customWidth="1"/>
    <col min="6916" max="6916" width="49.140625" style="303" customWidth="1"/>
    <col min="6917" max="6917" width="21.42578125" style="303" customWidth="1"/>
    <col min="6918" max="6918" width="9.140625" style="303" customWidth="1"/>
    <col min="6919" max="6919" width="12.28515625" style="303" customWidth="1"/>
    <col min="6920" max="7167" width="9.140625" style="303" customWidth="1"/>
    <col min="7168" max="7169" width="4" style="303"/>
    <col min="7170" max="7170" width="5.7109375" style="303" customWidth="1"/>
    <col min="7171" max="7171" width="8.42578125" style="303" customWidth="1"/>
    <col min="7172" max="7172" width="49.140625" style="303" customWidth="1"/>
    <col min="7173" max="7173" width="21.42578125" style="303" customWidth="1"/>
    <col min="7174" max="7174" width="9.140625" style="303" customWidth="1"/>
    <col min="7175" max="7175" width="12.28515625" style="303" customWidth="1"/>
    <col min="7176" max="7423" width="9.140625" style="303" customWidth="1"/>
    <col min="7424" max="7425" width="4" style="303"/>
    <col min="7426" max="7426" width="5.7109375" style="303" customWidth="1"/>
    <col min="7427" max="7427" width="8.42578125" style="303" customWidth="1"/>
    <col min="7428" max="7428" width="49.140625" style="303" customWidth="1"/>
    <col min="7429" max="7429" width="21.42578125" style="303" customWidth="1"/>
    <col min="7430" max="7430" width="9.140625" style="303" customWidth="1"/>
    <col min="7431" max="7431" width="12.28515625" style="303" customWidth="1"/>
    <col min="7432" max="7679" width="9.140625" style="303" customWidth="1"/>
    <col min="7680" max="7681" width="4" style="303"/>
    <col min="7682" max="7682" width="5.7109375" style="303" customWidth="1"/>
    <col min="7683" max="7683" width="8.42578125" style="303" customWidth="1"/>
    <col min="7684" max="7684" width="49.140625" style="303" customWidth="1"/>
    <col min="7685" max="7685" width="21.42578125" style="303" customWidth="1"/>
    <col min="7686" max="7686" width="9.140625" style="303" customWidth="1"/>
    <col min="7687" max="7687" width="12.28515625" style="303" customWidth="1"/>
    <col min="7688" max="7935" width="9.140625" style="303" customWidth="1"/>
    <col min="7936" max="7937" width="4" style="303"/>
    <col min="7938" max="7938" width="5.7109375" style="303" customWidth="1"/>
    <col min="7939" max="7939" width="8.42578125" style="303" customWidth="1"/>
    <col min="7940" max="7940" width="49.140625" style="303" customWidth="1"/>
    <col min="7941" max="7941" width="21.42578125" style="303" customWidth="1"/>
    <col min="7942" max="7942" width="9.140625" style="303" customWidth="1"/>
    <col min="7943" max="7943" width="12.28515625" style="303" customWidth="1"/>
    <col min="7944" max="8191" width="9.140625" style="303" customWidth="1"/>
    <col min="8192" max="8193" width="4" style="303"/>
    <col min="8194" max="8194" width="5.7109375" style="303" customWidth="1"/>
    <col min="8195" max="8195" width="8.42578125" style="303" customWidth="1"/>
    <col min="8196" max="8196" width="49.140625" style="303" customWidth="1"/>
    <col min="8197" max="8197" width="21.42578125" style="303" customWidth="1"/>
    <col min="8198" max="8198" width="9.140625" style="303" customWidth="1"/>
    <col min="8199" max="8199" width="12.28515625" style="303" customWidth="1"/>
    <col min="8200" max="8447" width="9.140625" style="303" customWidth="1"/>
    <col min="8448" max="8449" width="4" style="303"/>
    <col min="8450" max="8450" width="5.7109375" style="303" customWidth="1"/>
    <col min="8451" max="8451" width="8.42578125" style="303" customWidth="1"/>
    <col min="8452" max="8452" width="49.140625" style="303" customWidth="1"/>
    <col min="8453" max="8453" width="21.42578125" style="303" customWidth="1"/>
    <col min="8454" max="8454" width="9.140625" style="303" customWidth="1"/>
    <col min="8455" max="8455" width="12.28515625" style="303" customWidth="1"/>
    <col min="8456" max="8703" width="9.140625" style="303" customWidth="1"/>
    <col min="8704" max="8705" width="4" style="303"/>
    <col min="8706" max="8706" width="5.7109375" style="303" customWidth="1"/>
    <col min="8707" max="8707" width="8.42578125" style="303" customWidth="1"/>
    <col min="8708" max="8708" width="49.140625" style="303" customWidth="1"/>
    <col min="8709" max="8709" width="21.42578125" style="303" customWidth="1"/>
    <col min="8710" max="8710" width="9.140625" style="303" customWidth="1"/>
    <col min="8711" max="8711" width="12.28515625" style="303" customWidth="1"/>
    <col min="8712" max="8959" width="9.140625" style="303" customWidth="1"/>
    <col min="8960" max="8961" width="4" style="303"/>
    <col min="8962" max="8962" width="5.7109375" style="303" customWidth="1"/>
    <col min="8963" max="8963" width="8.42578125" style="303" customWidth="1"/>
    <col min="8964" max="8964" width="49.140625" style="303" customWidth="1"/>
    <col min="8965" max="8965" width="21.42578125" style="303" customWidth="1"/>
    <col min="8966" max="8966" width="9.140625" style="303" customWidth="1"/>
    <col min="8967" max="8967" width="12.28515625" style="303" customWidth="1"/>
    <col min="8968" max="9215" width="9.140625" style="303" customWidth="1"/>
    <col min="9216" max="9217" width="4" style="303"/>
    <col min="9218" max="9218" width="5.7109375" style="303" customWidth="1"/>
    <col min="9219" max="9219" width="8.42578125" style="303" customWidth="1"/>
    <col min="9220" max="9220" width="49.140625" style="303" customWidth="1"/>
    <col min="9221" max="9221" width="21.42578125" style="303" customWidth="1"/>
    <col min="9222" max="9222" width="9.140625" style="303" customWidth="1"/>
    <col min="9223" max="9223" width="12.28515625" style="303" customWidth="1"/>
    <col min="9224" max="9471" width="9.140625" style="303" customWidth="1"/>
    <col min="9472" max="9473" width="4" style="303"/>
    <col min="9474" max="9474" width="5.7109375" style="303" customWidth="1"/>
    <col min="9475" max="9475" width="8.42578125" style="303" customWidth="1"/>
    <col min="9476" max="9476" width="49.140625" style="303" customWidth="1"/>
    <col min="9477" max="9477" width="21.42578125" style="303" customWidth="1"/>
    <col min="9478" max="9478" width="9.140625" style="303" customWidth="1"/>
    <col min="9479" max="9479" width="12.28515625" style="303" customWidth="1"/>
    <col min="9480" max="9727" width="9.140625" style="303" customWidth="1"/>
    <col min="9728" max="9729" width="4" style="303"/>
    <col min="9730" max="9730" width="5.7109375" style="303" customWidth="1"/>
    <col min="9731" max="9731" width="8.42578125" style="303" customWidth="1"/>
    <col min="9732" max="9732" width="49.140625" style="303" customWidth="1"/>
    <col min="9733" max="9733" width="21.42578125" style="303" customWidth="1"/>
    <col min="9734" max="9734" width="9.140625" style="303" customWidth="1"/>
    <col min="9735" max="9735" width="12.28515625" style="303" customWidth="1"/>
    <col min="9736" max="9983" width="9.140625" style="303" customWidth="1"/>
    <col min="9984" max="9985" width="4" style="303"/>
    <col min="9986" max="9986" width="5.7109375" style="303" customWidth="1"/>
    <col min="9987" max="9987" width="8.42578125" style="303" customWidth="1"/>
    <col min="9988" max="9988" width="49.140625" style="303" customWidth="1"/>
    <col min="9989" max="9989" width="21.42578125" style="303" customWidth="1"/>
    <col min="9990" max="9990" width="9.140625" style="303" customWidth="1"/>
    <col min="9991" max="9991" width="12.28515625" style="303" customWidth="1"/>
    <col min="9992" max="10239" width="9.140625" style="303" customWidth="1"/>
    <col min="10240" max="10241" width="4" style="303"/>
    <col min="10242" max="10242" width="5.7109375" style="303" customWidth="1"/>
    <col min="10243" max="10243" width="8.42578125" style="303" customWidth="1"/>
    <col min="10244" max="10244" width="49.140625" style="303" customWidth="1"/>
    <col min="10245" max="10245" width="21.42578125" style="303" customWidth="1"/>
    <col min="10246" max="10246" width="9.140625" style="303" customWidth="1"/>
    <col min="10247" max="10247" width="12.28515625" style="303" customWidth="1"/>
    <col min="10248" max="10495" width="9.140625" style="303" customWidth="1"/>
    <col min="10496" max="10497" width="4" style="303"/>
    <col min="10498" max="10498" width="5.7109375" style="303" customWidth="1"/>
    <col min="10499" max="10499" width="8.42578125" style="303" customWidth="1"/>
    <col min="10500" max="10500" width="49.140625" style="303" customWidth="1"/>
    <col min="10501" max="10501" width="21.42578125" style="303" customWidth="1"/>
    <col min="10502" max="10502" width="9.140625" style="303" customWidth="1"/>
    <col min="10503" max="10503" width="12.28515625" style="303" customWidth="1"/>
    <col min="10504" max="10751" width="9.140625" style="303" customWidth="1"/>
    <col min="10752" max="10753" width="4" style="303"/>
    <col min="10754" max="10754" width="5.7109375" style="303" customWidth="1"/>
    <col min="10755" max="10755" width="8.42578125" style="303" customWidth="1"/>
    <col min="10756" max="10756" width="49.140625" style="303" customWidth="1"/>
    <col min="10757" max="10757" width="21.42578125" style="303" customWidth="1"/>
    <col min="10758" max="10758" width="9.140625" style="303" customWidth="1"/>
    <col min="10759" max="10759" width="12.28515625" style="303" customWidth="1"/>
    <col min="10760" max="11007" width="9.140625" style="303" customWidth="1"/>
    <col min="11008" max="11009" width="4" style="303"/>
    <col min="11010" max="11010" width="5.7109375" style="303" customWidth="1"/>
    <col min="11011" max="11011" width="8.42578125" style="303" customWidth="1"/>
    <col min="11012" max="11012" width="49.140625" style="303" customWidth="1"/>
    <col min="11013" max="11013" width="21.42578125" style="303" customWidth="1"/>
    <col min="11014" max="11014" width="9.140625" style="303" customWidth="1"/>
    <col min="11015" max="11015" width="12.28515625" style="303" customWidth="1"/>
    <col min="11016" max="11263" width="9.140625" style="303" customWidth="1"/>
    <col min="11264" max="11265" width="4" style="303"/>
    <col min="11266" max="11266" width="5.7109375" style="303" customWidth="1"/>
    <col min="11267" max="11267" width="8.42578125" style="303" customWidth="1"/>
    <col min="11268" max="11268" width="49.140625" style="303" customWidth="1"/>
    <col min="11269" max="11269" width="21.42578125" style="303" customWidth="1"/>
    <col min="11270" max="11270" width="9.140625" style="303" customWidth="1"/>
    <col min="11271" max="11271" width="12.28515625" style="303" customWidth="1"/>
    <col min="11272" max="11519" width="9.140625" style="303" customWidth="1"/>
    <col min="11520" max="11521" width="4" style="303"/>
    <col min="11522" max="11522" width="5.7109375" style="303" customWidth="1"/>
    <col min="11523" max="11523" width="8.42578125" style="303" customWidth="1"/>
    <col min="11524" max="11524" width="49.140625" style="303" customWidth="1"/>
    <col min="11525" max="11525" width="21.42578125" style="303" customWidth="1"/>
    <col min="11526" max="11526" width="9.140625" style="303" customWidth="1"/>
    <col min="11527" max="11527" width="12.28515625" style="303" customWidth="1"/>
    <col min="11528" max="11775" width="9.140625" style="303" customWidth="1"/>
    <col min="11776" max="11777" width="4" style="303"/>
    <col min="11778" max="11778" width="5.7109375" style="303" customWidth="1"/>
    <col min="11779" max="11779" width="8.42578125" style="303" customWidth="1"/>
    <col min="11780" max="11780" width="49.140625" style="303" customWidth="1"/>
    <col min="11781" max="11781" width="21.42578125" style="303" customWidth="1"/>
    <col min="11782" max="11782" width="9.140625" style="303" customWidth="1"/>
    <col min="11783" max="11783" width="12.28515625" style="303" customWidth="1"/>
    <col min="11784" max="12031" width="9.140625" style="303" customWidth="1"/>
    <col min="12032" max="12033" width="4" style="303"/>
    <col min="12034" max="12034" width="5.7109375" style="303" customWidth="1"/>
    <col min="12035" max="12035" width="8.42578125" style="303" customWidth="1"/>
    <col min="12036" max="12036" width="49.140625" style="303" customWidth="1"/>
    <col min="12037" max="12037" width="21.42578125" style="303" customWidth="1"/>
    <col min="12038" max="12038" width="9.140625" style="303" customWidth="1"/>
    <col min="12039" max="12039" width="12.28515625" style="303" customWidth="1"/>
    <col min="12040" max="12287" width="9.140625" style="303" customWidth="1"/>
    <col min="12288" max="12289" width="4" style="303"/>
    <col min="12290" max="12290" width="5.7109375" style="303" customWidth="1"/>
    <col min="12291" max="12291" width="8.42578125" style="303" customWidth="1"/>
    <col min="12292" max="12292" width="49.140625" style="303" customWidth="1"/>
    <col min="12293" max="12293" width="21.42578125" style="303" customWidth="1"/>
    <col min="12294" max="12294" width="9.140625" style="303" customWidth="1"/>
    <col min="12295" max="12295" width="12.28515625" style="303" customWidth="1"/>
    <col min="12296" max="12543" width="9.140625" style="303" customWidth="1"/>
    <col min="12544" max="12545" width="4" style="303"/>
    <col min="12546" max="12546" width="5.7109375" style="303" customWidth="1"/>
    <col min="12547" max="12547" width="8.42578125" style="303" customWidth="1"/>
    <col min="12548" max="12548" width="49.140625" style="303" customWidth="1"/>
    <col min="12549" max="12549" width="21.42578125" style="303" customWidth="1"/>
    <col min="12550" max="12550" width="9.140625" style="303" customWidth="1"/>
    <col min="12551" max="12551" width="12.28515625" style="303" customWidth="1"/>
    <col min="12552" max="12799" width="9.140625" style="303" customWidth="1"/>
    <col min="12800" max="12801" width="4" style="303"/>
    <col min="12802" max="12802" width="5.7109375" style="303" customWidth="1"/>
    <col min="12803" max="12803" width="8.42578125" style="303" customWidth="1"/>
    <col min="12804" max="12804" width="49.140625" style="303" customWidth="1"/>
    <col min="12805" max="12805" width="21.42578125" style="303" customWidth="1"/>
    <col min="12806" max="12806" width="9.140625" style="303" customWidth="1"/>
    <col min="12807" max="12807" width="12.28515625" style="303" customWidth="1"/>
    <col min="12808" max="13055" width="9.140625" style="303" customWidth="1"/>
    <col min="13056" max="13057" width="4" style="303"/>
    <col min="13058" max="13058" width="5.7109375" style="303" customWidth="1"/>
    <col min="13059" max="13059" width="8.42578125" style="303" customWidth="1"/>
    <col min="13060" max="13060" width="49.140625" style="303" customWidth="1"/>
    <col min="13061" max="13061" width="21.42578125" style="303" customWidth="1"/>
    <col min="13062" max="13062" width="9.140625" style="303" customWidth="1"/>
    <col min="13063" max="13063" width="12.28515625" style="303" customWidth="1"/>
    <col min="13064" max="13311" width="9.140625" style="303" customWidth="1"/>
    <col min="13312" max="13313" width="4" style="303"/>
    <col min="13314" max="13314" width="5.7109375" style="303" customWidth="1"/>
    <col min="13315" max="13315" width="8.42578125" style="303" customWidth="1"/>
    <col min="13316" max="13316" width="49.140625" style="303" customWidth="1"/>
    <col min="13317" max="13317" width="21.42578125" style="303" customWidth="1"/>
    <col min="13318" max="13318" width="9.140625" style="303" customWidth="1"/>
    <col min="13319" max="13319" width="12.28515625" style="303" customWidth="1"/>
    <col min="13320" max="13567" width="9.140625" style="303" customWidth="1"/>
    <col min="13568" max="13569" width="4" style="303"/>
    <col min="13570" max="13570" width="5.7109375" style="303" customWidth="1"/>
    <col min="13571" max="13571" width="8.42578125" style="303" customWidth="1"/>
    <col min="13572" max="13572" width="49.140625" style="303" customWidth="1"/>
    <col min="13573" max="13573" width="21.42578125" style="303" customWidth="1"/>
    <col min="13574" max="13574" width="9.140625" style="303" customWidth="1"/>
    <col min="13575" max="13575" width="12.28515625" style="303" customWidth="1"/>
    <col min="13576" max="13823" width="9.140625" style="303" customWidth="1"/>
    <col min="13824" max="13825" width="4" style="303"/>
    <col min="13826" max="13826" width="5.7109375" style="303" customWidth="1"/>
    <col min="13827" max="13827" width="8.42578125" style="303" customWidth="1"/>
    <col min="13828" max="13828" width="49.140625" style="303" customWidth="1"/>
    <col min="13829" max="13829" width="21.42578125" style="303" customWidth="1"/>
    <col min="13830" max="13830" width="9.140625" style="303" customWidth="1"/>
    <col min="13831" max="13831" width="12.28515625" style="303" customWidth="1"/>
    <col min="13832" max="14079" width="9.140625" style="303" customWidth="1"/>
    <col min="14080" max="14081" width="4" style="303"/>
    <col min="14082" max="14082" width="5.7109375" style="303" customWidth="1"/>
    <col min="14083" max="14083" width="8.42578125" style="303" customWidth="1"/>
    <col min="14084" max="14084" width="49.140625" style="303" customWidth="1"/>
    <col min="14085" max="14085" width="21.42578125" style="303" customWidth="1"/>
    <col min="14086" max="14086" width="9.140625" style="303" customWidth="1"/>
    <col min="14087" max="14087" width="12.28515625" style="303" customWidth="1"/>
    <col min="14088" max="14335" width="9.140625" style="303" customWidth="1"/>
    <col min="14336" max="14337" width="4" style="303"/>
    <col min="14338" max="14338" width="5.7109375" style="303" customWidth="1"/>
    <col min="14339" max="14339" width="8.42578125" style="303" customWidth="1"/>
    <col min="14340" max="14340" width="49.140625" style="303" customWidth="1"/>
    <col min="14341" max="14341" width="21.42578125" style="303" customWidth="1"/>
    <col min="14342" max="14342" width="9.140625" style="303" customWidth="1"/>
    <col min="14343" max="14343" width="12.28515625" style="303" customWidth="1"/>
    <col min="14344" max="14591" width="9.140625" style="303" customWidth="1"/>
    <col min="14592" max="14593" width="4" style="303"/>
    <col min="14594" max="14594" width="5.7109375" style="303" customWidth="1"/>
    <col min="14595" max="14595" width="8.42578125" style="303" customWidth="1"/>
    <col min="14596" max="14596" width="49.140625" style="303" customWidth="1"/>
    <col min="14597" max="14597" width="21.42578125" style="303" customWidth="1"/>
    <col min="14598" max="14598" width="9.140625" style="303" customWidth="1"/>
    <col min="14599" max="14599" width="12.28515625" style="303" customWidth="1"/>
    <col min="14600" max="14847" width="9.140625" style="303" customWidth="1"/>
    <col min="14848" max="14849" width="4" style="303"/>
    <col min="14850" max="14850" width="5.7109375" style="303" customWidth="1"/>
    <col min="14851" max="14851" width="8.42578125" style="303" customWidth="1"/>
    <col min="14852" max="14852" width="49.140625" style="303" customWidth="1"/>
    <col min="14853" max="14853" width="21.42578125" style="303" customWidth="1"/>
    <col min="14854" max="14854" width="9.140625" style="303" customWidth="1"/>
    <col min="14855" max="14855" width="12.28515625" style="303" customWidth="1"/>
    <col min="14856" max="15103" width="9.140625" style="303" customWidth="1"/>
    <col min="15104" max="15105" width="4" style="303"/>
    <col min="15106" max="15106" width="5.7109375" style="303" customWidth="1"/>
    <col min="15107" max="15107" width="8.42578125" style="303" customWidth="1"/>
    <col min="15108" max="15108" width="49.140625" style="303" customWidth="1"/>
    <col min="15109" max="15109" width="21.42578125" style="303" customWidth="1"/>
    <col min="15110" max="15110" width="9.140625" style="303" customWidth="1"/>
    <col min="15111" max="15111" width="12.28515625" style="303" customWidth="1"/>
    <col min="15112" max="15359" width="9.140625" style="303" customWidth="1"/>
    <col min="15360" max="15361" width="4" style="303"/>
    <col min="15362" max="15362" width="5.7109375" style="303" customWidth="1"/>
    <col min="15363" max="15363" width="8.42578125" style="303" customWidth="1"/>
    <col min="15364" max="15364" width="49.140625" style="303" customWidth="1"/>
    <col min="15365" max="15365" width="21.42578125" style="303" customWidth="1"/>
    <col min="15366" max="15366" width="9.140625" style="303" customWidth="1"/>
    <col min="15367" max="15367" width="12.28515625" style="303" customWidth="1"/>
    <col min="15368" max="15615" width="9.140625" style="303" customWidth="1"/>
    <col min="15616" max="15617" width="4" style="303"/>
    <col min="15618" max="15618" width="5.7109375" style="303" customWidth="1"/>
    <col min="15619" max="15619" width="8.42578125" style="303" customWidth="1"/>
    <col min="15620" max="15620" width="49.140625" style="303" customWidth="1"/>
    <col min="15621" max="15621" width="21.42578125" style="303" customWidth="1"/>
    <col min="15622" max="15622" width="9.140625" style="303" customWidth="1"/>
    <col min="15623" max="15623" width="12.28515625" style="303" customWidth="1"/>
    <col min="15624" max="15871" width="9.140625" style="303" customWidth="1"/>
    <col min="15872" max="15873" width="4" style="303"/>
    <col min="15874" max="15874" width="5.7109375" style="303" customWidth="1"/>
    <col min="15875" max="15875" width="8.42578125" style="303" customWidth="1"/>
    <col min="15876" max="15876" width="49.140625" style="303" customWidth="1"/>
    <col min="15877" max="15877" width="21.42578125" style="303" customWidth="1"/>
    <col min="15878" max="15878" width="9.140625" style="303" customWidth="1"/>
    <col min="15879" max="15879" width="12.28515625" style="303" customWidth="1"/>
    <col min="15880" max="16127" width="9.140625" style="303" customWidth="1"/>
    <col min="16128" max="16129" width="4" style="303"/>
    <col min="16130" max="16130" width="5.7109375" style="303" customWidth="1"/>
    <col min="16131" max="16131" width="8.42578125" style="303" customWidth="1"/>
    <col min="16132" max="16132" width="49.140625" style="303" customWidth="1"/>
    <col min="16133" max="16133" width="21.42578125" style="303" customWidth="1"/>
    <col min="16134" max="16134" width="9.140625" style="303" customWidth="1"/>
    <col min="16135" max="16135" width="12.28515625" style="303" customWidth="1"/>
    <col min="16136" max="16383" width="9.140625" style="303" customWidth="1"/>
    <col min="16384" max="16384" width="4" style="303"/>
  </cols>
  <sheetData>
    <row r="1" spans="1:7" x14ac:dyDescent="0.2">
      <c r="A1" s="102"/>
      <c r="D1" s="103"/>
      <c r="E1" s="104" t="s">
        <v>14</v>
      </c>
    </row>
    <row r="2" spans="1:7" x14ac:dyDescent="0.2">
      <c r="D2" s="103"/>
      <c r="E2" s="3" t="s">
        <v>129</v>
      </c>
    </row>
    <row r="3" spans="1:7" x14ac:dyDescent="0.2">
      <c r="D3" s="103"/>
      <c r="E3" s="3" t="s">
        <v>16</v>
      </c>
    </row>
    <row r="4" spans="1:7" x14ac:dyDescent="0.2">
      <c r="D4" s="103"/>
      <c r="E4" s="3" t="s">
        <v>130</v>
      </c>
    </row>
    <row r="5" spans="1:7" ht="9.75" customHeight="1" x14ac:dyDescent="0.2">
      <c r="D5" s="104"/>
      <c r="E5" s="105"/>
    </row>
    <row r="6" spans="1:7" ht="15.75" customHeight="1" x14ac:dyDescent="0.2">
      <c r="A6" s="107" t="s">
        <v>131</v>
      </c>
      <c r="B6" s="107"/>
      <c r="C6" s="107"/>
      <c r="D6" s="107"/>
      <c r="E6" s="107"/>
    </row>
    <row r="7" spans="1:7" ht="15.75" customHeight="1" x14ac:dyDescent="0.2">
      <c r="A7" s="107" t="s">
        <v>132</v>
      </c>
      <c r="B7" s="107"/>
      <c r="C7" s="107"/>
      <c r="D7" s="107"/>
      <c r="E7" s="107"/>
    </row>
    <row r="8" spans="1:7" ht="9.75" customHeight="1" x14ac:dyDescent="0.2">
      <c r="E8" s="108"/>
    </row>
    <row r="9" spans="1:7" ht="10.5" customHeight="1" x14ac:dyDescent="0.2">
      <c r="E9" s="109" t="s">
        <v>1</v>
      </c>
    </row>
    <row r="10" spans="1:7" ht="20.25" customHeight="1" x14ac:dyDescent="0.2">
      <c r="A10" s="110" t="s">
        <v>13</v>
      </c>
      <c r="B10" s="111" t="s">
        <v>15</v>
      </c>
      <c r="C10" s="111" t="s">
        <v>18</v>
      </c>
      <c r="D10" s="112" t="s">
        <v>133</v>
      </c>
      <c r="E10" s="111" t="s">
        <v>134</v>
      </c>
    </row>
    <row r="11" spans="1:7" s="116" customFormat="1" ht="10.5" customHeight="1" x14ac:dyDescent="0.2">
      <c r="A11" s="113">
        <v>1</v>
      </c>
      <c r="B11" s="113">
        <v>2</v>
      </c>
      <c r="C11" s="113">
        <v>3</v>
      </c>
      <c r="D11" s="114">
        <v>4</v>
      </c>
      <c r="E11" s="113">
        <v>5</v>
      </c>
      <c r="F11" s="103"/>
      <c r="G11" s="115"/>
    </row>
    <row r="12" spans="1:7" ht="17.25" customHeight="1" x14ac:dyDescent="0.2">
      <c r="A12" s="304" t="s">
        <v>135</v>
      </c>
      <c r="B12" s="305"/>
      <c r="C12" s="305"/>
      <c r="D12" s="305"/>
      <c r="E12" s="306"/>
    </row>
    <row r="13" spans="1:7" ht="15.75" customHeight="1" x14ac:dyDescent="0.2">
      <c r="A13" s="117">
        <v>1</v>
      </c>
      <c r="B13" s="117">
        <v>700</v>
      </c>
      <c r="C13" s="117">
        <v>70095</v>
      </c>
      <c r="D13" s="118" t="s">
        <v>136</v>
      </c>
      <c r="E13" s="119">
        <f>1500000-320000</f>
        <v>1180000</v>
      </c>
      <c r="F13" s="120"/>
    </row>
    <row r="14" spans="1:7" ht="26.25" customHeight="1" x14ac:dyDescent="0.2">
      <c r="A14" s="121">
        <v>2</v>
      </c>
      <c r="B14" s="121">
        <v>750</v>
      </c>
      <c r="C14" s="121">
        <v>75095</v>
      </c>
      <c r="D14" s="122" t="s">
        <v>137</v>
      </c>
      <c r="E14" s="123">
        <v>85000</v>
      </c>
      <c r="G14" s="124"/>
    </row>
    <row r="15" spans="1:7" ht="15" customHeight="1" x14ac:dyDescent="0.2">
      <c r="A15" s="121">
        <v>3</v>
      </c>
      <c r="B15" s="121">
        <v>755</v>
      </c>
      <c r="C15" s="121">
        <v>75515</v>
      </c>
      <c r="D15" s="122" t="s">
        <v>138</v>
      </c>
      <c r="E15" s="119">
        <v>128040</v>
      </c>
      <c r="G15" s="124"/>
    </row>
    <row r="16" spans="1:7" ht="15.75" customHeight="1" x14ac:dyDescent="0.2">
      <c r="A16" s="125">
        <v>4</v>
      </c>
      <c r="B16" s="125">
        <v>801</v>
      </c>
      <c r="C16" s="125">
        <v>80101</v>
      </c>
      <c r="D16" s="126" t="s">
        <v>139</v>
      </c>
      <c r="E16" s="119">
        <f>24797.85</f>
        <v>24797.85</v>
      </c>
      <c r="G16" s="124"/>
    </row>
    <row r="17" spans="1:7" ht="15" customHeight="1" x14ac:dyDescent="0.2">
      <c r="A17" s="127"/>
      <c r="B17" s="128"/>
      <c r="C17" s="129"/>
      <c r="D17" s="130" t="s">
        <v>140</v>
      </c>
      <c r="E17" s="131"/>
      <c r="G17" s="124"/>
    </row>
    <row r="18" spans="1:7" ht="23.25" customHeight="1" x14ac:dyDescent="0.2">
      <c r="A18" s="132"/>
      <c r="B18" s="133"/>
      <c r="C18" s="134"/>
      <c r="D18" s="135" t="s">
        <v>141</v>
      </c>
      <c r="E18" s="136"/>
      <c r="G18" s="124"/>
    </row>
    <row r="19" spans="1:7" ht="15" customHeight="1" x14ac:dyDescent="0.2">
      <c r="A19" s="137"/>
      <c r="B19" s="138"/>
      <c r="C19" s="139"/>
      <c r="D19" s="140" t="s">
        <v>142</v>
      </c>
      <c r="E19" s="141"/>
      <c r="G19" s="124"/>
    </row>
    <row r="20" spans="1:7" ht="15.75" customHeight="1" x14ac:dyDescent="0.2">
      <c r="A20" s="125">
        <v>5</v>
      </c>
      <c r="B20" s="125">
        <v>801</v>
      </c>
      <c r="C20" s="125">
        <v>80104</v>
      </c>
      <c r="D20" s="126" t="s">
        <v>143</v>
      </c>
      <c r="E20" s="119">
        <f>2391.32+3201.31+3587.48</f>
        <v>9180.11</v>
      </c>
      <c r="G20" s="124"/>
    </row>
    <row r="21" spans="1:7" ht="15" customHeight="1" x14ac:dyDescent="0.2">
      <c r="A21" s="127"/>
      <c r="B21" s="128"/>
      <c r="C21" s="129"/>
      <c r="D21" s="142" t="s">
        <v>144</v>
      </c>
      <c r="E21" s="131"/>
      <c r="G21" s="124"/>
    </row>
    <row r="22" spans="1:7" ht="15" customHeight="1" x14ac:dyDescent="0.2">
      <c r="A22" s="132"/>
      <c r="B22" s="133"/>
      <c r="C22" s="134"/>
      <c r="D22" s="142" t="s">
        <v>145</v>
      </c>
      <c r="E22" s="143"/>
      <c r="G22" s="124"/>
    </row>
    <row r="23" spans="1:7" ht="15" customHeight="1" x14ac:dyDescent="0.2">
      <c r="A23" s="132"/>
      <c r="B23" s="133"/>
      <c r="C23" s="134"/>
      <c r="D23" s="144" t="s">
        <v>146</v>
      </c>
      <c r="E23" s="143"/>
      <c r="G23" s="124"/>
    </row>
    <row r="24" spans="1:7" ht="15" customHeight="1" x14ac:dyDescent="0.2">
      <c r="A24" s="132"/>
      <c r="B24" s="133"/>
      <c r="C24" s="134"/>
      <c r="D24" s="145" t="s">
        <v>147</v>
      </c>
      <c r="E24" s="143"/>
      <c r="G24" s="124"/>
    </row>
    <row r="25" spans="1:7" ht="15" customHeight="1" x14ac:dyDescent="0.2">
      <c r="A25" s="137"/>
      <c r="B25" s="138"/>
      <c r="C25" s="139"/>
      <c r="D25" s="146" t="s">
        <v>148</v>
      </c>
      <c r="E25" s="141"/>
      <c r="G25" s="124"/>
    </row>
    <row r="26" spans="1:7" ht="15" customHeight="1" x14ac:dyDescent="0.2">
      <c r="A26" s="125">
        <v>6</v>
      </c>
      <c r="B26" s="125">
        <v>801</v>
      </c>
      <c r="C26" s="125">
        <v>80117</v>
      </c>
      <c r="D26" s="126" t="s">
        <v>149</v>
      </c>
      <c r="E26" s="119">
        <f>709.34+740.59</f>
        <v>1449.93</v>
      </c>
      <c r="G26" s="124"/>
    </row>
    <row r="27" spans="1:7" ht="15" customHeight="1" x14ac:dyDescent="0.2">
      <c r="A27" s="126"/>
      <c r="B27" s="147"/>
      <c r="C27" s="148"/>
      <c r="D27" s="149" t="s">
        <v>150</v>
      </c>
      <c r="E27" s="119"/>
      <c r="G27" s="124"/>
    </row>
    <row r="28" spans="1:7" ht="15.75" customHeight="1" x14ac:dyDescent="0.2">
      <c r="A28" s="125">
        <v>7</v>
      </c>
      <c r="B28" s="125">
        <v>801</v>
      </c>
      <c r="C28" s="125">
        <v>80120</v>
      </c>
      <c r="D28" s="126" t="s">
        <v>151</v>
      </c>
      <c r="E28" s="119">
        <f>12774.65+4478.39+4665.89</f>
        <v>21918.93</v>
      </c>
      <c r="G28" s="124"/>
    </row>
    <row r="29" spans="1:7" ht="15" customHeight="1" x14ac:dyDescent="0.2">
      <c r="A29" s="127"/>
      <c r="B29" s="128"/>
      <c r="C29" s="129"/>
      <c r="D29" s="150" t="s">
        <v>152</v>
      </c>
      <c r="E29" s="131"/>
      <c r="G29" s="124"/>
    </row>
    <row r="30" spans="1:7" ht="22.5" customHeight="1" x14ac:dyDescent="0.2">
      <c r="A30" s="132"/>
      <c r="B30" s="133"/>
      <c r="C30" s="134"/>
      <c r="D30" s="151" t="s">
        <v>153</v>
      </c>
      <c r="E30" s="143"/>
      <c r="G30" s="124"/>
    </row>
    <row r="31" spans="1:7" ht="24.75" customHeight="1" x14ac:dyDescent="0.2">
      <c r="A31" s="137"/>
      <c r="B31" s="138"/>
      <c r="C31" s="139"/>
      <c r="D31" s="152" t="s">
        <v>154</v>
      </c>
      <c r="E31" s="141"/>
      <c r="G31" s="124"/>
    </row>
    <row r="32" spans="1:7" ht="51" customHeight="1" x14ac:dyDescent="0.2">
      <c r="A32" s="153">
        <v>8</v>
      </c>
      <c r="B32" s="153">
        <v>801</v>
      </c>
      <c r="C32" s="153">
        <v>80153</v>
      </c>
      <c r="D32" s="154" t="s">
        <v>155</v>
      </c>
      <c r="E32" s="155">
        <f>33841+15955+1732.31+3011.85-1579.12</f>
        <v>52961.039999999994</v>
      </c>
      <c r="G32" s="124"/>
    </row>
    <row r="33" spans="1:7" ht="15" customHeight="1" x14ac:dyDescent="0.2">
      <c r="A33" s="156"/>
      <c r="B33" s="156"/>
      <c r="C33" s="156"/>
      <c r="D33" s="157" t="s">
        <v>156</v>
      </c>
      <c r="E33" s="158"/>
      <c r="G33" s="124"/>
    </row>
    <row r="34" spans="1:7" ht="15" customHeight="1" x14ac:dyDescent="0.2">
      <c r="A34" s="159"/>
      <c r="B34" s="159"/>
      <c r="C34" s="159"/>
      <c r="D34" s="160" t="s">
        <v>142</v>
      </c>
      <c r="E34" s="161"/>
      <c r="G34" s="124"/>
    </row>
    <row r="35" spans="1:7" ht="15" customHeight="1" x14ac:dyDescent="0.2">
      <c r="A35" s="162"/>
      <c r="B35" s="162"/>
      <c r="C35" s="162"/>
      <c r="D35" s="163" t="s">
        <v>157</v>
      </c>
      <c r="E35" s="164"/>
      <c r="G35" s="124"/>
    </row>
    <row r="36" spans="1:7" ht="42" customHeight="1" x14ac:dyDescent="0.2">
      <c r="A36" s="165">
        <v>9</v>
      </c>
      <c r="B36" s="165">
        <v>801</v>
      </c>
      <c r="C36" s="165">
        <v>80195</v>
      </c>
      <c r="D36" s="166" t="s">
        <v>158</v>
      </c>
      <c r="E36" s="167">
        <f>533646-31962+295000</f>
        <v>796684</v>
      </c>
      <c r="G36" s="124"/>
    </row>
    <row r="37" spans="1:7" ht="15" customHeight="1" x14ac:dyDescent="0.2">
      <c r="A37" s="125">
        <v>10</v>
      </c>
      <c r="B37" s="125">
        <v>851</v>
      </c>
      <c r="C37" s="125">
        <v>85153</v>
      </c>
      <c r="D37" s="137" t="s">
        <v>159</v>
      </c>
      <c r="E37" s="141">
        <v>55000</v>
      </c>
      <c r="G37" s="124"/>
    </row>
    <row r="38" spans="1:7" s="106" customFormat="1" ht="39" customHeight="1" x14ac:dyDescent="0.2">
      <c r="A38" s="121">
        <v>11</v>
      </c>
      <c r="B38" s="121">
        <v>851</v>
      </c>
      <c r="C38" s="121">
        <v>85154</v>
      </c>
      <c r="D38" s="122" t="s">
        <v>160</v>
      </c>
      <c r="E38" s="123">
        <f>550000-21000</f>
        <v>529000</v>
      </c>
      <c r="F38" s="105"/>
    </row>
    <row r="39" spans="1:7" s="106" customFormat="1" ht="27" customHeight="1" x14ac:dyDescent="0.2">
      <c r="A39" s="168">
        <v>12</v>
      </c>
      <c r="B39" s="168">
        <v>851</v>
      </c>
      <c r="C39" s="169">
        <v>85195</v>
      </c>
      <c r="D39" s="122" t="s">
        <v>161</v>
      </c>
      <c r="E39" s="123">
        <v>67500</v>
      </c>
      <c r="F39" s="105"/>
    </row>
    <row r="40" spans="1:7" s="106" customFormat="1" ht="25.5" customHeight="1" x14ac:dyDescent="0.2">
      <c r="A40" s="170">
        <v>13</v>
      </c>
      <c r="B40" s="170">
        <v>852</v>
      </c>
      <c r="C40" s="171">
        <v>85228</v>
      </c>
      <c r="D40" s="172" t="s">
        <v>162</v>
      </c>
      <c r="E40" s="119">
        <f>7049731-244300-15000</f>
        <v>6790431</v>
      </c>
      <c r="F40" s="105"/>
    </row>
    <row r="41" spans="1:7" s="106" customFormat="1" ht="25.5" customHeight="1" x14ac:dyDescent="0.2">
      <c r="A41" s="165"/>
      <c r="B41" s="165"/>
      <c r="C41" s="173"/>
      <c r="D41" s="174" t="s">
        <v>163</v>
      </c>
      <c r="E41" s="141">
        <f>1327900+746426+746426+361440+189584+907</f>
        <v>3372683</v>
      </c>
      <c r="F41" s="105"/>
    </row>
    <row r="42" spans="1:7" s="106" customFormat="1" ht="25.5" customHeight="1" x14ac:dyDescent="0.2">
      <c r="A42" s="121">
        <v>14</v>
      </c>
      <c r="B42" s="121">
        <v>852</v>
      </c>
      <c r="C42" s="121">
        <v>85295</v>
      </c>
      <c r="D42" s="122" t="s">
        <v>164</v>
      </c>
      <c r="E42" s="119">
        <f>1230600+47700</f>
        <v>1278300</v>
      </c>
      <c r="F42" s="105"/>
    </row>
    <row r="43" spans="1:7" s="106" customFormat="1" ht="26.25" customHeight="1" x14ac:dyDescent="0.2">
      <c r="A43" s="121">
        <v>15</v>
      </c>
      <c r="B43" s="121">
        <v>852</v>
      </c>
      <c r="C43" s="121">
        <v>85295</v>
      </c>
      <c r="D43" s="122" t="s">
        <v>165</v>
      </c>
      <c r="E43" s="119">
        <v>413452.32</v>
      </c>
      <c r="F43" s="105"/>
    </row>
    <row r="44" spans="1:7" s="106" customFormat="1" ht="26.25" customHeight="1" x14ac:dyDescent="0.2">
      <c r="A44" s="121">
        <v>16</v>
      </c>
      <c r="B44" s="121">
        <v>853</v>
      </c>
      <c r="C44" s="121">
        <v>85395</v>
      </c>
      <c r="D44" s="122" t="s">
        <v>166</v>
      </c>
      <c r="E44" s="123">
        <f>40000-10005</f>
        <v>29995</v>
      </c>
      <c r="F44" s="105"/>
    </row>
    <row r="45" spans="1:7" s="106" customFormat="1" ht="41.45" customHeight="1" x14ac:dyDescent="0.2">
      <c r="A45" s="121">
        <v>17</v>
      </c>
      <c r="B45" s="121">
        <v>853</v>
      </c>
      <c r="C45" s="121">
        <v>85395</v>
      </c>
      <c r="D45" s="122" t="s">
        <v>167</v>
      </c>
      <c r="E45" s="123">
        <v>265510.90999999997</v>
      </c>
      <c r="F45" s="105"/>
    </row>
    <row r="46" spans="1:7" s="106" customFormat="1" ht="15.75" customHeight="1" x14ac:dyDescent="0.2">
      <c r="A46" s="125">
        <v>18</v>
      </c>
      <c r="B46" s="125">
        <v>855</v>
      </c>
      <c r="C46" s="125">
        <v>85510</v>
      </c>
      <c r="D46" s="172" t="s">
        <v>168</v>
      </c>
      <c r="E46" s="119">
        <f>1568400+312600</f>
        <v>1881000</v>
      </c>
      <c r="F46" s="105"/>
    </row>
    <row r="47" spans="1:7" s="106" customFormat="1" ht="26.25" customHeight="1" x14ac:dyDescent="0.2">
      <c r="A47" s="121">
        <v>19</v>
      </c>
      <c r="B47" s="121">
        <v>900</v>
      </c>
      <c r="C47" s="121">
        <v>90005</v>
      </c>
      <c r="D47" s="122" t="s">
        <v>169</v>
      </c>
      <c r="E47" s="123">
        <f>200000+100000-32000</f>
        <v>268000</v>
      </c>
      <c r="F47" s="120"/>
    </row>
    <row r="48" spans="1:7" s="106" customFormat="1" ht="26.25" customHeight="1" x14ac:dyDescent="0.2">
      <c r="A48" s="121">
        <v>20</v>
      </c>
      <c r="B48" s="121">
        <v>900</v>
      </c>
      <c r="C48" s="121">
        <v>90005</v>
      </c>
      <c r="D48" s="122" t="s">
        <v>170</v>
      </c>
      <c r="E48" s="123">
        <f>200000+100000+32000</f>
        <v>332000</v>
      </c>
      <c r="F48" s="120"/>
      <c r="G48" s="124"/>
    </row>
    <row r="49" spans="1:6" s="106" customFormat="1" ht="16.5" customHeight="1" x14ac:dyDescent="0.2">
      <c r="A49" s="125">
        <v>21</v>
      </c>
      <c r="B49" s="125">
        <v>921</v>
      </c>
      <c r="C49" s="125">
        <v>92120</v>
      </c>
      <c r="D49" s="126" t="s">
        <v>171</v>
      </c>
      <c r="E49" s="119">
        <v>500000</v>
      </c>
      <c r="F49" s="105"/>
    </row>
    <row r="50" spans="1:6" s="106" customFormat="1" ht="39.75" customHeight="1" x14ac:dyDescent="0.2">
      <c r="A50" s="121">
        <v>22</v>
      </c>
      <c r="B50" s="121">
        <v>921</v>
      </c>
      <c r="C50" s="121">
        <v>92195</v>
      </c>
      <c r="D50" s="122" t="s">
        <v>172</v>
      </c>
      <c r="E50" s="119">
        <f>239100+27900-27900-34000-2500</f>
        <v>202600</v>
      </c>
      <c r="F50" s="105"/>
    </row>
    <row r="51" spans="1:6" s="106" customFormat="1" ht="39.75" customHeight="1" x14ac:dyDescent="0.2">
      <c r="A51" s="121">
        <v>23</v>
      </c>
      <c r="B51" s="121">
        <v>921</v>
      </c>
      <c r="C51" s="121">
        <v>92195</v>
      </c>
      <c r="D51" s="122" t="s">
        <v>167</v>
      </c>
      <c r="E51" s="123">
        <v>320536.26</v>
      </c>
      <c r="F51" s="105"/>
    </row>
    <row r="52" spans="1:6" s="106" customFormat="1" ht="14.45" customHeight="1" x14ac:dyDescent="0.2">
      <c r="A52" s="125">
        <v>24</v>
      </c>
      <c r="B52" s="125">
        <v>926</v>
      </c>
      <c r="C52" s="125">
        <v>92605</v>
      </c>
      <c r="D52" s="172" t="s">
        <v>173</v>
      </c>
      <c r="E52" s="119">
        <v>1833375</v>
      </c>
      <c r="F52" s="105"/>
    </row>
    <row r="53" spans="1:6" s="106" customFormat="1" ht="38.450000000000003" customHeight="1" x14ac:dyDescent="0.2">
      <c r="A53" s="121">
        <v>25</v>
      </c>
      <c r="B53" s="121">
        <v>926</v>
      </c>
      <c r="C53" s="121">
        <v>92605</v>
      </c>
      <c r="D53" s="172" t="s">
        <v>174</v>
      </c>
      <c r="E53" s="123">
        <v>106845.42</v>
      </c>
      <c r="F53" s="105"/>
    </row>
    <row r="54" spans="1:6" s="106" customFormat="1" ht="15" customHeight="1" x14ac:dyDescent="0.2">
      <c r="A54" s="307"/>
      <c r="B54" s="308"/>
      <c r="C54" s="308"/>
      <c r="D54" s="308" t="s">
        <v>175</v>
      </c>
      <c r="E54" s="309">
        <f>SUM(E13:E53)</f>
        <v>20546260.770000003</v>
      </c>
      <c r="F54" s="105"/>
    </row>
    <row r="55" spans="1:6" s="106" customFormat="1" ht="17.25" customHeight="1" x14ac:dyDescent="0.2">
      <c r="A55" s="304" t="s">
        <v>176</v>
      </c>
      <c r="B55" s="305"/>
      <c r="C55" s="305"/>
      <c r="D55" s="305"/>
      <c r="E55" s="306"/>
      <c r="F55" s="105"/>
    </row>
    <row r="56" spans="1:6" s="106" customFormat="1" ht="17.25" customHeight="1" x14ac:dyDescent="0.2">
      <c r="A56" s="110" t="s">
        <v>13</v>
      </c>
      <c r="B56" s="111" t="s">
        <v>15</v>
      </c>
      <c r="C56" s="111" t="s">
        <v>18</v>
      </c>
      <c r="D56" s="112" t="s">
        <v>177</v>
      </c>
      <c r="E56" s="111" t="s">
        <v>134</v>
      </c>
      <c r="F56" s="105"/>
    </row>
    <row r="57" spans="1:6" s="106" customFormat="1" ht="14.25" customHeight="1" x14ac:dyDescent="0.2">
      <c r="A57" s="125">
        <v>1</v>
      </c>
      <c r="B57" s="125">
        <v>801</v>
      </c>
      <c r="C57" s="125">
        <v>80101</v>
      </c>
      <c r="D57" s="126" t="s">
        <v>139</v>
      </c>
      <c r="E57" s="119">
        <f>7612585+11903.79+15110.88+120000+518000+50000+50000+157000+40000-77000+332000</f>
        <v>8829599.6699999999</v>
      </c>
      <c r="F57" s="105"/>
    </row>
    <row r="58" spans="1:6" s="106" customFormat="1" ht="13.5" customHeight="1" x14ac:dyDescent="0.2">
      <c r="A58" s="127"/>
      <c r="B58" s="128"/>
      <c r="C58" s="129"/>
      <c r="D58" s="130" t="s">
        <v>140</v>
      </c>
      <c r="E58" s="131"/>
      <c r="F58" s="105"/>
    </row>
    <row r="59" spans="1:6" s="106" customFormat="1" ht="13.5" customHeight="1" x14ac:dyDescent="0.2">
      <c r="A59" s="132"/>
      <c r="B59" s="133"/>
      <c r="C59" s="134"/>
      <c r="D59" s="175" t="s">
        <v>178</v>
      </c>
      <c r="E59" s="143"/>
      <c r="F59" s="176"/>
    </row>
    <row r="60" spans="1:6" s="106" customFormat="1" ht="13.5" customHeight="1" x14ac:dyDescent="0.2">
      <c r="A60" s="132"/>
      <c r="B60" s="133"/>
      <c r="C60" s="134"/>
      <c r="D60" s="177" t="s">
        <v>179</v>
      </c>
      <c r="E60" s="136"/>
      <c r="F60" s="105"/>
    </row>
    <row r="61" spans="1:6" s="106" customFormat="1" ht="26.25" customHeight="1" x14ac:dyDescent="0.2">
      <c r="A61" s="132"/>
      <c r="B61" s="133"/>
      <c r="C61" s="134"/>
      <c r="D61" s="178" t="s">
        <v>180</v>
      </c>
      <c r="E61" s="143"/>
      <c r="F61" s="105"/>
    </row>
    <row r="62" spans="1:6" s="106" customFormat="1" ht="27" customHeight="1" x14ac:dyDescent="0.2">
      <c r="A62" s="132"/>
      <c r="B62" s="133"/>
      <c r="C62" s="134"/>
      <c r="D62" s="178" t="s">
        <v>181</v>
      </c>
      <c r="E62" s="143"/>
      <c r="F62" s="105"/>
    </row>
    <row r="63" spans="1:6" s="106" customFormat="1" ht="24.75" customHeight="1" x14ac:dyDescent="0.2">
      <c r="A63" s="132"/>
      <c r="B63" s="133"/>
      <c r="C63" s="134"/>
      <c r="D63" s="175" t="s">
        <v>182</v>
      </c>
      <c r="E63" s="143"/>
      <c r="F63" s="105"/>
    </row>
    <row r="64" spans="1:6" s="106" customFormat="1" ht="25.5" customHeight="1" x14ac:dyDescent="0.2">
      <c r="A64" s="132"/>
      <c r="B64" s="133"/>
      <c r="C64" s="134"/>
      <c r="D64" s="151" t="s">
        <v>183</v>
      </c>
      <c r="E64" s="136"/>
      <c r="F64" s="105"/>
    </row>
    <row r="65" spans="1:7" s="106" customFormat="1" ht="13.5" customHeight="1" x14ac:dyDescent="0.2">
      <c r="A65" s="132"/>
      <c r="B65" s="133"/>
      <c r="C65" s="134"/>
      <c r="D65" s="179" t="s">
        <v>142</v>
      </c>
      <c r="E65" s="143"/>
      <c r="F65" s="105"/>
    </row>
    <row r="66" spans="1:7" s="106" customFormat="1" ht="24" customHeight="1" x14ac:dyDescent="0.2">
      <c r="A66" s="137"/>
      <c r="B66" s="138"/>
      <c r="C66" s="139"/>
      <c r="D66" s="180" t="s">
        <v>141</v>
      </c>
      <c r="E66" s="141"/>
      <c r="F66" s="105"/>
    </row>
    <row r="67" spans="1:7" s="106" customFormat="1" ht="13.5" customHeight="1" x14ac:dyDescent="0.2">
      <c r="A67" s="125">
        <v>2</v>
      </c>
      <c r="B67" s="125">
        <v>801</v>
      </c>
      <c r="C67" s="125">
        <v>80103</v>
      </c>
      <c r="D67" s="126" t="s">
        <v>184</v>
      </c>
      <c r="E67" s="119">
        <f>124687+15000+30000</f>
        <v>169687</v>
      </c>
      <c r="F67" s="105"/>
    </row>
    <row r="68" spans="1:7" s="106" customFormat="1" ht="24" customHeight="1" x14ac:dyDescent="0.2">
      <c r="A68" s="132"/>
      <c r="B68" s="133"/>
      <c r="C68" s="134"/>
      <c r="D68" s="181" t="s">
        <v>180</v>
      </c>
      <c r="E68" s="131"/>
      <c r="F68" s="105"/>
    </row>
    <row r="69" spans="1:7" s="106" customFormat="1" ht="13.5" customHeight="1" x14ac:dyDescent="0.2">
      <c r="A69" s="137"/>
      <c r="B69" s="138"/>
      <c r="C69" s="139"/>
      <c r="D69" s="182" t="s">
        <v>142</v>
      </c>
      <c r="E69" s="141"/>
      <c r="F69" s="105"/>
    </row>
    <row r="70" spans="1:7" s="106" customFormat="1" ht="14.25" customHeight="1" x14ac:dyDescent="0.2">
      <c r="A70" s="125">
        <v>3</v>
      </c>
      <c r="B70" s="125">
        <v>801</v>
      </c>
      <c r="C70" s="125">
        <v>80104</v>
      </c>
      <c r="D70" s="126" t="s">
        <v>143</v>
      </c>
      <c r="E70" s="119">
        <f>8825749+13966.37+917.02+230000+200000+800000+300000+400000+57000-6000</f>
        <v>10821632.389999999</v>
      </c>
      <c r="F70" s="105"/>
    </row>
    <row r="71" spans="1:7" s="106" customFormat="1" ht="14.25" customHeight="1" x14ac:dyDescent="0.2">
      <c r="A71" s="127"/>
      <c r="B71" s="128"/>
      <c r="C71" s="129"/>
      <c r="D71" s="130" t="s">
        <v>185</v>
      </c>
      <c r="E71" s="131"/>
      <c r="F71" s="105"/>
    </row>
    <row r="72" spans="1:7" s="106" customFormat="1" ht="14.25" customHeight="1" x14ac:dyDescent="0.2">
      <c r="A72" s="132"/>
      <c r="B72" s="133"/>
      <c r="C72" s="134"/>
      <c r="D72" s="142" t="s">
        <v>144</v>
      </c>
      <c r="E72" s="143"/>
      <c r="F72" s="105"/>
    </row>
    <row r="73" spans="1:7" s="106" customFormat="1" ht="13.5" customHeight="1" x14ac:dyDescent="0.2">
      <c r="A73" s="132"/>
      <c r="B73" s="133"/>
      <c r="C73" s="134"/>
      <c r="D73" s="183" t="s">
        <v>145</v>
      </c>
      <c r="E73" s="136"/>
      <c r="F73" s="105"/>
    </row>
    <row r="74" spans="1:7" s="105" customFormat="1" ht="23.25" customHeight="1" x14ac:dyDescent="0.2">
      <c r="A74" s="132"/>
      <c r="B74" s="133"/>
      <c r="C74" s="134"/>
      <c r="D74" s="178" t="s">
        <v>186</v>
      </c>
      <c r="E74" s="143"/>
      <c r="G74" s="106"/>
    </row>
    <row r="75" spans="1:7" s="105" customFormat="1" ht="13.5" customHeight="1" x14ac:dyDescent="0.2">
      <c r="A75" s="137"/>
      <c r="B75" s="138"/>
      <c r="C75" s="139"/>
      <c r="D75" s="140" t="s">
        <v>187</v>
      </c>
      <c r="E75" s="141"/>
      <c r="G75" s="106"/>
    </row>
    <row r="76" spans="1:7" s="105" customFormat="1" ht="13.5" customHeight="1" x14ac:dyDescent="0.2">
      <c r="A76" s="132"/>
      <c r="B76" s="133"/>
      <c r="C76" s="134"/>
      <c r="D76" s="151" t="s">
        <v>188</v>
      </c>
      <c r="E76" s="136"/>
      <c r="G76" s="106"/>
    </row>
    <row r="77" spans="1:7" s="105" customFormat="1" ht="13.5" customHeight="1" x14ac:dyDescent="0.2">
      <c r="A77" s="132"/>
      <c r="B77" s="133"/>
      <c r="C77" s="134"/>
      <c r="D77" s="178" t="s">
        <v>189</v>
      </c>
      <c r="E77" s="143"/>
      <c r="G77" s="106"/>
    </row>
    <row r="78" spans="1:7" s="105" customFormat="1" ht="13.5" customHeight="1" x14ac:dyDescent="0.2">
      <c r="A78" s="132"/>
      <c r="B78" s="133"/>
      <c r="C78" s="134"/>
      <c r="D78" s="183" t="s">
        <v>147</v>
      </c>
      <c r="E78" s="136"/>
      <c r="G78" s="106"/>
    </row>
    <row r="79" spans="1:7" s="105" customFormat="1" ht="23.25" customHeight="1" x14ac:dyDescent="0.2">
      <c r="A79" s="132"/>
      <c r="B79" s="133"/>
      <c r="C79" s="134"/>
      <c r="D79" s="183" t="s">
        <v>190</v>
      </c>
      <c r="E79" s="136"/>
      <c r="G79" s="106"/>
    </row>
    <row r="80" spans="1:7" s="105" customFormat="1" ht="13.5" customHeight="1" x14ac:dyDescent="0.2">
      <c r="A80" s="132"/>
      <c r="B80" s="133"/>
      <c r="C80" s="134"/>
      <c r="D80" s="178" t="s">
        <v>191</v>
      </c>
      <c r="E80" s="143"/>
      <c r="G80" s="106"/>
    </row>
    <row r="81" spans="1:7" s="105" customFormat="1" ht="13.5" customHeight="1" x14ac:dyDescent="0.2">
      <c r="A81" s="132"/>
      <c r="B81" s="133"/>
      <c r="C81" s="134"/>
      <c r="D81" s="179" t="s">
        <v>146</v>
      </c>
      <c r="E81" s="143"/>
      <c r="G81" s="106"/>
    </row>
    <row r="82" spans="1:7" s="105" customFormat="1" ht="13.5" customHeight="1" x14ac:dyDescent="0.2">
      <c r="A82" s="132"/>
      <c r="B82" s="133"/>
      <c r="C82" s="134"/>
      <c r="D82" s="146" t="s">
        <v>148</v>
      </c>
      <c r="E82" s="136"/>
      <c r="G82" s="106"/>
    </row>
    <row r="83" spans="1:7" s="105" customFormat="1" ht="13.5" customHeight="1" x14ac:dyDescent="0.2">
      <c r="A83" s="132"/>
      <c r="B83" s="133"/>
      <c r="C83" s="134"/>
      <c r="D83" s="146" t="s">
        <v>192</v>
      </c>
      <c r="E83" s="136"/>
      <c r="G83" s="106"/>
    </row>
    <row r="84" spans="1:7" s="105" customFormat="1" ht="13.5" customHeight="1" x14ac:dyDescent="0.2">
      <c r="A84" s="132"/>
      <c r="B84" s="133"/>
      <c r="C84" s="134"/>
      <c r="D84" s="179" t="s">
        <v>193</v>
      </c>
      <c r="E84" s="143"/>
      <c r="G84" s="106"/>
    </row>
    <row r="85" spans="1:7" s="105" customFormat="1" ht="13.5" customHeight="1" x14ac:dyDescent="0.2">
      <c r="A85" s="137"/>
      <c r="B85" s="138"/>
      <c r="C85" s="139"/>
      <c r="D85" s="140" t="s">
        <v>194</v>
      </c>
      <c r="E85" s="141"/>
      <c r="G85" s="106"/>
    </row>
    <row r="86" spans="1:7" s="105" customFormat="1" ht="24" customHeight="1" x14ac:dyDescent="0.2">
      <c r="A86" s="121">
        <v>4</v>
      </c>
      <c r="B86" s="121">
        <v>801</v>
      </c>
      <c r="C86" s="121">
        <v>80106</v>
      </c>
      <c r="D86" s="122" t="s">
        <v>195</v>
      </c>
      <c r="E86" s="123">
        <f>62237+7000+3500</f>
        <v>72737</v>
      </c>
      <c r="G86" s="106"/>
    </row>
    <row r="87" spans="1:7" s="105" customFormat="1" ht="13.5" customHeight="1" x14ac:dyDescent="0.2">
      <c r="A87" s="126"/>
      <c r="B87" s="147"/>
      <c r="C87" s="148"/>
      <c r="D87" s="184" t="s">
        <v>196</v>
      </c>
      <c r="E87" s="119"/>
      <c r="G87" s="106"/>
    </row>
    <row r="88" spans="1:7" s="105" customFormat="1" ht="13.5" customHeight="1" x14ac:dyDescent="0.2">
      <c r="A88" s="125">
        <v>5</v>
      </c>
      <c r="B88" s="125">
        <v>801</v>
      </c>
      <c r="C88" s="125">
        <v>80115</v>
      </c>
      <c r="D88" s="147" t="s">
        <v>197</v>
      </c>
      <c r="E88" s="119">
        <f>2505180+12243.98+164000+100000+142000</f>
        <v>2923423.98</v>
      </c>
      <c r="G88" s="106"/>
    </row>
    <row r="89" spans="1:7" s="105" customFormat="1" ht="23.25" customHeight="1" x14ac:dyDescent="0.2">
      <c r="A89" s="126"/>
      <c r="B89" s="147"/>
      <c r="C89" s="148"/>
      <c r="D89" s="185" t="s">
        <v>198</v>
      </c>
      <c r="E89" s="119"/>
      <c r="G89" s="106"/>
    </row>
    <row r="90" spans="1:7" s="105" customFormat="1" ht="13.5" customHeight="1" x14ac:dyDescent="0.2">
      <c r="A90" s="125">
        <v>6</v>
      </c>
      <c r="B90" s="125">
        <v>801</v>
      </c>
      <c r="C90" s="125">
        <v>80116</v>
      </c>
      <c r="D90" s="147" t="s">
        <v>199</v>
      </c>
      <c r="E90" s="119">
        <f>5272240-50000-140000+24309.91-200000+200000+400000+78000</f>
        <v>5584549.9100000001</v>
      </c>
      <c r="G90" s="106"/>
    </row>
    <row r="91" spans="1:7" s="105" customFormat="1" ht="13.5" customHeight="1" x14ac:dyDescent="0.2">
      <c r="A91" s="127"/>
      <c r="B91" s="128"/>
      <c r="C91" s="129"/>
      <c r="D91" s="186" t="s">
        <v>200</v>
      </c>
      <c r="E91" s="131"/>
      <c r="G91" s="106"/>
    </row>
    <row r="92" spans="1:7" s="105" customFormat="1" ht="25.5" customHeight="1" x14ac:dyDescent="0.2">
      <c r="A92" s="132"/>
      <c r="B92" s="133"/>
      <c r="C92" s="134"/>
      <c r="D92" s="175" t="s">
        <v>201</v>
      </c>
      <c r="E92" s="143"/>
      <c r="G92" s="106"/>
    </row>
    <row r="93" spans="1:7" s="105" customFormat="1" ht="22.5" customHeight="1" x14ac:dyDescent="0.2">
      <c r="A93" s="132"/>
      <c r="B93" s="133"/>
      <c r="C93" s="134"/>
      <c r="D93" s="178" t="s">
        <v>202</v>
      </c>
      <c r="E93" s="143"/>
      <c r="G93" s="106"/>
    </row>
    <row r="94" spans="1:7" s="105" customFormat="1" ht="13.5" customHeight="1" x14ac:dyDescent="0.2">
      <c r="A94" s="132"/>
      <c r="B94" s="133"/>
      <c r="C94" s="134"/>
      <c r="D94" s="146" t="s">
        <v>203</v>
      </c>
      <c r="E94" s="136"/>
      <c r="G94" s="106"/>
    </row>
    <row r="95" spans="1:7" s="105" customFormat="1" ht="13.5" customHeight="1" x14ac:dyDescent="0.2">
      <c r="A95" s="132"/>
      <c r="B95" s="133"/>
      <c r="C95" s="134"/>
      <c r="D95" s="179" t="s">
        <v>204</v>
      </c>
      <c r="E95" s="143"/>
      <c r="G95" s="106"/>
    </row>
    <row r="96" spans="1:7" s="105" customFormat="1" ht="25.5" customHeight="1" x14ac:dyDescent="0.2">
      <c r="A96" s="132"/>
      <c r="B96" s="133"/>
      <c r="C96" s="134"/>
      <c r="D96" s="177" t="s">
        <v>205</v>
      </c>
      <c r="E96" s="136"/>
      <c r="G96" s="106"/>
    </row>
    <row r="97" spans="1:7" s="105" customFormat="1" ht="13.5" customHeight="1" x14ac:dyDescent="0.2">
      <c r="A97" s="132"/>
      <c r="B97" s="133"/>
      <c r="C97" s="134"/>
      <c r="D97" s="175" t="s">
        <v>206</v>
      </c>
      <c r="E97" s="143"/>
      <c r="G97" s="106"/>
    </row>
    <row r="98" spans="1:7" s="105" customFormat="1" ht="13.5" customHeight="1" x14ac:dyDescent="0.2">
      <c r="A98" s="132"/>
      <c r="B98" s="133"/>
      <c r="C98" s="134"/>
      <c r="D98" s="175" t="s">
        <v>207</v>
      </c>
      <c r="E98" s="143"/>
      <c r="G98" s="106"/>
    </row>
    <row r="99" spans="1:7" s="105" customFormat="1" ht="12.75" customHeight="1" x14ac:dyDescent="0.2">
      <c r="A99" s="132"/>
      <c r="B99" s="133"/>
      <c r="C99" s="134"/>
      <c r="D99" s="178" t="s">
        <v>208</v>
      </c>
      <c r="E99" s="143"/>
      <c r="G99" s="106"/>
    </row>
    <row r="100" spans="1:7" s="105" customFormat="1" ht="13.5" customHeight="1" x14ac:dyDescent="0.2">
      <c r="A100" s="132"/>
      <c r="B100" s="133"/>
      <c r="C100" s="134"/>
      <c r="D100" s="179" t="s">
        <v>209</v>
      </c>
      <c r="E100" s="143"/>
      <c r="G100" s="106"/>
    </row>
    <row r="101" spans="1:7" s="105" customFormat="1" ht="13.5" customHeight="1" x14ac:dyDescent="0.2">
      <c r="A101" s="132"/>
      <c r="B101" s="133"/>
      <c r="C101" s="134"/>
      <c r="D101" s="187" t="s">
        <v>210</v>
      </c>
      <c r="E101" s="136"/>
      <c r="G101" s="106"/>
    </row>
    <row r="102" spans="1:7" s="105" customFormat="1" ht="13.5" customHeight="1" x14ac:dyDescent="0.2">
      <c r="A102" s="132"/>
      <c r="B102" s="133"/>
      <c r="C102" s="134"/>
      <c r="D102" s="188" t="s">
        <v>211</v>
      </c>
      <c r="E102" s="143"/>
      <c r="G102" s="106"/>
    </row>
    <row r="103" spans="1:7" s="105" customFormat="1" ht="13.5" customHeight="1" x14ac:dyDescent="0.2">
      <c r="A103" s="132"/>
      <c r="B103" s="133"/>
      <c r="C103" s="134"/>
      <c r="D103" s="179" t="s">
        <v>212</v>
      </c>
      <c r="E103" s="143"/>
      <c r="G103" s="106"/>
    </row>
    <row r="104" spans="1:7" s="105" customFormat="1" ht="25.5" customHeight="1" x14ac:dyDescent="0.2">
      <c r="A104" s="137"/>
      <c r="B104" s="138"/>
      <c r="C104" s="139"/>
      <c r="D104" s="180" t="s">
        <v>213</v>
      </c>
      <c r="E104" s="141"/>
      <c r="G104" s="106"/>
    </row>
    <row r="105" spans="1:7" s="105" customFormat="1" ht="13.5" customHeight="1" x14ac:dyDescent="0.2">
      <c r="A105" s="125">
        <v>7</v>
      </c>
      <c r="B105" s="125">
        <v>801</v>
      </c>
      <c r="C105" s="125">
        <v>80117</v>
      </c>
      <c r="D105" s="126" t="s">
        <v>149</v>
      </c>
      <c r="E105" s="119">
        <f>2656984+7306.5+3929.27+85000-200000-50000+50000-70000-50000</f>
        <v>2433219.77</v>
      </c>
      <c r="G105" s="106"/>
    </row>
    <row r="106" spans="1:7" s="105" customFormat="1" ht="15" customHeight="1" x14ac:dyDescent="0.2">
      <c r="A106" s="127"/>
      <c r="B106" s="128"/>
      <c r="C106" s="129"/>
      <c r="D106" s="149" t="s">
        <v>150</v>
      </c>
      <c r="E106" s="131"/>
      <c r="G106" s="106"/>
    </row>
    <row r="107" spans="1:7" s="105" customFormat="1" ht="15" customHeight="1" x14ac:dyDescent="0.2">
      <c r="A107" s="132"/>
      <c r="B107" s="133"/>
      <c r="C107" s="134"/>
      <c r="D107" s="177" t="s">
        <v>214</v>
      </c>
      <c r="E107" s="136"/>
      <c r="G107" s="106"/>
    </row>
    <row r="108" spans="1:7" s="105" customFormat="1" ht="15" customHeight="1" x14ac:dyDescent="0.2">
      <c r="A108" s="132"/>
      <c r="B108" s="133"/>
      <c r="C108" s="134"/>
      <c r="D108" s="177" t="s">
        <v>215</v>
      </c>
      <c r="E108" s="136"/>
      <c r="G108" s="106"/>
    </row>
    <row r="109" spans="1:7" s="105" customFormat="1" ht="25.5" customHeight="1" x14ac:dyDescent="0.2">
      <c r="A109" s="132"/>
      <c r="B109" s="133"/>
      <c r="C109" s="134"/>
      <c r="D109" s="180" t="s">
        <v>216</v>
      </c>
      <c r="E109" s="189"/>
      <c r="G109" s="106"/>
    </row>
    <row r="110" spans="1:7" s="105" customFormat="1" ht="15.75" customHeight="1" x14ac:dyDescent="0.2">
      <c r="A110" s="125">
        <v>8</v>
      </c>
      <c r="B110" s="125">
        <v>801</v>
      </c>
      <c r="C110" s="125">
        <v>80120</v>
      </c>
      <c r="D110" s="126" t="s">
        <v>151</v>
      </c>
      <c r="E110" s="119">
        <f>6769589+14576.58+11167.36-450000-100000+250000+180000-50000-25000</f>
        <v>6600332.9400000004</v>
      </c>
      <c r="G110" s="106"/>
    </row>
    <row r="111" spans="1:7" s="105" customFormat="1" ht="13.5" customHeight="1" x14ac:dyDescent="0.2">
      <c r="A111" s="132"/>
      <c r="B111" s="133"/>
      <c r="C111" s="134"/>
      <c r="D111" s="175" t="s">
        <v>217</v>
      </c>
      <c r="E111" s="143"/>
      <c r="G111" s="106"/>
    </row>
    <row r="112" spans="1:7" s="105" customFormat="1" ht="13.5" customHeight="1" x14ac:dyDescent="0.2">
      <c r="A112" s="132"/>
      <c r="B112" s="133"/>
      <c r="C112" s="134"/>
      <c r="D112" s="175" t="s">
        <v>218</v>
      </c>
      <c r="E112" s="143"/>
      <c r="G112" s="106"/>
    </row>
    <row r="113" spans="1:7" s="105" customFormat="1" ht="13.5" customHeight="1" x14ac:dyDescent="0.2">
      <c r="A113" s="132"/>
      <c r="B113" s="133"/>
      <c r="C113" s="134"/>
      <c r="D113" s="179" t="s">
        <v>219</v>
      </c>
      <c r="E113" s="143"/>
      <c r="G113" s="106"/>
    </row>
    <row r="114" spans="1:7" s="105" customFormat="1" ht="24.75" customHeight="1" x14ac:dyDescent="0.2">
      <c r="A114" s="132"/>
      <c r="B114" s="133"/>
      <c r="C114" s="134"/>
      <c r="D114" s="177" t="s">
        <v>220</v>
      </c>
      <c r="E114" s="136"/>
      <c r="G114" s="106"/>
    </row>
    <row r="115" spans="1:7" s="105" customFormat="1" ht="13.5" customHeight="1" x14ac:dyDescent="0.2">
      <c r="A115" s="132"/>
      <c r="B115" s="133"/>
      <c r="C115" s="134"/>
      <c r="D115" s="179" t="s">
        <v>221</v>
      </c>
      <c r="E115" s="143"/>
      <c r="G115" s="106"/>
    </row>
    <row r="116" spans="1:7" s="105" customFormat="1" ht="15" customHeight="1" x14ac:dyDescent="0.2">
      <c r="A116" s="132"/>
      <c r="B116" s="133"/>
      <c r="C116" s="134"/>
      <c r="D116" s="175" t="s">
        <v>222</v>
      </c>
      <c r="E116" s="143"/>
      <c r="G116" s="106"/>
    </row>
    <row r="117" spans="1:7" s="105" customFormat="1" ht="25.5" customHeight="1" x14ac:dyDescent="0.2">
      <c r="A117" s="132"/>
      <c r="B117" s="133"/>
      <c r="C117" s="134"/>
      <c r="D117" s="183" t="s">
        <v>223</v>
      </c>
      <c r="E117" s="136"/>
      <c r="G117" s="106"/>
    </row>
    <row r="118" spans="1:7" s="105" customFormat="1" ht="25.5" customHeight="1" x14ac:dyDescent="0.2">
      <c r="A118" s="137"/>
      <c r="B118" s="138"/>
      <c r="C118" s="139"/>
      <c r="D118" s="190" t="s">
        <v>153</v>
      </c>
      <c r="E118" s="141"/>
      <c r="G118" s="106"/>
    </row>
    <row r="119" spans="1:7" s="105" customFormat="1" ht="25.5" customHeight="1" x14ac:dyDescent="0.2">
      <c r="A119" s="132"/>
      <c r="B119" s="133"/>
      <c r="C119" s="134"/>
      <c r="D119" s="151" t="s">
        <v>154</v>
      </c>
      <c r="E119" s="136"/>
      <c r="G119" s="106"/>
    </row>
    <row r="120" spans="1:7" s="105" customFormat="1" ht="13.5" customHeight="1" x14ac:dyDescent="0.2">
      <c r="A120" s="132"/>
      <c r="B120" s="133"/>
      <c r="C120" s="134"/>
      <c r="D120" s="146" t="s">
        <v>224</v>
      </c>
      <c r="E120" s="136"/>
      <c r="G120" s="106"/>
    </row>
    <row r="121" spans="1:7" s="105" customFormat="1" ht="13.5" customHeight="1" x14ac:dyDescent="0.2">
      <c r="A121" s="137"/>
      <c r="B121" s="138"/>
      <c r="C121" s="139"/>
      <c r="D121" s="140" t="s">
        <v>152</v>
      </c>
      <c r="E121" s="141"/>
      <c r="G121" s="106"/>
    </row>
    <row r="122" spans="1:7" s="105" customFormat="1" ht="51" customHeight="1" x14ac:dyDescent="0.2">
      <c r="A122" s="121">
        <v>9</v>
      </c>
      <c r="B122" s="121">
        <v>801</v>
      </c>
      <c r="C122" s="121">
        <v>80149</v>
      </c>
      <c r="D122" s="122" t="s">
        <v>225</v>
      </c>
      <c r="E122" s="123">
        <f>2707080-430000-7000+250000-10000-25000-7000</f>
        <v>2478080</v>
      </c>
      <c r="G122" s="106"/>
    </row>
    <row r="123" spans="1:7" s="105" customFormat="1" ht="25.5" customHeight="1" x14ac:dyDescent="0.2">
      <c r="A123" s="127"/>
      <c r="B123" s="128"/>
      <c r="C123" s="129"/>
      <c r="D123" s="181" t="s">
        <v>186</v>
      </c>
      <c r="E123" s="131"/>
      <c r="G123" s="106"/>
    </row>
    <row r="124" spans="1:7" s="105" customFormat="1" ht="13.5" customHeight="1" x14ac:dyDescent="0.2">
      <c r="A124" s="132"/>
      <c r="B124" s="133"/>
      <c r="C124" s="134"/>
      <c r="D124" s="151" t="s">
        <v>146</v>
      </c>
      <c r="E124" s="136"/>
      <c r="G124" s="106"/>
    </row>
    <row r="125" spans="1:7" s="105" customFormat="1" ht="13.5" customHeight="1" x14ac:dyDescent="0.2">
      <c r="A125" s="132"/>
      <c r="B125" s="133"/>
      <c r="C125" s="134"/>
      <c r="D125" s="178" t="s">
        <v>226</v>
      </c>
      <c r="E125" s="143"/>
      <c r="G125" s="106"/>
    </row>
    <row r="126" spans="1:7" s="105" customFormat="1" ht="13.5" customHeight="1" x14ac:dyDescent="0.2">
      <c r="A126" s="132"/>
      <c r="B126" s="133"/>
      <c r="C126" s="134"/>
      <c r="D126" s="183" t="s">
        <v>185</v>
      </c>
      <c r="E126" s="136"/>
      <c r="G126" s="106"/>
    </row>
    <row r="127" spans="1:7" s="105" customFormat="1" ht="13.5" customHeight="1" x14ac:dyDescent="0.2">
      <c r="A127" s="132"/>
      <c r="B127" s="133"/>
      <c r="C127" s="134"/>
      <c r="D127" s="142" t="s">
        <v>145</v>
      </c>
      <c r="E127" s="143"/>
      <c r="G127" s="106"/>
    </row>
    <row r="128" spans="1:7" s="105" customFormat="1" ht="13.5" customHeight="1" x14ac:dyDescent="0.2">
      <c r="A128" s="132"/>
      <c r="B128" s="133"/>
      <c r="C128" s="134"/>
      <c r="D128" s="178" t="s">
        <v>227</v>
      </c>
      <c r="E128" s="143"/>
      <c r="G128" s="106"/>
    </row>
    <row r="129" spans="1:7" s="105" customFormat="1" ht="13.5" customHeight="1" x14ac:dyDescent="0.2">
      <c r="A129" s="132"/>
      <c r="B129" s="133"/>
      <c r="C129" s="134"/>
      <c r="D129" s="178" t="s">
        <v>228</v>
      </c>
      <c r="E129" s="143"/>
      <c r="G129" s="106"/>
    </row>
    <row r="130" spans="1:7" s="105" customFormat="1" ht="13.5" customHeight="1" x14ac:dyDescent="0.2">
      <c r="A130" s="132"/>
      <c r="B130" s="133"/>
      <c r="C130" s="134"/>
      <c r="D130" s="178" t="s">
        <v>142</v>
      </c>
      <c r="E130" s="143"/>
      <c r="G130" s="106"/>
    </row>
    <row r="131" spans="1:7" s="105" customFormat="1" ht="13.5" customHeight="1" x14ac:dyDescent="0.2">
      <c r="A131" s="132"/>
      <c r="B131" s="133"/>
      <c r="C131" s="134"/>
      <c r="D131" s="178" t="s">
        <v>189</v>
      </c>
      <c r="E131" s="143"/>
      <c r="G131" s="106"/>
    </row>
    <row r="132" spans="1:7" s="105" customFormat="1" ht="13.5" customHeight="1" x14ac:dyDescent="0.2">
      <c r="A132" s="132"/>
      <c r="B132" s="133"/>
      <c r="C132" s="134"/>
      <c r="D132" s="142" t="s">
        <v>144</v>
      </c>
      <c r="E132" s="143"/>
      <c r="G132" s="106"/>
    </row>
    <row r="133" spans="1:7" s="105" customFormat="1" ht="13.5" customHeight="1" x14ac:dyDescent="0.2">
      <c r="A133" s="132"/>
      <c r="B133" s="133"/>
      <c r="C133" s="134"/>
      <c r="D133" s="178" t="s">
        <v>194</v>
      </c>
      <c r="E133" s="143"/>
      <c r="G133" s="106"/>
    </row>
    <row r="134" spans="1:7" s="105" customFormat="1" ht="15" customHeight="1" x14ac:dyDescent="0.2">
      <c r="A134" s="137"/>
      <c r="B134" s="138"/>
      <c r="C134" s="139"/>
      <c r="D134" s="190" t="s">
        <v>192</v>
      </c>
      <c r="E134" s="141"/>
      <c r="G134" s="106"/>
    </row>
    <row r="135" spans="1:7" s="105" customFormat="1" ht="39" customHeight="1" x14ac:dyDescent="0.2">
      <c r="A135" s="121">
        <v>10</v>
      </c>
      <c r="B135" s="121">
        <v>801</v>
      </c>
      <c r="C135" s="121">
        <v>80150</v>
      </c>
      <c r="D135" s="122" t="s">
        <v>229</v>
      </c>
      <c r="E135" s="123">
        <f>165299+20000+40000+20000+10000-10000-20000</f>
        <v>225299</v>
      </c>
      <c r="G135" s="106"/>
    </row>
    <row r="136" spans="1:7" s="105" customFormat="1" ht="13.5" customHeight="1" x14ac:dyDescent="0.2">
      <c r="A136" s="127"/>
      <c r="B136" s="128"/>
      <c r="C136" s="129"/>
      <c r="D136" s="181" t="s">
        <v>140</v>
      </c>
      <c r="E136" s="131"/>
      <c r="G136" s="106"/>
    </row>
    <row r="137" spans="1:7" s="105" customFormat="1" ht="13.5" customHeight="1" x14ac:dyDescent="0.2">
      <c r="A137" s="132"/>
      <c r="B137" s="133"/>
      <c r="C137" s="134"/>
      <c r="D137" s="151" t="s">
        <v>142</v>
      </c>
      <c r="E137" s="136"/>
      <c r="G137" s="106"/>
    </row>
    <row r="138" spans="1:7" s="106" customFormat="1" ht="25.5" customHeight="1" x14ac:dyDescent="0.2">
      <c r="A138" s="132"/>
      <c r="B138" s="133"/>
      <c r="C138" s="134"/>
      <c r="D138" s="175" t="s">
        <v>230</v>
      </c>
      <c r="E138" s="143"/>
      <c r="F138" s="105"/>
    </row>
    <row r="139" spans="1:7" s="106" customFormat="1" ht="15.75" customHeight="1" x14ac:dyDescent="0.2">
      <c r="A139" s="137"/>
      <c r="B139" s="138"/>
      <c r="C139" s="139"/>
      <c r="D139" s="180" t="s">
        <v>178</v>
      </c>
      <c r="E139" s="141"/>
      <c r="F139" s="176"/>
    </row>
    <row r="140" spans="1:7" s="106" customFormat="1" ht="13.5" customHeight="1" x14ac:dyDescent="0.2">
      <c r="A140" s="125">
        <v>11</v>
      </c>
      <c r="B140" s="125">
        <v>801</v>
      </c>
      <c r="C140" s="125">
        <v>80151</v>
      </c>
      <c r="D140" s="147" t="s">
        <v>231</v>
      </c>
      <c r="E140" s="119">
        <f>108410-52000-50000-6000</f>
        <v>410</v>
      </c>
      <c r="F140" s="105"/>
    </row>
    <row r="141" spans="1:7" s="106" customFormat="1" ht="13.5" customHeight="1" x14ac:dyDescent="0.2">
      <c r="A141" s="126"/>
      <c r="B141" s="147"/>
      <c r="C141" s="148"/>
      <c r="D141" s="191" t="s">
        <v>232</v>
      </c>
      <c r="E141" s="119"/>
      <c r="F141" s="105"/>
    </row>
    <row r="142" spans="1:7" s="106" customFormat="1" ht="13.5" customHeight="1" x14ac:dyDescent="0.2">
      <c r="A142" s="137"/>
      <c r="B142" s="138"/>
      <c r="C142" s="139"/>
      <c r="D142" s="192" t="s">
        <v>209</v>
      </c>
      <c r="E142" s="141"/>
      <c r="F142" s="105"/>
    </row>
    <row r="143" spans="1:7" s="106" customFormat="1" ht="114" customHeight="1" x14ac:dyDescent="0.2">
      <c r="A143" s="121">
        <v>12</v>
      </c>
      <c r="B143" s="121">
        <v>801</v>
      </c>
      <c r="C143" s="121">
        <v>80152</v>
      </c>
      <c r="D143" s="122" t="s">
        <v>233</v>
      </c>
      <c r="E143" s="123">
        <f>413835+30000+100000+30000-10000-20000</f>
        <v>543835</v>
      </c>
      <c r="F143" s="105"/>
    </row>
    <row r="144" spans="1:7" s="106" customFormat="1" ht="12.75" customHeight="1" x14ac:dyDescent="0.2">
      <c r="A144" s="127"/>
      <c r="B144" s="128"/>
      <c r="C144" s="129"/>
      <c r="D144" s="193" t="s">
        <v>150</v>
      </c>
      <c r="E144" s="131"/>
      <c r="F144" s="105"/>
    </row>
    <row r="145" spans="1:7" s="106" customFormat="1" ht="15" customHeight="1" x14ac:dyDescent="0.2">
      <c r="A145" s="132"/>
      <c r="B145" s="133"/>
      <c r="C145" s="134"/>
      <c r="D145" s="142" t="s">
        <v>152</v>
      </c>
      <c r="E145" s="143"/>
      <c r="F145" s="105"/>
    </row>
    <row r="146" spans="1:7" s="106" customFormat="1" ht="22.9" customHeight="1" x14ac:dyDescent="0.2">
      <c r="A146" s="132"/>
      <c r="B146" s="133"/>
      <c r="C146" s="134"/>
      <c r="D146" s="194" t="s">
        <v>198</v>
      </c>
      <c r="E146" s="143"/>
      <c r="F146" s="105"/>
    </row>
    <row r="147" spans="1:7" s="106" customFormat="1" ht="22.9" customHeight="1" x14ac:dyDescent="0.2">
      <c r="A147" s="132"/>
      <c r="B147" s="133"/>
      <c r="C147" s="134"/>
      <c r="D147" s="175" t="s">
        <v>216</v>
      </c>
      <c r="E147" s="143"/>
      <c r="F147" s="105"/>
    </row>
    <row r="148" spans="1:7" s="106" customFormat="1" ht="23.25" customHeight="1" x14ac:dyDescent="0.2">
      <c r="A148" s="137"/>
      <c r="B148" s="138"/>
      <c r="C148" s="139"/>
      <c r="D148" s="190" t="s">
        <v>154</v>
      </c>
      <c r="E148" s="141"/>
      <c r="F148" s="105"/>
    </row>
    <row r="149" spans="1:7" s="106" customFormat="1" ht="15.75" customHeight="1" x14ac:dyDescent="0.2">
      <c r="A149" s="195">
        <v>13</v>
      </c>
      <c r="B149" s="195">
        <v>853</v>
      </c>
      <c r="C149" s="195">
        <v>85311</v>
      </c>
      <c r="D149" s="138" t="s">
        <v>234</v>
      </c>
      <c r="E149" s="141">
        <f>190800+10005+15000</f>
        <v>215805</v>
      </c>
      <c r="F149" s="105"/>
    </row>
    <row r="150" spans="1:7" s="106" customFormat="1" ht="15" customHeight="1" x14ac:dyDescent="0.2">
      <c r="A150" s="126"/>
      <c r="B150" s="147"/>
      <c r="C150" s="139"/>
      <c r="D150" s="182" t="s">
        <v>235</v>
      </c>
      <c r="E150" s="141"/>
      <c r="F150" s="105"/>
    </row>
    <row r="151" spans="1:7" s="106" customFormat="1" ht="15.75" customHeight="1" x14ac:dyDescent="0.2">
      <c r="A151" s="125">
        <v>14</v>
      </c>
      <c r="B151" s="125">
        <v>854</v>
      </c>
      <c r="C151" s="125">
        <v>85402</v>
      </c>
      <c r="D151" s="147" t="s">
        <v>236</v>
      </c>
      <c r="E151" s="119">
        <f>706538+70000+160000+3574.51</f>
        <v>940112.51</v>
      </c>
      <c r="F151" s="105"/>
    </row>
    <row r="152" spans="1:7" s="106" customFormat="1" ht="23.25" customHeight="1" x14ac:dyDescent="0.2">
      <c r="A152" s="126"/>
      <c r="B152" s="147"/>
      <c r="C152" s="148"/>
      <c r="D152" s="196" t="s">
        <v>237</v>
      </c>
      <c r="E152" s="119"/>
      <c r="F152" s="105"/>
    </row>
    <row r="153" spans="1:7" s="106" customFormat="1" ht="15.75" customHeight="1" x14ac:dyDescent="0.2">
      <c r="A153" s="125">
        <v>15</v>
      </c>
      <c r="B153" s="125">
        <v>854</v>
      </c>
      <c r="C153" s="125">
        <v>85404</v>
      </c>
      <c r="D153" s="147" t="s">
        <v>238</v>
      </c>
      <c r="E153" s="119">
        <f>500188+15500</f>
        <v>515688</v>
      </c>
      <c r="F153" s="105"/>
    </row>
    <row r="154" spans="1:7" s="106" customFormat="1" ht="13.5" customHeight="1" x14ac:dyDescent="0.2">
      <c r="A154" s="126"/>
      <c r="B154" s="147"/>
      <c r="C154" s="148"/>
      <c r="D154" s="197" t="s">
        <v>192</v>
      </c>
      <c r="E154" s="119"/>
      <c r="F154" s="105"/>
    </row>
    <row r="155" spans="1:7" s="105" customFormat="1" ht="13.5" customHeight="1" x14ac:dyDescent="0.2">
      <c r="A155" s="127"/>
      <c r="B155" s="128"/>
      <c r="C155" s="129"/>
      <c r="D155" s="130" t="s">
        <v>145</v>
      </c>
      <c r="E155" s="131"/>
      <c r="G155" s="106"/>
    </row>
    <row r="156" spans="1:7" s="105" customFormat="1" ht="24.75" customHeight="1" x14ac:dyDescent="0.2">
      <c r="A156" s="132"/>
      <c r="B156" s="133"/>
      <c r="C156" s="134"/>
      <c r="D156" s="151" t="s">
        <v>239</v>
      </c>
      <c r="E156" s="136"/>
      <c r="G156" s="106"/>
    </row>
    <row r="157" spans="1:7" s="105" customFormat="1" ht="13.5" customHeight="1" x14ac:dyDescent="0.2">
      <c r="A157" s="132"/>
      <c r="B157" s="133"/>
      <c r="C157" s="134"/>
      <c r="D157" s="151" t="s">
        <v>226</v>
      </c>
      <c r="E157" s="136"/>
      <c r="G157" s="106"/>
    </row>
    <row r="158" spans="1:7" s="105" customFormat="1" ht="13.5" customHeight="1" x14ac:dyDescent="0.2">
      <c r="A158" s="132"/>
      <c r="B158" s="133"/>
      <c r="C158" s="134"/>
      <c r="D158" s="142" t="s">
        <v>147</v>
      </c>
      <c r="E158" s="143"/>
      <c r="G158" s="106"/>
    </row>
    <row r="159" spans="1:7" s="105" customFormat="1" ht="13.5" customHeight="1" x14ac:dyDescent="0.2">
      <c r="A159" s="132"/>
      <c r="B159" s="133"/>
      <c r="C159" s="134"/>
      <c r="D159" s="178" t="s">
        <v>227</v>
      </c>
      <c r="E159" s="143"/>
      <c r="G159" s="106"/>
    </row>
    <row r="160" spans="1:7" s="105" customFormat="1" ht="13.5" customHeight="1" x14ac:dyDescent="0.2">
      <c r="A160" s="132"/>
      <c r="B160" s="133"/>
      <c r="C160" s="134"/>
      <c r="D160" s="151" t="s">
        <v>189</v>
      </c>
      <c r="E160" s="136"/>
      <c r="G160" s="106"/>
    </row>
    <row r="161" spans="1:7" s="105" customFormat="1" ht="13.5" customHeight="1" x14ac:dyDescent="0.2">
      <c r="A161" s="132"/>
      <c r="B161" s="133"/>
      <c r="C161" s="134"/>
      <c r="D161" s="183" t="s">
        <v>185</v>
      </c>
      <c r="E161" s="136"/>
      <c r="G161" s="106"/>
    </row>
    <row r="162" spans="1:7" s="105" customFormat="1" ht="13.5" customHeight="1" x14ac:dyDescent="0.2">
      <c r="A162" s="132"/>
      <c r="B162" s="133"/>
      <c r="C162" s="134"/>
      <c r="D162" s="142" t="s">
        <v>144</v>
      </c>
      <c r="E162" s="143"/>
      <c r="G162" s="106"/>
    </row>
    <row r="163" spans="1:7" s="105" customFormat="1" ht="14.25" customHeight="1" x14ac:dyDescent="0.2">
      <c r="A163" s="137"/>
      <c r="B163" s="138"/>
      <c r="C163" s="139"/>
      <c r="D163" s="190" t="s">
        <v>228</v>
      </c>
      <c r="E163" s="141"/>
      <c r="G163" s="106"/>
    </row>
    <row r="164" spans="1:7" s="105" customFormat="1" ht="25.5" customHeight="1" x14ac:dyDescent="0.2">
      <c r="A164" s="121">
        <v>16</v>
      </c>
      <c r="B164" s="121">
        <v>854</v>
      </c>
      <c r="C164" s="121">
        <v>85406</v>
      </c>
      <c r="D164" s="198" t="s">
        <v>240</v>
      </c>
      <c r="E164" s="119">
        <f>217601-70000-90000+135.86</f>
        <v>57736.86</v>
      </c>
      <c r="G164" s="106"/>
    </row>
    <row r="165" spans="1:7" s="105" customFormat="1" ht="12.75" customHeight="1" x14ac:dyDescent="0.2">
      <c r="A165" s="127"/>
      <c r="B165" s="128"/>
      <c r="C165" s="129"/>
      <c r="D165" s="199" t="s">
        <v>241</v>
      </c>
      <c r="E165" s="131"/>
      <c r="G165" s="106"/>
    </row>
    <row r="166" spans="1:7" s="105" customFormat="1" ht="37.5" customHeight="1" x14ac:dyDescent="0.2">
      <c r="A166" s="137"/>
      <c r="B166" s="138"/>
      <c r="C166" s="139"/>
      <c r="D166" s="200" t="s">
        <v>242</v>
      </c>
      <c r="E166" s="141"/>
      <c r="G166" s="106"/>
    </row>
    <row r="167" spans="1:7" s="105" customFormat="1" ht="13.5" customHeight="1" x14ac:dyDescent="0.2">
      <c r="A167" s="125">
        <v>17</v>
      </c>
      <c r="B167" s="125">
        <v>854</v>
      </c>
      <c r="C167" s="125">
        <v>85410</v>
      </c>
      <c r="D167" s="147" t="s">
        <v>243</v>
      </c>
      <c r="E167" s="119">
        <f>952007-70000+100000+100000</f>
        <v>1082007</v>
      </c>
      <c r="G167" s="106"/>
    </row>
    <row r="168" spans="1:7" s="105" customFormat="1" ht="12.75" customHeight="1" x14ac:dyDescent="0.2">
      <c r="A168" s="126"/>
      <c r="B168" s="147"/>
      <c r="C168" s="148"/>
      <c r="D168" s="182" t="s">
        <v>244</v>
      </c>
      <c r="E168" s="119"/>
      <c r="G168" s="106"/>
    </row>
    <row r="169" spans="1:7" s="105" customFormat="1" ht="14.25" customHeight="1" x14ac:dyDescent="0.2">
      <c r="A169" s="307"/>
      <c r="B169" s="308"/>
      <c r="C169" s="308"/>
      <c r="D169" s="308" t="s">
        <v>175</v>
      </c>
      <c r="E169" s="309">
        <f>SUM(E57:E168)</f>
        <v>43494156.029999994</v>
      </c>
      <c r="G169" s="106"/>
    </row>
    <row r="170" spans="1:7" s="105" customFormat="1" ht="15.75" customHeight="1" x14ac:dyDescent="0.2">
      <c r="A170" s="201"/>
      <c r="B170" s="202"/>
      <c r="C170" s="202"/>
      <c r="D170" s="202" t="s">
        <v>245</v>
      </c>
      <c r="E170" s="203">
        <f>SUM(E54,E169)</f>
        <v>64040416.799999997</v>
      </c>
      <c r="G170" s="106"/>
    </row>
    <row r="172" spans="1:7" s="105" customFormat="1" ht="12.6" customHeight="1" x14ac:dyDescent="0.2">
      <c r="A172" s="310"/>
      <c r="B172" s="303"/>
      <c r="C172" s="303"/>
      <c r="D172" s="303"/>
      <c r="E172" s="311"/>
      <c r="G172" s="106"/>
    </row>
    <row r="174" spans="1:7" s="105" customFormat="1" x14ac:dyDescent="0.2">
      <c r="A174" s="303"/>
      <c r="B174" s="303"/>
      <c r="C174" s="303"/>
      <c r="D174" s="303"/>
      <c r="E174" s="311"/>
      <c r="G174" s="106"/>
    </row>
    <row r="176" spans="1:7" s="105" customFormat="1" x14ac:dyDescent="0.2">
      <c r="A176" s="303"/>
      <c r="B176" s="303"/>
      <c r="C176" s="303"/>
      <c r="D176" s="303"/>
      <c r="E176" s="312"/>
      <c r="G176" s="106"/>
    </row>
  </sheetData>
  <pageMargins left="0.51181102362204722" right="0.51181102362204722" top="0.74803149606299213" bottom="0.59055118110236227" header="0.31496062992125984" footer="0.31496062992125984"/>
  <pageSetup paperSize="9" orientation="portrait" r:id="rId1"/>
  <headerFooter>
    <oddFooter>&amp;C&amp;"Arial,Pogrubiony"&amp;8&amp;P</oddFooter>
  </headerFooter>
  <rowBreaks count="2" manualBreakCount="2">
    <brk id="75" max="16383" man="1"/>
    <brk id="1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870C-72A0-401E-A2FB-F9EBA1030AD0}">
  <dimension ref="A1:H34"/>
  <sheetViews>
    <sheetView zoomScale="130" zoomScaleNormal="130" workbookViewId="0"/>
  </sheetViews>
  <sheetFormatPr defaultRowHeight="15" x14ac:dyDescent="0.25"/>
  <cols>
    <col min="1" max="1" width="4.42578125" customWidth="1"/>
    <col min="2" max="2" width="7.5703125" customWidth="1"/>
    <col min="3" max="3" width="49" customWidth="1"/>
    <col min="4" max="4" width="14.85546875" customWidth="1"/>
    <col min="5" max="5" width="14" customWidth="1"/>
    <col min="6" max="6" width="14.140625" customWidth="1"/>
    <col min="7" max="7" width="15.85546875" customWidth="1"/>
    <col min="253" max="253" width="4.42578125" customWidth="1"/>
    <col min="254" max="254" width="7.5703125" customWidth="1"/>
    <col min="255" max="255" width="47.42578125" customWidth="1"/>
    <col min="256" max="256" width="14.85546875" customWidth="1"/>
    <col min="257" max="257" width="14" customWidth="1"/>
    <col min="258" max="258" width="14.140625" customWidth="1"/>
    <col min="259" max="259" width="14.7109375" customWidth="1"/>
    <col min="509" max="509" width="4.42578125" customWidth="1"/>
    <col min="510" max="510" width="7.5703125" customWidth="1"/>
    <col min="511" max="511" width="47.42578125" customWidth="1"/>
    <col min="512" max="512" width="14.85546875" customWidth="1"/>
    <col min="513" max="513" width="14" customWidth="1"/>
    <col min="514" max="514" width="14.140625" customWidth="1"/>
    <col min="515" max="515" width="14.7109375" customWidth="1"/>
    <col min="765" max="765" width="4.42578125" customWidth="1"/>
    <col min="766" max="766" width="7.5703125" customWidth="1"/>
    <col min="767" max="767" width="47.42578125" customWidth="1"/>
    <col min="768" max="768" width="14.85546875" customWidth="1"/>
    <col min="769" max="769" width="14" customWidth="1"/>
    <col min="770" max="770" width="14.140625" customWidth="1"/>
    <col min="771" max="771" width="14.7109375" customWidth="1"/>
    <col min="1021" max="1021" width="4.42578125" customWidth="1"/>
    <col min="1022" max="1022" width="7.5703125" customWidth="1"/>
    <col min="1023" max="1023" width="47.42578125" customWidth="1"/>
    <col min="1024" max="1024" width="14.85546875" customWidth="1"/>
    <col min="1025" max="1025" width="14" customWidth="1"/>
    <col min="1026" max="1026" width="14.140625" customWidth="1"/>
    <col min="1027" max="1027" width="14.7109375" customWidth="1"/>
    <col min="1277" max="1277" width="4.42578125" customWidth="1"/>
    <col min="1278" max="1278" width="7.5703125" customWidth="1"/>
    <col min="1279" max="1279" width="47.42578125" customWidth="1"/>
    <col min="1280" max="1280" width="14.85546875" customWidth="1"/>
    <col min="1281" max="1281" width="14" customWidth="1"/>
    <col min="1282" max="1282" width="14.140625" customWidth="1"/>
    <col min="1283" max="1283" width="14.7109375" customWidth="1"/>
    <col min="1533" max="1533" width="4.42578125" customWidth="1"/>
    <col min="1534" max="1534" width="7.5703125" customWidth="1"/>
    <col min="1535" max="1535" width="47.42578125" customWidth="1"/>
    <col min="1536" max="1536" width="14.85546875" customWidth="1"/>
    <col min="1537" max="1537" width="14" customWidth="1"/>
    <col min="1538" max="1538" width="14.140625" customWidth="1"/>
    <col min="1539" max="1539" width="14.7109375" customWidth="1"/>
    <col min="1789" max="1789" width="4.42578125" customWidth="1"/>
    <col min="1790" max="1790" width="7.5703125" customWidth="1"/>
    <col min="1791" max="1791" width="47.42578125" customWidth="1"/>
    <col min="1792" max="1792" width="14.85546875" customWidth="1"/>
    <col min="1793" max="1793" width="14" customWidth="1"/>
    <col min="1794" max="1794" width="14.140625" customWidth="1"/>
    <col min="1795" max="1795" width="14.7109375" customWidth="1"/>
    <col min="2045" max="2045" width="4.42578125" customWidth="1"/>
    <col min="2046" max="2046" width="7.5703125" customWidth="1"/>
    <col min="2047" max="2047" width="47.42578125" customWidth="1"/>
    <col min="2048" max="2048" width="14.85546875" customWidth="1"/>
    <col min="2049" max="2049" width="14" customWidth="1"/>
    <col min="2050" max="2050" width="14.140625" customWidth="1"/>
    <col min="2051" max="2051" width="14.7109375" customWidth="1"/>
    <col min="2301" max="2301" width="4.42578125" customWidth="1"/>
    <col min="2302" max="2302" width="7.5703125" customWidth="1"/>
    <col min="2303" max="2303" width="47.42578125" customWidth="1"/>
    <col min="2304" max="2304" width="14.85546875" customWidth="1"/>
    <col min="2305" max="2305" width="14" customWidth="1"/>
    <col min="2306" max="2306" width="14.140625" customWidth="1"/>
    <col min="2307" max="2307" width="14.7109375" customWidth="1"/>
    <col min="2557" max="2557" width="4.42578125" customWidth="1"/>
    <col min="2558" max="2558" width="7.5703125" customWidth="1"/>
    <col min="2559" max="2559" width="47.42578125" customWidth="1"/>
    <col min="2560" max="2560" width="14.85546875" customWidth="1"/>
    <col min="2561" max="2561" width="14" customWidth="1"/>
    <col min="2562" max="2562" width="14.140625" customWidth="1"/>
    <col min="2563" max="2563" width="14.7109375" customWidth="1"/>
    <col min="2813" max="2813" width="4.42578125" customWidth="1"/>
    <col min="2814" max="2814" width="7.5703125" customWidth="1"/>
    <col min="2815" max="2815" width="47.42578125" customWidth="1"/>
    <col min="2816" max="2816" width="14.85546875" customWidth="1"/>
    <col min="2817" max="2817" width="14" customWidth="1"/>
    <col min="2818" max="2818" width="14.140625" customWidth="1"/>
    <col min="2819" max="2819" width="14.7109375" customWidth="1"/>
    <col min="3069" max="3069" width="4.42578125" customWidth="1"/>
    <col min="3070" max="3070" width="7.5703125" customWidth="1"/>
    <col min="3071" max="3071" width="47.42578125" customWidth="1"/>
    <col min="3072" max="3072" width="14.85546875" customWidth="1"/>
    <col min="3073" max="3073" width="14" customWidth="1"/>
    <col min="3074" max="3074" width="14.140625" customWidth="1"/>
    <col min="3075" max="3075" width="14.7109375" customWidth="1"/>
    <col min="3325" max="3325" width="4.42578125" customWidth="1"/>
    <col min="3326" max="3326" width="7.5703125" customWidth="1"/>
    <col min="3327" max="3327" width="47.42578125" customWidth="1"/>
    <col min="3328" max="3328" width="14.85546875" customWidth="1"/>
    <col min="3329" max="3329" width="14" customWidth="1"/>
    <col min="3330" max="3330" width="14.140625" customWidth="1"/>
    <col min="3331" max="3331" width="14.7109375" customWidth="1"/>
    <col min="3581" max="3581" width="4.42578125" customWidth="1"/>
    <col min="3582" max="3582" width="7.5703125" customWidth="1"/>
    <col min="3583" max="3583" width="47.42578125" customWidth="1"/>
    <col min="3584" max="3584" width="14.85546875" customWidth="1"/>
    <col min="3585" max="3585" width="14" customWidth="1"/>
    <col min="3586" max="3586" width="14.140625" customWidth="1"/>
    <col min="3587" max="3587" width="14.7109375" customWidth="1"/>
    <col min="3837" max="3837" width="4.42578125" customWidth="1"/>
    <col min="3838" max="3838" width="7.5703125" customWidth="1"/>
    <col min="3839" max="3839" width="47.42578125" customWidth="1"/>
    <col min="3840" max="3840" width="14.85546875" customWidth="1"/>
    <col min="3841" max="3841" width="14" customWidth="1"/>
    <col min="3842" max="3842" width="14.140625" customWidth="1"/>
    <col min="3843" max="3843" width="14.7109375" customWidth="1"/>
    <col min="4093" max="4093" width="4.42578125" customWidth="1"/>
    <col min="4094" max="4094" width="7.5703125" customWidth="1"/>
    <col min="4095" max="4095" width="47.42578125" customWidth="1"/>
    <col min="4096" max="4096" width="14.85546875" customWidth="1"/>
    <col min="4097" max="4097" width="14" customWidth="1"/>
    <col min="4098" max="4098" width="14.140625" customWidth="1"/>
    <col min="4099" max="4099" width="14.7109375" customWidth="1"/>
    <col min="4349" max="4349" width="4.42578125" customWidth="1"/>
    <col min="4350" max="4350" width="7.5703125" customWidth="1"/>
    <col min="4351" max="4351" width="47.42578125" customWidth="1"/>
    <col min="4352" max="4352" width="14.85546875" customWidth="1"/>
    <col min="4353" max="4353" width="14" customWidth="1"/>
    <col min="4354" max="4354" width="14.140625" customWidth="1"/>
    <col min="4355" max="4355" width="14.7109375" customWidth="1"/>
    <col min="4605" max="4605" width="4.42578125" customWidth="1"/>
    <col min="4606" max="4606" width="7.5703125" customWidth="1"/>
    <col min="4607" max="4607" width="47.42578125" customWidth="1"/>
    <col min="4608" max="4608" width="14.85546875" customWidth="1"/>
    <col min="4609" max="4609" width="14" customWidth="1"/>
    <col min="4610" max="4610" width="14.140625" customWidth="1"/>
    <col min="4611" max="4611" width="14.7109375" customWidth="1"/>
    <col min="4861" max="4861" width="4.42578125" customWidth="1"/>
    <col min="4862" max="4862" width="7.5703125" customWidth="1"/>
    <col min="4863" max="4863" width="47.42578125" customWidth="1"/>
    <col min="4864" max="4864" width="14.85546875" customWidth="1"/>
    <col min="4865" max="4865" width="14" customWidth="1"/>
    <col min="4866" max="4866" width="14.140625" customWidth="1"/>
    <col min="4867" max="4867" width="14.7109375" customWidth="1"/>
    <col min="5117" max="5117" width="4.42578125" customWidth="1"/>
    <col min="5118" max="5118" width="7.5703125" customWidth="1"/>
    <col min="5119" max="5119" width="47.42578125" customWidth="1"/>
    <col min="5120" max="5120" width="14.85546875" customWidth="1"/>
    <col min="5121" max="5121" width="14" customWidth="1"/>
    <col min="5122" max="5122" width="14.140625" customWidth="1"/>
    <col min="5123" max="5123" width="14.7109375" customWidth="1"/>
    <col min="5373" max="5373" width="4.42578125" customWidth="1"/>
    <col min="5374" max="5374" width="7.5703125" customWidth="1"/>
    <col min="5375" max="5375" width="47.42578125" customWidth="1"/>
    <col min="5376" max="5376" width="14.85546875" customWidth="1"/>
    <col min="5377" max="5377" width="14" customWidth="1"/>
    <col min="5378" max="5378" width="14.140625" customWidth="1"/>
    <col min="5379" max="5379" width="14.7109375" customWidth="1"/>
    <col min="5629" max="5629" width="4.42578125" customWidth="1"/>
    <col min="5630" max="5630" width="7.5703125" customWidth="1"/>
    <col min="5631" max="5631" width="47.42578125" customWidth="1"/>
    <col min="5632" max="5632" width="14.85546875" customWidth="1"/>
    <col min="5633" max="5633" width="14" customWidth="1"/>
    <col min="5634" max="5634" width="14.140625" customWidth="1"/>
    <col min="5635" max="5635" width="14.7109375" customWidth="1"/>
    <col min="5885" max="5885" width="4.42578125" customWidth="1"/>
    <col min="5886" max="5886" width="7.5703125" customWidth="1"/>
    <col min="5887" max="5887" width="47.42578125" customWidth="1"/>
    <col min="5888" max="5888" width="14.85546875" customWidth="1"/>
    <col min="5889" max="5889" width="14" customWidth="1"/>
    <col min="5890" max="5890" width="14.140625" customWidth="1"/>
    <col min="5891" max="5891" width="14.7109375" customWidth="1"/>
    <col min="6141" max="6141" width="4.42578125" customWidth="1"/>
    <col min="6142" max="6142" width="7.5703125" customWidth="1"/>
    <col min="6143" max="6143" width="47.42578125" customWidth="1"/>
    <col min="6144" max="6144" width="14.85546875" customWidth="1"/>
    <col min="6145" max="6145" width="14" customWidth="1"/>
    <col min="6146" max="6146" width="14.140625" customWidth="1"/>
    <col min="6147" max="6147" width="14.7109375" customWidth="1"/>
    <col min="6397" max="6397" width="4.42578125" customWidth="1"/>
    <col min="6398" max="6398" width="7.5703125" customWidth="1"/>
    <col min="6399" max="6399" width="47.42578125" customWidth="1"/>
    <col min="6400" max="6400" width="14.85546875" customWidth="1"/>
    <col min="6401" max="6401" width="14" customWidth="1"/>
    <col min="6402" max="6402" width="14.140625" customWidth="1"/>
    <col min="6403" max="6403" width="14.7109375" customWidth="1"/>
    <col min="6653" max="6653" width="4.42578125" customWidth="1"/>
    <col min="6654" max="6654" width="7.5703125" customWidth="1"/>
    <col min="6655" max="6655" width="47.42578125" customWidth="1"/>
    <col min="6656" max="6656" width="14.85546875" customWidth="1"/>
    <col min="6657" max="6657" width="14" customWidth="1"/>
    <col min="6658" max="6658" width="14.140625" customWidth="1"/>
    <col min="6659" max="6659" width="14.7109375" customWidth="1"/>
    <col min="6909" max="6909" width="4.42578125" customWidth="1"/>
    <col min="6910" max="6910" width="7.5703125" customWidth="1"/>
    <col min="6911" max="6911" width="47.42578125" customWidth="1"/>
    <col min="6912" max="6912" width="14.85546875" customWidth="1"/>
    <col min="6913" max="6913" width="14" customWidth="1"/>
    <col min="6914" max="6914" width="14.140625" customWidth="1"/>
    <col min="6915" max="6915" width="14.7109375" customWidth="1"/>
    <col min="7165" max="7165" width="4.42578125" customWidth="1"/>
    <col min="7166" max="7166" width="7.5703125" customWidth="1"/>
    <col min="7167" max="7167" width="47.42578125" customWidth="1"/>
    <col min="7168" max="7168" width="14.85546875" customWidth="1"/>
    <col min="7169" max="7169" width="14" customWidth="1"/>
    <col min="7170" max="7170" width="14.140625" customWidth="1"/>
    <col min="7171" max="7171" width="14.7109375" customWidth="1"/>
    <col min="7421" max="7421" width="4.42578125" customWidth="1"/>
    <col min="7422" max="7422" width="7.5703125" customWidth="1"/>
    <col min="7423" max="7423" width="47.42578125" customWidth="1"/>
    <col min="7424" max="7424" width="14.85546875" customWidth="1"/>
    <col min="7425" max="7425" width="14" customWidth="1"/>
    <col min="7426" max="7426" width="14.140625" customWidth="1"/>
    <col min="7427" max="7427" width="14.7109375" customWidth="1"/>
    <col min="7677" max="7677" width="4.42578125" customWidth="1"/>
    <col min="7678" max="7678" width="7.5703125" customWidth="1"/>
    <col min="7679" max="7679" width="47.42578125" customWidth="1"/>
    <col min="7680" max="7680" width="14.85546875" customWidth="1"/>
    <col min="7681" max="7681" width="14" customWidth="1"/>
    <col min="7682" max="7682" width="14.140625" customWidth="1"/>
    <col min="7683" max="7683" width="14.7109375" customWidth="1"/>
    <col min="7933" max="7933" width="4.42578125" customWidth="1"/>
    <col min="7934" max="7934" width="7.5703125" customWidth="1"/>
    <col min="7935" max="7935" width="47.42578125" customWidth="1"/>
    <col min="7936" max="7936" width="14.85546875" customWidth="1"/>
    <col min="7937" max="7937" width="14" customWidth="1"/>
    <col min="7938" max="7938" width="14.140625" customWidth="1"/>
    <col min="7939" max="7939" width="14.7109375" customWidth="1"/>
    <col min="8189" max="8189" width="4.42578125" customWidth="1"/>
    <col min="8190" max="8190" width="7.5703125" customWidth="1"/>
    <col min="8191" max="8191" width="47.42578125" customWidth="1"/>
    <col min="8192" max="8192" width="14.85546875" customWidth="1"/>
    <col min="8193" max="8193" width="14" customWidth="1"/>
    <col min="8194" max="8194" width="14.140625" customWidth="1"/>
    <col min="8195" max="8195" width="14.7109375" customWidth="1"/>
    <col min="8445" max="8445" width="4.42578125" customWidth="1"/>
    <col min="8446" max="8446" width="7.5703125" customWidth="1"/>
    <col min="8447" max="8447" width="47.42578125" customWidth="1"/>
    <col min="8448" max="8448" width="14.85546875" customWidth="1"/>
    <col min="8449" max="8449" width="14" customWidth="1"/>
    <col min="8450" max="8450" width="14.140625" customWidth="1"/>
    <col min="8451" max="8451" width="14.7109375" customWidth="1"/>
    <col min="8701" max="8701" width="4.42578125" customWidth="1"/>
    <col min="8702" max="8702" width="7.5703125" customWidth="1"/>
    <col min="8703" max="8703" width="47.42578125" customWidth="1"/>
    <col min="8704" max="8704" width="14.85546875" customWidth="1"/>
    <col min="8705" max="8705" width="14" customWidth="1"/>
    <col min="8706" max="8706" width="14.140625" customWidth="1"/>
    <col min="8707" max="8707" width="14.7109375" customWidth="1"/>
    <col min="8957" max="8957" width="4.42578125" customWidth="1"/>
    <col min="8958" max="8958" width="7.5703125" customWidth="1"/>
    <col min="8959" max="8959" width="47.42578125" customWidth="1"/>
    <col min="8960" max="8960" width="14.85546875" customWidth="1"/>
    <col min="8961" max="8961" width="14" customWidth="1"/>
    <col min="8962" max="8962" width="14.140625" customWidth="1"/>
    <col min="8963" max="8963" width="14.7109375" customWidth="1"/>
    <col min="9213" max="9213" width="4.42578125" customWidth="1"/>
    <col min="9214" max="9214" width="7.5703125" customWidth="1"/>
    <col min="9215" max="9215" width="47.42578125" customWidth="1"/>
    <col min="9216" max="9216" width="14.85546875" customWidth="1"/>
    <col min="9217" max="9217" width="14" customWidth="1"/>
    <col min="9218" max="9218" width="14.140625" customWidth="1"/>
    <col min="9219" max="9219" width="14.7109375" customWidth="1"/>
    <col min="9469" max="9469" width="4.42578125" customWidth="1"/>
    <col min="9470" max="9470" width="7.5703125" customWidth="1"/>
    <col min="9471" max="9471" width="47.42578125" customWidth="1"/>
    <col min="9472" max="9472" width="14.85546875" customWidth="1"/>
    <col min="9473" max="9473" width="14" customWidth="1"/>
    <col min="9474" max="9474" width="14.140625" customWidth="1"/>
    <col min="9475" max="9475" width="14.7109375" customWidth="1"/>
    <col min="9725" max="9725" width="4.42578125" customWidth="1"/>
    <col min="9726" max="9726" width="7.5703125" customWidth="1"/>
    <col min="9727" max="9727" width="47.42578125" customWidth="1"/>
    <col min="9728" max="9728" width="14.85546875" customWidth="1"/>
    <col min="9729" max="9729" width="14" customWidth="1"/>
    <col min="9730" max="9730" width="14.140625" customWidth="1"/>
    <col min="9731" max="9731" width="14.7109375" customWidth="1"/>
    <col min="9981" max="9981" width="4.42578125" customWidth="1"/>
    <col min="9982" max="9982" width="7.5703125" customWidth="1"/>
    <col min="9983" max="9983" width="47.42578125" customWidth="1"/>
    <col min="9984" max="9984" width="14.85546875" customWidth="1"/>
    <col min="9985" max="9985" width="14" customWidth="1"/>
    <col min="9986" max="9986" width="14.140625" customWidth="1"/>
    <col min="9987" max="9987" width="14.7109375" customWidth="1"/>
    <col min="10237" max="10237" width="4.42578125" customWidth="1"/>
    <col min="10238" max="10238" width="7.5703125" customWidth="1"/>
    <col min="10239" max="10239" width="47.42578125" customWidth="1"/>
    <col min="10240" max="10240" width="14.85546875" customWidth="1"/>
    <col min="10241" max="10241" width="14" customWidth="1"/>
    <col min="10242" max="10242" width="14.140625" customWidth="1"/>
    <col min="10243" max="10243" width="14.7109375" customWidth="1"/>
    <col min="10493" max="10493" width="4.42578125" customWidth="1"/>
    <col min="10494" max="10494" width="7.5703125" customWidth="1"/>
    <col min="10495" max="10495" width="47.42578125" customWidth="1"/>
    <col min="10496" max="10496" width="14.85546875" customWidth="1"/>
    <col min="10497" max="10497" width="14" customWidth="1"/>
    <col min="10498" max="10498" width="14.140625" customWidth="1"/>
    <col min="10499" max="10499" width="14.7109375" customWidth="1"/>
    <col min="10749" max="10749" width="4.42578125" customWidth="1"/>
    <col min="10750" max="10750" width="7.5703125" customWidth="1"/>
    <col min="10751" max="10751" width="47.42578125" customWidth="1"/>
    <col min="10752" max="10752" width="14.85546875" customWidth="1"/>
    <col min="10753" max="10753" width="14" customWidth="1"/>
    <col min="10754" max="10754" width="14.140625" customWidth="1"/>
    <col min="10755" max="10755" width="14.7109375" customWidth="1"/>
    <col min="11005" max="11005" width="4.42578125" customWidth="1"/>
    <col min="11006" max="11006" width="7.5703125" customWidth="1"/>
    <col min="11007" max="11007" width="47.42578125" customWidth="1"/>
    <col min="11008" max="11008" width="14.85546875" customWidth="1"/>
    <col min="11009" max="11009" width="14" customWidth="1"/>
    <col min="11010" max="11010" width="14.140625" customWidth="1"/>
    <col min="11011" max="11011" width="14.7109375" customWidth="1"/>
    <col min="11261" max="11261" width="4.42578125" customWidth="1"/>
    <col min="11262" max="11262" width="7.5703125" customWidth="1"/>
    <col min="11263" max="11263" width="47.42578125" customWidth="1"/>
    <col min="11264" max="11264" width="14.85546875" customWidth="1"/>
    <col min="11265" max="11265" width="14" customWidth="1"/>
    <col min="11266" max="11266" width="14.140625" customWidth="1"/>
    <col min="11267" max="11267" width="14.7109375" customWidth="1"/>
    <col min="11517" max="11517" width="4.42578125" customWidth="1"/>
    <col min="11518" max="11518" width="7.5703125" customWidth="1"/>
    <col min="11519" max="11519" width="47.42578125" customWidth="1"/>
    <col min="11520" max="11520" width="14.85546875" customWidth="1"/>
    <col min="11521" max="11521" width="14" customWidth="1"/>
    <col min="11522" max="11522" width="14.140625" customWidth="1"/>
    <col min="11523" max="11523" width="14.7109375" customWidth="1"/>
    <col min="11773" max="11773" width="4.42578125" customWidth="1"/>
    <col min="11774" max="11774" width="7.5703125" customWidth="1"/>
    <col min="11775" max="11775" width="47.42578125" customWidth="1"/>
    <col min="11776" max="11776" width="14.85546875" customWidth="1"/>
    <col min="11777" max="11777" width="14" customWidth="1"/>
    <col min="11778" max="11778" width="14.140625" customWidth="1"/>
    <col min="11779" max="11779" width="14.7109375" customWidth="1"/>
    <col min="12029" max="12029" width="4.42578125" customWidth="1"/>
    <col min="12030" max="12030" width="7.5703125" customWidth="1"/>
    <col min="12031" max="12031" width="47.42578125" customWidth="1"/>
    <col min="12032" max="12032" width="14.85546875" customWidth="1"/>
    <col min="12033" max="12033" width="14" customWidth="1"/>
    <col min="12034" max="12034" width="14.140625" customWidth="1"/>
    <col min="12035" max="12035" width="14.7109375" customWidth="1"/>
    <col min="12285" max="12285" width="4.42578125" customWidth="1"/>
    <col min="12286" max="12286" width="7.5703125" customWidth="1"/>
    <col min="12287" max="12287" width="47.42578125" customWidth="1"/>
    <col min="12288" max="12288" width="14.85546875" customWidth="1"/>
    <col min="12289" max="12289" width="14" customWidth="1"/>
    <col min="12290" max="12290" width="14.140625" customWidth="1"/>
    <col min="12291" max="12291" width="14.7109375" customWidth="1"/>
    <col min="12541" max="12541" width="4.42578125" customWidth="1"/>
    <col min="12542" max="12542" width="7.5703125" customWidth="1"/>
    <col min="12543" max="12543" width="47.42578125" customWidth="1"/>
    <col min="12544" max="12544" width="14.85546875" customWidth="1"/>
    <col min="12545" max="12545" width="14" customWidth="1"/>
    <col min="12546" max="12546" width="14.140625" customWidth="1"/>
    <col min="12547" max="12547" width="14.7109375" customWidth="1"/>
    <col min="12797" max="12797" width="4.42578125" customWidth="1"/>
    <col min="12798" max="12798" width="7.5703125" customWidth="1"/>
    <col min="12799" max="12799" width="47.42578125" customWidth="1"/>
    <col min="12800" max="12800" width="14.85546875" customWidth="1"/>
    <col min="12801" max="12801" width="14" customWidth="1"/>
    <col min="12802" max="12802" width="14.140625" customWidth="1"/>
    <col min="12803" max="12803" width="14.7109375" customWidth="1"/>
    <col min="13053" max="13053" width="4.42578125" customWidth="1"/>
    <col min="13054" max="13054" width="7.5703125" customWidth="1"/>
    <col min="13055" max="13055" width="47.42578125" customWidth="1"/>
    <col min="13056" max="13056" width="14.85546875" customWidth="1"/>
    <col min="13057" max="13057" width="14" customWidth="1"/>
    <col min="13058" max="13058" width="14.140625" customWidth="1"/>
    <col min="13059" max="13059" width="14.7109375" customWidth="1"/>
    <col min="13309" max="13309" width="4.42578125" customWidth="1"/>
    <col min="13310" max="13310" width="7.5703125" customWidth="1"/>
    <col min="13311" max="13311" width="47.42578125" customWidth="1"/>
    <col min="13312" max="13312" width="14.85546875" customWidth="1"/>
    <col min="13313" max="13313" width="14" customWidth="1"/>
    <col min="13314" max="13314" width="14.140625" customWidth="1"/>
    <col min="13315" max="13315" width="14.7109375" customWidth="1"/>
    <col min="13565" max="13565" width="4.42578125" customWidth="1"/>
    <col min="13566" max="13566" width="7.5703125" customWidth="1"/>
    <col min="13567" max="13567" width="47.42578125" customWidth="1"/>
    <col min="13568" max="13568" width="14.85546875" customWidth="1"/>
    <col min="13569" max="13569" width="14" customWidth="1"/>
    <col min="13570" max="13570" width="14.140625" customWidth="1"/>
    <col min="13571" max="13571" width="14.7109375" customWidth="1"/>
    <col min="13821" max="13821" width="4.42578125" customWidth="1"/>
    <col min="13822" max="13822" width="7.5703125" customWidth="1"/>
    <col min="13823" max="13823" width="47.42578125" customWidth="1"/>
    <col min="13824" max="13824" width="14.85546875" customWidth="1"/>
    <col min="13825" max="13825" width="14" customWidth="1"/>
    <col min="13826" max="13826" width="14.140625" customWidth="1"/>
    <col min="13827" max="13827" width="14.7109375" customWidth="1"/>
    <col min="14077" max="14077" width="4.42578125" customWidth="1"/>
    <col min="14078" max="14078" width="7.5703125" customWidth="1"/>
    <col min="14079" max="14079" width="47.42578125" customWidth="1"/>
    <col min="14080" max="14080" width="14.85546875" customWidth="1"/>
    <col min="14081" max="14081" width="14" customWidth="1"/>
    <col min="14082" max="14082" width="14.140625" customWidth="1"/>
    <col min="14083" max="14083" width="14.7109375" customWidth="1"/>
    <col min="14333" max="14333" width="4.42578125" customWidth="1"/>
    <col min="14334" max="14334" width="7.5703125" customWidth="1"/>
    <col min="14335" max="14335" width="47.42578125" customWidth="1"/>
    <col min="14336" max="14336" width="14.85546875" customWidth="1"/>
    <col min="14337" max="14337" width="14" customWidth="1"/>
    <col min="14338" max="14338" width="14.140625" customWidth="1"/>
    <col min="14339" max="14339" width="14.7109375" customWidth="1"/>
    <col min="14589" max="14589" width="4.42578125" customWidth="1"/>
    <col min="14590" max="14590" width="7.5703125" customWidth="1"/>
    <col min="14591" max="14591" width="47.42578125" customWidth="1"/>
    <col min="14592" max="14592" width="14.85546875" customWidth="1"/>
    <col min="14593" max="14593" width="14" customWidth="1"/>
    <col min="14594" max="14594" width="14.140625" customWidth="1"/>
    <col min="14595" max="14595" width="14.7109375" customWidth="1"/>
    <col min="14845" max="14845" width="4.42578125" customWidth="1"/>
    <col min="14846" max="14846" width="7.5703125" customWidth="1"/>
    <col min="14847" max="14847" width="47.42578125" customWidth="1"/>
    <col min="14848" max="14848" width="14.85546875" customWidth="1"/>
    <col min="14849" max="14849" width="14" customWidth="1"/>
    <col min="14850" max="14850" width="14.140625" customWidth="1"/>
    <col min="14851" max="14851" width="14.7109375" customWidth="1"/>
    <col min="15101" max="15101" width="4.42578125" customWidth="1"/>
    <col min="15102" max="15102" width="7.5703125" customWidth="1"/>
    <col min="15103" max="15103" width="47.42578125" customWidth="1"/>
    <col min="15104" max="15104" width="14.85546875" customWidth="1"/>
    <col min="15105" max="15105" width="14" customWidth="1"/>
    <col min="15106" max="15106" width="14.140625" customWidth="1"/>
    <col min="15107" max="15107" width="14.7109375" customWidth="1"/>
    <col min="15357" max="15357" width="4.42578125" customWidth="1"/>
    <col min="15358" max="15358" width="7.5703125" customWidth="1"/>
    <col min="15359" max="15359" width="47.42578125" customWidth="1"/>
    <col min="15360" max="15360" width="14.85546875" customWidth="1"/>
    <col min="15361" max="15361" width="14" customWidth="1"/>
    <col min="15362" max="15362" width="14.140625" customWidth="1"/>
    <col min="15363" max="15363" width="14.7109375" customWidth="1"/>
    <col min="15613" max="15613" width="4.42578125" customWidth="1"/>
    <col min="15614" max="15614" width="7.5703125" customWidth="1"/>
    <col min="15615" max="15615" width="47.42578125" customWidth="1"/>
    <col min="15616" max="15616" width="14.85546875" customWidth="1"/>
    <col min="15617" max="15617" width="14" customWidth="1"/>
    <col min="15618" max="15618" width="14.140625" customWidth="1"/>
    <col min="15619" max="15619" width="14.7109375" customWidth="1"/>
    <col min="15869" max="15869" width="4.42578125" customWidth="1"/>
    <col min="15870" max="15870" width="7.5703125" customWidth="1"/>
    <col min="15871" max="15871" width="47.42578125" customWidth="1"/>
    <col min="15872" max="15872" width="14.85546875" customWidth="1"/>
    <col min="15873" max="15873" width="14" customWidth="1"/>
    <col min="15874" max="15874" width="14.140625" customWidth="1"/>
    <col min="15875" max="15875" width="14.7109375" customWidth="1"/>
    <col min="16125" max="16125" width="4.42578125" customWidth="1"/>
    <col min="16126" max="16126" width="7.5703125" customWidth="1"/>
    <col min="16127" max="16127" width="47.42578125" customWidth="1"/>
    <col min="16128" max="16128" width="14.85546875" customWidth="1"/>
    <col min="16129" max="16129" width="14" customWidth="1"/>
    <col min="16130" max="16130" width="14.140625" customWidth="1"/>
    <col min="16131" max="16131" width="14.7109375" customWidth="1"/>
  </cols>
  <sheetData>
    <row r="1" spans="1:7" ht="14.1" customHeight="1" x14ac:dyDescent="0.3">
      <c r="F1" s="204" t="s">
        <v>12</v>
      </c>
      <c r="G1" s="205"/>
    </row>
    <row r="2" spans="1:7" ht="14.1" customHeight="1" x14ac:dyDescent="0.3">
      <c r="F2" s="3" t="s">
        <v>129</v>
      </c>
      <c r="G2" s="205"/>
    </row>
    <row r="3" spans="1:7" ht="14.1" customHeight="1" x14ac:dyDescent="0.3">
      <c r="F3" s="3" t="s">
        <v>16</v>
      </c>
      <c r="G3" s="205"/>
    </row>
    <row r="4" spans="1:7" ht="14.1" customHeight="1" x14ac:dyDescent="0.3">
      <c r="F4" s="3" t="s">
        <v>130</v>
      </c>
      <c r="G4" s="205"/>
    </row>
    <row r="5" spans="1:7" s="208" customFormat="1" ht="12.75" x14ac:dyDescent="0.2">
      <c r="A5" s="206" t="s">
        <v>246</v>
      </c>
      <c r="B5" s="207"/>
      <c r="C5" s="207"/>
      <c r="D5" s="207"/>
      <c r="E5" s="207"/>
      <c r="F5" s="207"/>
      <c r="G5" s="207"/>
    </row>
    <row r="6" spans="1:7" s="208" customFormat="1" ht="12.75" x14ac:dyDescent="0.2">
      <c r="A6" s="206" t="s">
        <v>247</v>
      </c>
      <c r="B6" s="207"/>
      <c r="C6" s="207"/>
      <c r="D6" s="207"/>
      <c r="E6" s="207"/>
      <c r="F6" s="207"/>
      <c r="G6" s="207"/>
    </row>
    <row r="7" spans="1:7" x14ac:dyDescent="0.25">
      <c r="A7" s="209" t="s">
        <v>248</v>
      </c>
      <c r="B7" s="207"/>
      <c r="C7" s="207"/>
      <c r="D7" s="207"/>
      <c r="E7" s="207"/>
      <c r="F7" s="207"/>
      <c r="G7" s="207"/>
    </row>
    <row r="8" spans="1:7" x14ac:dyDescent="0.25">
      <c r="A8" s="313"/>
      <c r="B8" s="313"/>
      <c r="C8" s="313"/>
      <c r="D8" s="313"/>
      <c r="E8" s="313"/>
      <c r="F8" s="313"/>
      <c r="G8" s="210" t="s">
        <v>1</v>
      </c>
    </row>
    <row r="9" spans="1:7" ht="15" customHeight="1" x14ac:dyDescent="0.25">
      <c r="A9" s="211"/>
      <c r="B9" s="211"/>
      <c r="C9" s="211"/>
      <c r="D9" s="212" t="s">
        <v>249</v>
      </c>
      <c r="E9" s="213"/>
      <c r="F9" s="214"/>
      <c r="G9" s="212" t="s">
        <v>249</v>
      </c>
    </row>
    <row r="10" spans="1:7" x14ac:dyDescent="0.25">
      <c r="A10" s="215"/>
      <c r="B10" s="215" t="s">
        <v>3</v>
      </c>
      <c r="C10" s="215"/>
      <c r="D10" s="216" t="s">
        <v>250</v>
      </c>
      <c r="E10" s="216"/>
      <c r="F10" s="216"/>
      <c r="G10" s="216" t="s">
        <v>251</v>
      </c>
    </row>
    <row r="11" spans="1:7" ht="13.5" customHeight="1" x14ac:dyDescent="0.25">
      <c r="A11" s="215" t="s">
        <v>13</v>
      </c>
      <c r="B11" s="217"/>
      <c r="C11" s="215" t="s">
        <v>252</v>
      </c>
      <c r="D11" s="216" t="s">
        <v>253</v>
      </c>
      <c r="E11" s="216" t="s">
        <v>254</v>
      </c>
      <c r="F11" s="216" t="s">
        <v>255</v>
      </c>
      <c r="G11" s="216" t="s">
        <v>256</v>
      </c>
    </row>
    <row r="12" spans="1:7" ht="15.75" customHeight="1" x14ac:dyDescent="0.25">
      <c r="A12" s="217"/>
      <c r="B12" s="217" t="s">
        <v>4</v>
      </c>
      <c r="C12" s="217"/>
      <c r="D12" s="218" t="s">
        <v>257</v>
      </c>
      <c r="E12" s="218"/>
      <c r="F12" s="218"/>
      <c r="G12" s="218" t="s">
        <v>257</v>
      </c>
    </row>
    <row r="13" spans="1:7" ht="12" customHeight="1" x14ac:dyDescent="0.25">
      <c r="A13" s="219">
        <v>1</v>
      </c>
      <c r="B13" s="219">
        <v>2</v>
      </c>
      <c r="C13" s="219">
        <v>3</v>
      </c>
      <c r="D13" s="219">
        <v>4</v>
      </c>
      <c r="E13" s="219">
        <v>5</v>
      </c>
      <c r="F13" s="219">
        <v>6</v>
      </c>
      <c r="G13" s="219">
        <v>7</v>
      </c>
    </row>
    <row r="14" spans="1:7" s="313" customFormat="1" ht="12" customHeight="1" x14ac:dyDescent="0.25">
      <c r="A14" s="220"/>
      <c r="B14" s="221">
        <v>801</v>
      </c>
      <c r="C14" s="314"/>
      <c r="D14" s="315"/>
      <c r="E14" s="315"/>
      <c r="F14" s="315"/>
      <c r="G14" s="315"/>
    </row>
    <row r="15" spans="1:7" x14ac:dyDescent="0.25">
      <c r="A15" s="222" t="s">
        <v>258</v>
      </c>
      <c r="B15" s="223">
        <v>80101</v>
      </c>
      <c r="C15" s="224" t="s">
        <v>139</v>
      </c>
      <c r="D15" s="225">
        <v>170.99</v>
      </c>
      <c r="E15" s="225">
        <v>848751.21</v>
      </c>
      <c r="F15" s="225">
        <v>848922.2</v>
      </c>
      <c r="G15" s="225">
        <v>0</v>
      </c>
    </row>
    <row r="16" spans="1:7" x14ac:dyDescent="0.25">
      <c r="A16" s="222" t="s">
        <v>259</v>
      </c>
      <c r="B16" s="223">
        <v>80102</v>
      </c>
      <c r="C16" s="226" t="s">
        <v>260</v>
      </c>
      <c r="D16" s="227">
        <v>0</v>
      </c>
      <c r="E16" s="227">
        <v>7490</v>
      </c>
      <c r="F16" s="227">
        <v>7490</v>
      </c>
      <c r="G16" s="227">
        <v>0</v>
      </c>
    </row>
    <row r="17" spans="1:8" x14ac:dyDescent="0.25">
      <c r="A17" s="222" t="s">
        <v>261</v>
      </c>
      <c r="B17" s="223">
        <v>80104</v>
      </c>
      <c r="C17" s="226" t="s">
        <v>143</v>
      </c>
      <c r="D17" s="227">
        <v>5123.59</v>
      </c>
      <c r="E17" s="227">
        <v>3881615.59</v>
      </c>
      <c r="F17" s="227">
        <v>3886739.18</v>
      </c>
      <c r="G17" s="227">
        <v>0</v>
      </c>
    </row>
    <row r="18" spans="1:8" x14ac:dyDescent="0.25">
      <c r="A18" s="222" t="s">
        <v>262</v>
      </c>
      <c r="B18" s="223">
        <v>80115</v>
      </c>
      <c r="C18" s="226" t="s">
        <v>197</v>
      </c>
      <c r="D18" s="227">
        <v>3153.5</v>
      </c>
      <c r="E18" s="227">
        <v>1141508</v>
      </c>
      <c r="F18" s="227">
        <v>1144661.5</v>
      </c>
      <c r="G18" s="227">
        <v>0</v>
      </c>
    </row>
    <row r="19" spans="1:8" x14ac:dyDescent="0.25">
      <c r="A19" s="222" t="s">
        <v>263</v>
      </c>
      <c r="B19" s="223">
        <v>80120</v>
      </c>
      <c r="C19" s="226" t="s">
        <v>151</v>
      </c>
      <c r="D19" s="228">
        <v>68.55</v>
      </c>
      <c r="E19" s="227">
        <v>274036.99</v>
      </c>
      <c r="F19" s="227">
        <v>274105.53999999998</v>
      </c>
      <c r="G19" s="227">
        <v>0</v>
      </c>
    </row>
    <row r="20" spans="1:8" x14ac:dyDescent="0.25">
      <c r="A20" s="222" t="s">
        <v>264</v>
      </c>
      <c r="B20" s="223">
        <v>80132</v>
      </c>
      <c r="C20" s="226" t="s">
        <v>265</v>
      </c>
      <c r="D20" s="227">
        <v>2.87</v>
      </c>
      <c r="E20" s="227">
        <v>40992</v>
      </c>
      <c r="F20" s="227">
        <v>40994.870000000003</v>
      </c>
      <c r="G20" s="229">
        <v>0</v>
      </c>
    </row>
    <row r="21" spans="1:8" ht="14.25" customHeight="1" x14ac:dyDescent="0.25">
      <c r="A21" s="222" t="s">
        <v>266</v>
      </c>
      <c r="B21" s="223">
        <v>80134</v>
      </c>
      <c r="C21" s="226" t="s">
        <v>267</v>
      </c>
      <c r="D21" s="227">
        <v>0</v>
      </c>
      <c r="E21" s="227">
        <v>1300</v>
      </c>
      <c r="F21" s="227">
        <v>1300</v>
      </c>
      <c r="G21" s="227">
        <v>0</v>
      </c>
    </row>
    <row r="22" spans="1:8" ht="14.25" customHeight="1" x14ac:dyDescent="0.25">
      <c r="A22" s="230" t="s">
        <v>268</v>
      </c>
      <c r="B22" s="231">
        <v>80140</v>
      </c>
      <c r="C22" s="232" t="s">
        <v>269</v>
      </c>
      <c r="D22" s="227">
        <v>0</v>
      </c>
      <c r="E22" s="227">
        <v>145238</v>
      </c>
      <c r="F22" s="227">
        <v>145238</v>
      </c>
      <c r="G22" s="227">
        <v>0</v>
      </c>
    </row>
    <row r="23" spans="1:8" x14ac:dyDescent="0.25">
      <c r="A23" s="230" t="s">
        <v>270</v>
      </c>
      <c r="B23" s="231">
        <v>80142</v>
      </c>
      <c r="C23" s="232" t="s">
        <v>271</v>
      </c>
      <c r="D23" s="227">
        <v>0</v>
      </c>
      <c r="E23" s="227">
        <v>281040</v>
      </c>
      <c r="F23" s="227">
        <v>281040</v>
      </c>
      <c r="G23" s="227">
        <v>0</v>
      </c>
    </row>
    <row r="24" spans="1:8" x14ac:dyDescent="0.25">
      <c r="A24" s="230" t="s">
        <v>272</v>
      </c>
      <c r="B24" s="231">
        <v>80144</v>
      </c>
      <c r="C24" s="232" t="s">
        <v>273</v>
      </c>
      <c r="D24" s="227">
        <v>0</v>
      </c>
      <c r="E24" s="227">
        <v>63532</v>
      </c>
      <c r="F24" s="227">
        <v>63532</v>
      </c>
      <c r="G24" s="227">
        <v>0</v>
      </c>
      <c r="H24" t="s">
        <v>274</v>
      </c>
    </row>
    <row r="25" spans="1:8" x14ac:dyDescent="0.25">
      <c r="A25" s="233" t="s">
        <v>275</v>
      </c>
      <c r="B25" s="234">
        <v>80148</v>
      </c>
      <c r="C25" s="226" t="s">
        <v>276</v>
      </c>
      <c r="D25" s="235">
        <v>304.12</v>
      </c>
      <c r="E25" s="235">
        <v>2818291</v>
      </c>
      <c r="F25" s="235">
        <v>2818595.12</v>
      </c>
      <c r="G25" s="235">
        <v>0</v>
      </c>
    </row>
    <row r="26" spans="1:8" ht="12.75" customHeight="1" x14ac:dyDescent="0.25">
      <c r="A26" s="236"/>
      <c r="B26" s="237">
        <v>854</v>
      </c>
      <c r="C26" s="238"/>
      <c r="D26" s="239"/>
      <c r="E26" s="239"/>
      <c r="F26" s="239"/>
      <c r="G26" s="239"/>
    </row>
    <row r="27" spans="1:8" x14ac:dyDescent="0.25">
      <c r="A27" s="222" t="s">
        <v>258</v>
      </c>
      <c r="B27" s="223">
        <v>85410</v>
      </c>
      <c r="C27" s="226" t="s">
        <v>243</v>
      </c>
      <c r="D27" s="227">
        <v>20.57</v>
      </c>
      <c r="E27" s="227">
        <v>491700</v>
      </c>
      <c r="F27" s="227">
        <v>491720.57</v>
      </c>
      <c r="G27" s="227">
        <v>0</v>
      </c>
    </row>
    <row r="28" spans="1:8" x14ac:dyDescent="0.25">
      <c r="A28" s="222" t="s">
        <v>259</v>
      </c>
      <c r="B28" s="223">
        <v>85412</v>
      </c>
      <c r="C28" s="226" t="s">
        <v>277</v>
      </c>
      <c r="D28" s="227"/>
      <c r="E28" s="227"/>
      <c r="F28" s="227"/>
      <c r="G28" s="227"/>
    </row>
    <row r="29" spans="1:8" x14ac:dyDescent="0.25">
      <c r="A29" s="222"/>
      <c r="B29" s="223"/>
      <c r="C29" s="226" t="s">
        <v>278</v>
      </c>
      <c r="D29" s="227">
        <v>0</v>
      </c>
      <c r="E29" s="227">
        <v>9850</v>
      </c>
      <c r="F29" s="227">
        <v>9850</v>
      </c>
      <c r="G29" s="227">
        <v>0</v>
      </c>
    </row>
    <row r="30" spans="1:8" x14ac:dyDescent="0.25">
      <c r="A30" s="222" t="s">
        <v>261</v>
      </c>
      <c r="B30" s="223">
        <v>85417</v>
      </c>
      <c r="C30" s="240" t="s">
        <v>279</v>
      </c>
      <c r="D30" s="227">
        <v>0</v>
      </c>
      <c r="E30" s="227">
        <v>80400</v>
      </c>
      <c r="F30" s="227">
        <v>80400</v>
      </c>
      <c r="G30" s="227">
        <v>0</v>
      </c>
    </row>
    <row r="31" spans="1:8" x14ac:dyDescent="0.25">
      <c r="A31" s="241" t="s">
        <v>262</v>
      </c>
      <c r="B31" s="242">
        <v>85420</v>
      </c>
      <c r="C31" s="243" t="s">
        <v>280</v>
      </c>
      <c r="D31" s="244">
        <v>0</v>
      </c>
      <c r="E31" s="244">
        <v>21402</v>
      </c>
      <c r="F31" s="244">
        <v>21402</v>
      </c>
      <c r="G31" s="245">
        <v>0</v>
      </c>
    </row>
    <row r="32" spans="1:8" s="318" customFormat="1" ht="24.75" customHeight="1" x14ac:dyDescent="0.25">
      <c r="A32" s="246"/>
      <c r="B32" s="247"/>
      <c r="C32" s="316" t="s">
        <v>281</v>
      </c>
      <c r="D32" s="317">
        <f>SUM(D15:D31)</f>
        <v>8844.19</v>
      </c>
      <c r="E32" s="317">
        <f>SUM(E15:E31)</f>
        <v>10107146.789999999</v>
      </c>
      <c r="F32" s="317">
        <f>SUM(F15:F31)</f>
        <v>10115990.98</v>
      </c>
      <c r="G32" s="317">
        <f>SUM(G15:G31)</f>
        <v>0</v>
      </c>
    </row>
    <row r="34" spans="1:3" x14ac:dyDescent="0.25">
      <c r="A34" s="319"/>
      <c r="B34" s="319"/>
      <c r="C34" s="248"/>
    </row>
  </sheetData>
  <pageMargins left="0.78740157480314965" right="0.78740157480314965" top="0.74803149606299213" bottom="0.74803149606299213" header="0.31496062992125984" footer="0.31496062992125984"/>
  <pageSetup paperSize="9" firstPageNumber="50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0082-C1C7-4D4C-834A-50BEC29E2076}">
  <dimension ref="A1:BQ203"/>
  <sheetViews>
    <sheetView zoomScale="140" zoomScaleNormal="140" workbookViewId="0"/>
  </sheetViews>
  <sheetFormatPr defaultRowHeight="15" x14ac:dyDescent="0.25"/>
  <cols>
    <col min="1" max="1" width="4.85546875" style="313" customWidth="1"/>
    <col min="2" max="2" width="33.42578125" style="313" customWidth="1"/>
    <col min="3" max="3" width="8.5703125" style="313" customWidth="1"/>
    <col min="4" max="4" width="9.42578125" style="313" customWidth="1"/>
    <col min="5" max="5" width="8.140625" style="313" customWidth="1"/>
    <col min="6" max="6" width="13" customWidth="1"/>
    <col min="7" max="7" width="12.85546875" customWidth="1"/>
    <col min="70" max="246" width="9.140625" style="313"/>
    <col min="247" max="247" width="5.28515625" style="313" customWidth="1"/>
    <col min="248" max="248" width="8" style="313" customWidth="1"/>
    <col min="249" max="249" width="5.85546875" style="313" customWidth="1"/>
    <col min="250" max="250" width="9.42578125" style="313" customWidth="1"/>
    <col min="251" max="251" width="11.28515625" style="313" customWidth="1"/>
    <col min="252" max="252" width="11" style="313" customWidth="1"/>
    <col min="253" max="253" width="13.140625" style="313" customWidth="1"/>
    <col min="254" max="254" width="11.7109375" style="313" customWidth="1"/>
    <col min="255" max="255" width="11.140625" style="313" customWidth="1"/>
    <col min="256" max="256" width="11.7109375" style="313" customWidth="1"/>
    <col min="257" max="502" width="9.140625" style="313"/>
    <col min="503" max="503" width="5.28515625" style="313" customWidth="1"/>
    <col min="504" max="504" width="8" style="313" customWidth="1"/>
    <col min="505" max="505" width="5.85546875" style="313" customWidth="1"/>
    <col min="506" max="506" width="9.42578125" style="313" customWidth="1"/>
    <col min="507" max="507" width="11.28515625" style="313" customWidth="1"/>
    <col min="508" max="508" width="11" style="313" customWidth="1"/>
    <col min="509" max="509" width="13.140625" style="313" customWidth="1"/>
    <col min="510" max="510" width="11.7109375" style="313" customWidth="1"/>
    <col min="511" max="511" width="11.140625" style="313" customWidth="1"/>
    <col min="512" max="512" width="11.7109375" style="313" customWidth="1"/>
    <col min="513" max="758" width="9.140625" style="313"/>
    <col min="759" max="759" width="5.28515625" style="313" customWidth="1"/>
    <col min="760" max="760" width="8" style="313" customWidth="1"/>
    <col min="761" max="761" width="5.85546875" style="313" customWidth="1"/>
    <col min="762" max="762" width="9.42578125" style="313" customWidth="1"/>
    <col min="763" max="763" width="11.28515625" style="313" customWidth="1"/>
    <col min="764" max="764" width="11" style="313" customWidth="1"/>
    <col min="765" max="765" width="13.140625" style="313" customWidth="1"/>
    <col min="766" max="766" width="11.7109375" style="313" customWidth="1"/>
    <col min="767" max="767" width="11.140625" style="313" customWidth="1"/>
    <col min="768" max="768" width="11.7109375" style="313" customWidth="1"/>
    <col min="769" max="1014" width="9.140625" style="313"/>
    <col min="1015" max="1015" width="5.28515625" style="313" customWidth="1"/>
    <col min="1016" max="1016" width="8" style="313" customWidth="1"/>
    <col min="1017" max="1017" width="5.85546875" style="313" customWidth="1"/>
    <col min="1018" max="1018" width="9.42578125" style="313" customWidth="1"/>
    <col min="1019" max="1019" width="11.28515625" style="313" customWidth="1"/>
    <col min="1020" max="1020" width="11" style="313" customWidth="1"/>
    <col min="1021" max="1021" width="13.140625" style="313" customWidth="1"/>
    <col min="1022" max="1022" width="11.7109375" style="313" customWidth="1"/>
    <col min="1023" max="1023" width="11.140625" style="313" customWidth="1"/>
    <col min="1024" max="1024" width="11.7109375" style="313" customWidth="1"/>
    <col min="1025" max="1270" width="9.140625" style="313"/>
    <col min="1271" max="1271" width="5.28515625" style="313" customWidth="1"/>
    <col min="1272" max="1272" width="8" style="313" customWidth="1"/>
    <col min="1273" max="1273" width="5.85546875" style="313" customWidth="1"/>
    <col min="1274" max="1274" width="9.42578125" style="313" customWidth="1"/>
    <col min="1275" max="1275" width="11.28515625" style="313" customWidth="1"/>
    <col min="1276" max="1276" width="11" style="313" customWidth="1"/>
    <col min="1277" max="1277" width="13.140625" style="313" customWidth="1"/>
    <col min="1278" max="1278" width="11.7109375" style="313" customWidth="1"/>
    <col min="1279" max="1279" width="11.140625" style="313" customWidth="1"/>
    <col min="1280" max="1280" width="11.7109375" style="313" customWidth="1"/>
    <col min="1281" max="1526" width="9.140625" style="313"/>
    <col min="1527" max="1527" width="5.28515625" style="313" customWidth="1"/>
    <col min="1528" max="1528" width="8" style="313" customWidth="1"/>
    <col min="1529" max="1529" width="5.85546875" style="313" customWidth="1"/>
    <col min="1530" max="1530" width="9.42578125" style="313" customWidth="1"/>
    <col min="1531" max="1531" width="11.28515625" style="313" customWidth="1"/>
    <col min="1532" max="1532" width="11" style="313" customWidth="1"/>
    <col min="1533" max="1533" width="13.140625" style="313" customWidth="1"/>
    <col min="1534" max="1534" width="11.7109375" style="313" customWidth="1"/>
    <col min="1535" max="1535" width="11.140625" style="313" customWidth="1"/>
    <col min="1536" max="1536" width="11.7109375" style="313" customWidth="1"/>
    <col min="1537" max="1782" width="9.140625" style="313"/>
    <col min="1783" max="1783" width="5.28515625" style="313" customWidth="1"/>
    <col min="1784" max="1784" width="8" style="313" customWidth="1"/>
    <col min="1785" max="1785" width="5.85546875" style="313" customWidth="1"/>
    <col min="1786" max="1786" width="9.42578125" style="313" customWidth="1"/>
    <col min="1787" max="1787" width="11.28515625" style="313" customWidth="1"/>
    <col min="1788" max="1788" width="11" style="313" customWidth="1"/>
    <col min="1789" max="1789" width="13.140625" style="313" customWidth="1"/>
    <col min="1790" max="1790" width="11.7109375" style="313" customWidth="1"/>
    <col min="1791" max="1791" width="11.140625" style="313" customWidth="1"/>
    <col min="1792" max="1792" width="11.7109375" style="313" customWidth="1"/>
    <col min="1793" max="2038" width="9.140625" style="313"/>
    <col min="2039" max="2039" width="5.28515625" style="313" customWidth="1"/>
    <col min="2040" max="2040" width="8" style="313" customWidth="1"/>
    <col min="2041" max="2041" width="5.85546875" style="313" customWidth="1"/>
    <col min="2042" max="2042" width="9.42578125" style="313" customWidth="1"/>
    <col min="2043" max="2043" width="11.28515625" style="313" customWidth="1"/>
    <col min="2044" max="2044" width="11" style="313" customWidth="1"/>
    <col min="2045" max="2045" width="13.140625" style="313" customWidth="1"/>
    <col min="2046" max="2046" width="11.7109375" style="313" customWidth="1"/>
    <col min="2047" max="2047" width="11.140625" style="313" customWidth="1"/>
    <col min="2048" max="2048" width="11.7109375" style="313" customWidth="1"/>
    <col min="2049" max="2294" width="9.140625" style="313"/>
    <col min="2295" max="2295" width="5.28515625" style="313" customWidth="1"/>
    <col min="2296" max="2296" width="8" style="313" customWidth="1"/>
    <col min="2297" max="2297" width="5.85546875" style="313" customWidth="1"/>
    <col min="2298" max="2298" width="9.42578125" style="313" customWidth="1"/>
    <col min="2299" max="2299" width="11.28515625" style="313" customWidth="1"/>
    <col min="2300" max="2300" width="11" style="313" customWidth="1"/>
    <col min="2301" max="2301" width="13.140625" style="313" customWidth="1"/>
    <col min="2302" max="2302" width="11.7109375" style="313" customWidth="1"/>
    <col min="2303" max="2303" width="11.140625" style="313" customWidth="1"/>
    <col min="2304" max="2304" width="11.7109375" style="313" customWidth="1"/>
    <col min="2305" max="2550" width="9.140625" style="313"/>
    <col min="2551" max="2551" width="5.28515625" style="313" customWidth="1"/>
    <col min="2552" max="2552" width="8" style="313" customWidth="1"/>
    <col min="2553" max="2553" width="5.85546875" style="313" customWidth="1"/>
    <col min="2554" max="2554" width="9.42578125" style="313" customWidth="1"/>
    <col min="2555" max="2555" width="11.28515625" style="313" customWidth="1"/>
    <col min="2556" max="2556" width="11" style="313" customWidth="1"/>
    <col min="2557" max="2557" width="13.140625" style="313" customWidth="1"/>
    <col min="2558" max="2558" width="11.7109375" style="313" customWidth="1"/>
    <col min="2559" max="2559" width="11.140625" style="313" customWidth="1"/>
    <col min="2560" max="2560" width="11.7109375" style="313" customWidth="1"/>
    <col min="2561" max="2806" width="9.140625" style="313"/>
    <col min="2807" max="2807" width="5.28515625" style="313" customWidth="1"/>
    <col min="2808" max="2808" width="8" style="313" customWidth="1"/>
    <col min="2809" max="2809" width="5.85546875" style="313" customWidth="1"/>
    <col min="2810" max="2810" width="9.42578125" style="313" customWidth="1"/>
    <col min="2811" max="2811" width="11.28515625" style="313" customWidth="1"/>
    <col min="2812" max="2812" width="11" style="313" customWidth="1"/>
    <col min="2813" max="2813" width="13.140625" style="313" customWidth="1"/>
    <col min="2814" max="2814" width="11.7109375" style="313" customWidth="1"/>
    <col min="2815" max="2815" width="11.140625" style="313" customWidth="1"/>
    <col min="2816" max="2816" width="11.7109375" style="313" customWidth="1"/>
    <col min="2817" max="3062" width="9.140625" style="313"/>
    <col min="3063" max="3063" width="5.28515625" style="313" customWidth="1"/>
    <col min="3064" max="3064" width="8" style="313" customWidth="1"/>
    <col min="3065" max="3065" width="5.85546875" style="313" customWidth="1"/>
    <col min="3066" max="3066" width="9.42578125" style="313" customWidth="1"/>
    <col min="3067" max="3067" width="11.28515625" style="313" customWidth="1"/>
    <col min="3068" max="3068" width="11" style="313" customWidth="1"/>
    <col min="3069" max="3069" width="13.140625" style="313" customWidth="1"/>
    <col min="3070" max="3070" width="11.7109375" style="313" customWidth="1"/>
    <col min="3071" max="3071" width="11.140625" style="313" customWidth="1"/>
    <col min="3072" max="3072" width="11.7109375" style="313" customWidth="1"/>
    <col min="3073" max="3318" width="9.140625" style="313"/>
    <col min="3319" max="3319" width="5.28515625" style="313" customWidth="1"/>
    <col min="3320" max="3320" width="8" style="313" customWidth="1"/>
    <col min="3321" max="3321" width="5.85546875" style="313" customWidth="1"/>
    <col min="3322" max="3322" width="9.42578125" style="313" customWidth="1"/>
    <col min="3323" max="3323" width="11.28515625" style="313" customWidth="1"/>
    <col min="3324" max="3324" width="11" style="313" customWidth="1"/>
    <col min="3325" max="3325" width="13.140625" style="313" customWidth="1"/>
    <col min="3326" max="3326" width="11.7109375" style="313" customWidth="1"/>
    <col min="3327" max="3327" width="11.140625" style="313" customWidth="1"/>
    <col min="3328" max="3328" width="11.7109375" style="313" customWidth="1"/>
    <col min="3329" max="3574" width="9.140625" style="313"/>
    <col min="3575" max="3575" width="5.28515625" style="313" customWidth="1"/>
    <col min="3576" max="3576" width="8" style="313" customWidth="1"/>
    <col min="3577" max="3577" width="5.85546875" style="313" customWidth="1"/>
    <col min="3578" max="3578" width="9.42578125" style="313" customWidth="1"/>
    <col min="3579" max="3579" width="11.28515625" style="313" customWidth="1"/>
    <col min="3580" max="3580" width="11" style="313" customWidth="1"/>
    <col min="3581" max="3581" width="13.140625" style="313" customWidth="1"/>
    <col min="3582" max="3582" width="11.7109375" style="313" customWidth="1"/>
    <col min="3583" max="3583" width="11.140625" style="313" customWidth="1"/>
    <col min="3584" max="3584" width="11.7109375" style="313" customWidth="1"/>
    <col min="3585" max="3830" width="9.140625" style="313"/>
    <col min="3831" max="3831" width="5.28515625" style="313" customWidth="1"/>
    <col min="3832" max="3832" width="8" style="313" customWidth="1"/>
    <col min="3833" max="3833" width="5.85546875" style="313" customWidth="1"/>
    <col min="3834" max="3834" width="9.42578125" style="313" customWidth="1"/>
    <col min="3835" max="3835" width="11.28515625" style="313" customWidth="1"/>
    <col min="3836" max="3836" width="11" style="313" customWidth="1"/>
    <col min="3837" max="3837" width="13.140625" style="313" customWidth="1"/>
    <col min="3838" max="3838" width="11.7109375" style="313" customWidth="1"/>
    <col min="3839" max="3839" width="11.140625" style="313" customWidth="1"/>
    <col min="3840" max="3840" width="11.7109375" style="313" customWidth="1"/>
    <col min="3841" max="4086" width="9.140625" style="313"/>
    <col min="4087" max="4087" width="5.28515625" style="313" customWidth="1"/>
    <col min="4088" max="4088" width="8" style="313" customWidth="1"/>
    <col min="4089" max="4089" width="5.85546875" style="313" customWidth="1"/>
    <col min="4090" max="4090" width="9.42578125" style="313" customWidth="1"/>
    <col min="4091" max="4091" width="11.28515625" style="313" customWidth="1"/>
    <col min="4092" max="4092" width="11" style="313" customWidth="1"/>
    <col min="4093" max="4093" width="13.140625" style="313" customWidth="1"/>
    <col min="4094" max="4094" width="11.7109375" style="313" customWidth="1"/>
    <col min="4095" max="4095" width="11.140625" style="313" customWidth="1"/>
    <col min="4096" max="4096" width="11.7109375" style="313" customWidth="1"/>
    <col min="4097" max="4342" width="9.140625" style="313"/>
    <col min="4343" max="4343" width="5.28515625" style="313" customWidth="1"/>
    <col min="4344" max="4344" width="8" style="313" customWidth="1"/>
    <col min="4345" max="4345" width="5.85546875" style="313" customWidth="1"/>
    <col min="4346" max="4346" width="9.42578125" style="313" customWidth="1"/>
    <col min="4347" max="4347" width="11.28515625" style="313" customWidth="1"/>
    <col min="4348" max="4348" width="11" style="313" customWidth="1"/>
    <col min="4349" max="4349" width="13.140625" style="313" customWidth="1"/>
    <col min="4350" max="4350" width="11.7109375" style="313" customWidth="1"/>
    <col min="4351" max="4351" width="11.140625" style="313" customWidth="1"/>
    <col min="4352" max="4352" width="11.7109375" style="313" customWidth="1"/>
    <col min="4353" max="4598" width="9.140625" style="313"/>
    <col min="4599" max="4599" width="5.28515625" style="313" customWidth="1"/>
    <col min="4600" max="4600" width="8" style="313" customWidth="1"/>
    <col min="4601" max="4601" width="5.85546875" style="313" customWidth="1"/>
    <col min="4602" max="4602" width="9.42578125" style="313" customWidth="1"/>
    <col min="4603" max="4603" width="11.28515625" style="313" customWidth="1"/>
    <col min="4604" max="4604" width="11" style="313" customWidth="1"/>
    <col min="4605" max="4605" width="13.140625" style="313" customWidth="1"/>
    <col min="4606" max="4606" width="11.7109375" style="313" customWidth="1"/>
    <col min="4607" max="4607" width="11.140625" style="313" customWidth="1"/>
    <col min="4608" max="4608" width="11.7109375" style="313" customWidth="1"/>
    <col min="4609" max="4854" width="9.140625" style="313"/>
    <col min="4855" max="4855" width="5.28515625" style="313" customWidth="1"/>
    <col min="4856" max="4856" width="8" style="313" customWidth="1"/>
    <col min="4857" max="4857" width="5.85546875" style="313" customWidth="1"/>
    <col min="4858" max="4858" width="9.42578125" style="313" customWidth="1"/>
    <col min="4859" max="4859" width="11.28515625" style="313" customWidth="1"/>
    <col min="4860" max="4860" width="11" style="313" customWidth="1"/>
    <col min="4861" max="4861" width="13.140625" style="313" customWidth="1"/>
    <col min="4862" max="4862" width="11.7109375" style="313" customWidth="1"/>
    <col min="4863" max="4863" width="11.140625" style="313" customWidth="1"/>
    <col min="4864" max="4864" width="11.7109375" style="313" customWidth="1"/>
    <col min="4865" max="5110" width="9.140625" style="313"/>
    <col min="5111" max="5111" width="5.28515625" style="313" customWidth="1"/>
    <col min="5112" max="5112" width="8" style="313" customWidth="1"/>
    <col min="5113" max="5113" width="5.85546875" style="313" customWidth="1"/>
    <col min="5114" max="5114" width="9.42578125" style="313" customWidth="1"/>
    <col min="5115" max="5115" width="11.28515625" style="313" customWidth="1"/>
    <col min="5116" max="5116" width="11" style="313" customWidth="1"/>
    <col min="5117" max="5117" width="13.140625" style="313" customWidth="1"/>
    <col min="5118" max="5118" width="11.7109375" style="313" customWidth="1"/>
    <col min="5119" max="5119" width="11.140625" style="313" customWidth="1"/>
    <col min="5120" max="5120" width="11.7109375" style="313" customWidth="1"/>
    <col min="5121" max="5366" width="9.140625" style="313"/>
    <col min="5367" max="5367" width="5.28515625" style="313" customWidth="1"/>
    <col min="5368" max="5368" width="8" style="313" customWidth="1"/>
    <col min="5369" max="5369" width="5.85546875" style="313" customWidth="1"/>
    <col min="5370" max="5370" width="9.42578125" style="313" customWidth="1"/>
    <col min="5371" max="5371" width="11.28515625" style="313" customWidth="1"/>
    <col min="5372" max="5372" width="11" style="313" customWidth="1"/>
    <col min="5373" max="5373" width="13.140625" style="313" customWidth="1"/>
    <col min="5374" max="5374" width="11.7109375" style="313" customWidth="1"/>
    <col min="5375" max="5375" width="11.140625" style="313" customWidth="1"/>
    <col min="5376" max="5376" width="11.7109375" style="313" customWidth="1"/>
    <col min="5377" max="5622" width="9.140625" style="313"/>
    <col min="5623" max="5623" width="5.28515625" style="313" customWidth="1"/>
    <col min="5624" max="5624" width="8" style="313" customWidth="1"/>
    <col min="5625" max="5625" width="5.85546875" style="313" customWidth="1"/>
    <col min="5626" max="5626" width="9.42578125" style="313" customWidth="1"/>
    <col min="5627" max="5627" width="11.28515625" style="313" customWidth="1"/>
    <col min="5628" max="5628" width="11" style="313" customWidth="1"/>
    <col min="5629" max="5629" width="13.140625" style="313" customWidth="1"/>
    <col min="5630" max="5630" width="11.7109375" style="313" customWidth="1"/>
    <col min="5631" max="5631" width="11.140625" style="313" customWidth="1"/>
    <col min="5632" max="5632" width="11.7109375" style="313" customWidth="1"/>
    <col min="5633" max="5878" width="9.140625" style="313"/>
    <col min="5879" max="5879" width="5.28515625" style="313" customWidth="1"/>
    <col min="5880" max="5880" width="8" style="313" customWidth="1"/>
    <col min="5881" max="5881" width="5.85546875" style="313" customWidth="1"/>
    <col min="5882" max="5882" width="9.42578125" style="313" customWidth="1"/>
    <col min="5883" max="5883" width="11.28515625" style="313" customWidth="1"/>
    <col min="5884" max="5884" width="11" style="313" customWidth="1"/>
    <col min="5885" max="5885" width="13.140625" style="313" customWidth="1"/>
    <col min="5886" max="5886" width="11.7109375" style="313" customWidth="1"/>
    <col min="5887" max="5887" width="11.140625" style="313" customWidth="1"/>
    <col min="5888" max="5888" width="11.7109375" style="313" customWidth="1"/>
    <col min="5889" max="6134" width="9.140625" style="313"/>
    <col min="6135" max="6135" width="5.28515625" style="313" customWidth="1"/>
    <col min="6136" max="6136" width="8" style="313" customWidth="1"/>
    <col min="6137" max="6137" width="5.85546875" style="313" customWidth="1"/>
    <col min="6138" max="6138" width="9.42578125" style="313" customWidth="1"/>
    <col min="6139" max="6139" width="11.28515625" style="313" customWidth="1"/>
    <col min="6140" max="6140" width="11" style="313" customWidth="1"/>
    <col min="6141" max="6141" width="13.140625" style="313" customWidth="1"/>
    <col min="6142" max="6142" width="11.7109375" style="313" customWidth="1"/>
    <col min="6143" max="6143" width="11.140625" style="313" customWidth="1"/>
    <col min="6144" max="6144" width="11.7109375" style="313" customWidth="1"/>
    <col min="6145" max="6390" width="9.140625" style="313"/>
    <col min="6391" max="6391" width="5.28515625" style="313" customWidth="1"/>
    <col min="6392" max="6392" width="8" style="313" customWidth="1"/>
    <col min="6393" max="6393" width="5.85546875" style="313" customWidth="1"/>
    <col min="6394" max="6394" width="9.42578125" style="313" customWidth="1"/>
    <col min="6395" max="6395" width="11.28515625" style="313" customWidth="1"/>
    <col min="6396" max="6396" width="11" style="313" customWidth="1"/>
    <col min="6397" max="6397" width="13.140625" style="313" customWidth="1"/>
    <col min="6398" max="6398" width="11.7109375" style="313" customWidth="1"/>
    <col min="6399" max="6399" width="11.140625" style="313" customWidth="1"/>
    <col min="6400" max="6400" width="11.7109375" style="313" customWidth="1"/>
    <col min="6401" max="6646" width="9.140625" style="313"/>
    <col min="6647" max="6647" width="5.28515625" style="313" customWidth="1"/>
    <col min="6648" max="6648" width="8" style="313" customWidth="1"/>
    <col min="6649" max="6649" width="5.85546875" style="313" customWidth="1"/>
    <col min="6650" max="6650" width="9.42578125" style="313" customWidth="1"/>
    <col min="6651" max="6651" width="11.28515625" style="313" customWidth="1"/>
    <col min="6652" max="6652" width="11" style="313" customWidth="1"/>
    <col min="6653" max="6653" width="13.140625" style="313" customWidth="1"/>
    <col min="6654" max="6654" width="11.7109375" style="313" customWidth="1"/>
    <col min="6655" max="6655" width="11.140625" style="313" customWidth="1"/>
    <col min="6656" max="6656" width="11.7109375" style="313" customWidth="1"/>
    <col min="6657" max="6902" width="9.140625" style="313"/>
    <col min="6903" max="6903" width="5.28515625" style="313" customWidth="1"/>
    <col min="6904" max="6904" width="8" style="313" customWidth="1"/>
    <col min="6905" max="6905" width="5.85546875" style="313" customWidth="1"/>
    <col min="6906" max="6906" width="9.42578125" style="313" customWidth="1"/>
    <col min="6907" max="6907" width="11.28515625" style="313" customWidth="1"/>
    <col min="6908" max="6908" width="11" style="313" customWidth="1"/>
    <col min="6909" max="6909" width="13.140625" style="313" customWidth="1"/>
    <col min="6910" max="6910" width="11.7109375" style="313" customWidth="1"/>
    <col min="6911" max="6911" width="11.140625" style="313" customWidth="1"/>
    <col min="6912" max="6912" width="11.7109375" style="313" customWidth="1"/>
    <col min="6913" max="7158" width="9.140625" style="313"/>
    <col min="7159" max="7159" width="5.28515625" style="313" customWidth="1"/>
    <col min="7160" max="7160" width="8" style="313" customWidth="1"/>
    <col min="7161" max="7161" width="5.85546875" style="313" customWidth="1"/>
    <col min="7162" max="7162" width="9.42578125" style="313" customWidth="1"/>
    <col min="7163" max="7163" width="11.28515625" style="313" customWidth="1"/>
    <col min="7164" max="7164" width="11" style="313" customWidth="1"/>
    <col min="7165" max="7165" width="13.140625" style="313" customWidth="1"/>
    <col min="7166" max="7166" width="11.7109375" style="313" customWidth="1"/>
    <col min="7167" max="7167" width="11.140625" style="313" customWidth="1"/>
    <col min="7168" max="7168" width="11.7109375" style="313" customWidth="1"/>
    <col min="7169" max="7414" width="9.140625" style="313"/>
    <col min="7415" max="7415" width="5.28515625" style="313" customWidth="1"/>
    <col min="7416" max="7416" width="8" style="313" customWidth="1"/>
    <col min="7417" max="7417" width="5.85546875" style="313" customWidth="1"/>
    <col min="7418" max="7418" width="9.42578125" style="313" customWidth="1"/>
    <col min="7419" max="7419" width="11.28515625" style="313" customWidth="1"/>
    <col min="7420" max="7420" width="11" style="313" customWidth="1"/>
    <col min="7421" max="7421" width="13.140625" style="313" customWidth="1"/>
    <col min="7422" max="7422" width="11.7109375" style="313" customWidth="1"/>
    <col min="7423" max="7423" width="11.140625" style="313" customWidth="1"/>
    <col min="7424" max="7424" width="11.7109375" style="313" customWidth="1"/>
    <col min="7425" max="7670" width="9.140625" style="313"/>
    <col min="7671" max="7671" width="5.28515625" style="313" customWidth="1"/>
    <col min="7672" max="7672" width="8" style="313" customWidth="1"/>
    <col min="7673" max="7673" width="5.85546875" style="313" customWidth="1"/>
    <col min="7674" max="7674" width="9.42578125" style="313" customWidth="1"/>
    <col min="7675" max="7675" width="11.28515625" style="313" customWidth="1"/>
    <col min="7676" max="7676" width="11" style="313" customWidth="1"/>
    <col min="7677" max="7677" width="13.140625" style="313" customWidth="1"/>
    <col min="7678" max="7678" width="11.7109375" style="313" customWidth="1"/>
    <col min="7679" max="7679" width="11.140625" style="313" customWidth="1"/>
    <col min="7680" max="7680" width="11.7109375" style="313" customWidth="1"/>
    <col min="7681" max="7926" width="9.140625" style="313"/>
    <col min="7927" max="7927" width="5.28515625" style="313" customWidth="1"/>
    <col min="7928" max="7928" width="8" style="313" customWidth="1"/>
    <col min="7929" max="7929" width="5.85546875" style="313" customWidth="1"/>
    <col min="7930" max="7930" width="9.42578125" style="313" customWidth="1"/>
    <col min="7931" max="7931" width="11.28515625" style="313" customWidth="1"/>
    <col min="7932" max="7932" width="11" style="313" customWidth="1"/>
    <col min="7933" max="7933" width="13.140625" style="313" customWidth="1"/>
    <col min="7934" max="7934" width="11.7109375" style="313" customWidth="1"/>
    <col min="7935" max="7935" width="11.140625" style="313" customWidth="1"/>
    <col min="7936" max="7936" width="11.7109375" style="313" customWidth="1"/>
    <col min="7937" max="8182" width="9.140625" style="313"/>
    <col min="8183" max="8183" width="5.28515625" style="313" customWidth="1"/>
    <col min="8184" max="8184" width="8" style="313" customWidth="1"/>
    <col min="8185" max="8185" width="5.85546875" style="313" customWidth="1"/>
    <col min="8186" max="8186" width="9.42578125" style="313" customWidth="1"/>
    <col min="8187" max="8187" width="11.28515625" style="313" customWidth="1"/>
    <col min="8188" max="8188" width="11" style="313" customWidth="1"/>
    <col min="8189" max="8189" width="13.140625" style="313" customWidth="1"/>
    <col min="8190" max="8190" width="11.7109375" style="313" customWidth="1"/>
    <col min="8191" max="8191" width="11.140625" style="313" customWidth="1"/>
    <col min="8192" max="8192" width="11.7109375" style="313" customWidth="1"/>
    <col min="8193" max="8438" width="9.140625" style="313"/>
    <col min="8439" max="8439" width="5.28515625" style="313" customWidth="1"/>
    <col min="8440" max="8440" width="8" style="313" customWidth="1"/>
    <col min="8441" max="8441" width="5.85546875" style="313" customWidth="1"/>
    <col min="8442" max="8442" width="9.42578125" style="313" customWidth="1"/>
    <col min="8443" max="8443" width="11.28515625" style="313" customWidth="1"/>
    <col min="8444" max="8444" width="11" style="313" customWidth="1"/>
    <col min="8445" max="8445" width="13.140625" style="313" customWidth="1"/>
    <col min="8446" max="8446" width="11.7109375" style="313" customWidth="1"/>
    <col min="8447" max="8447" width="11.140625" style="313" customWidth="1"/>
    <col min="8448" max="8448" width="11.7109375" style="313" customWidth="1"/>
    <col min="8449" max="8694" width="9.140625" style="313"/>
    <col min="8695" max="8695" width="5.28515625" style="313" customWidth="1"/>
    <col min="8696" max="8696" width="8" style="313" customWidth="1"/>
    <col min="8697" max="8697" width="5.85546875" style="313" customWidth="1"/>
    <col min="8698" max="8698" width="9.42578125" style="313" customWidth="1"/>
    <col min="8699" max="8699" width="11.28515625" style="313" customWidth="1"/>
    <col min="8700" max="8700" width="11" style="313" customWidth="1"/>
    <col min="8701" max="8701" width="13.140625" style="313" customWidth="1"/>
    <col min="8702" max="8702" width="11.7109375" style="313" customWidth="1"/>
    <col min="8703" max="8703" width="11.140625" style="313" customWidth="1"/>
    <col min="8704" max="8704" width="11.7109375" style="313" customWidth="1"/>
    <col min="8705" max="8950" width="9.140625" style="313"/>
    <col min="8951" max="8951" width="5.28515625" style="313" customWidth="1"/>
    <col min="8952" max="8952" width="8" style="313" customWidth="1"/>
    <col min="8953" max="8953" width="5.85546875" style="313" customWidth="1"/>
    <col min="8954" max="8954" width="9.42578125" style="313" customWidth="1"/>
    <col min="8955" max="8955" width="11.28515625" style="313" customWidth="1"/>
    <col min="8956" max="8956" width="11" style="313" customWidth="1"/>
    <col min="8957" max="8957" width="13.140625" style="313" customWidth="1"/>
    <col min="8958" max="8958" width="11.7109375" style="313" customWidth="1"/>
    <col min="8959" max="8959" width="11.140625" style="313" customWidth="1"/>
    <col min="8960" max="8960" width="11.7109375" style="313" customWidth="1"/>
    <col min="8961" max="9206" width="9.140625" style="313"/>
    <col min="9207" max="9207" width="5.28515625" style="313" customWidth="1"/>
    <col min="9208" max="9208" width="8" style="313" customWidth="1"/>
    <col min="9209" max="9209" width="5.85546875" style="313" customWidth="1"/>
    <col min="9210" max="9210" width="9.42578125" style="313" customWidth="1"/>
    <col min="9211" max="9211" width="11.28515625" style="313" customWidth="1"/>
    <col min="9212" max="9212" width="11" style="313" customWidth="1"/>
    <col min="9213" max="9213" width="13.140625" style="313" customWidth="1"/>
    <col min="9214" max="9214" width="11.7109375" style="313" customWidth="1"/>
    <col min="9215" max="9215" width="11.140625" style="313" customWidth="1"/>
    <col min="9216" max="9216" width="11.7109375" style="313" customWidth="1"/>
    <col min="9217" max="9462" width="9.140625" style="313"/>
    <col min="9463" max="9463" width="5.28515625" style="313" customWidth="1"/>
    <col min="9464" max="9464" width="8" style="313" customWidth="1"/>
    <col min="9465" max="9465" width="5.85546875" style="313" customWidth="1"/>
    <col min="9466" max="9466" width="9.42578125" style="313" customWidth="1"/>
    <col min="9467" max="9467" width="11.28515625" style="313" customWidth="1"/>
    <col min="9468" max="9468" width="11" style="313" customWidth="1"/>
    <col min="9469" max="9469" width="13.140625" style="313" customWidth="1"/>
    <col min="9470" max="9470" width="11.7109375" style="313" customWidth="1"/>
    <col min="9471" max="9471" width="11.140625" style="313" customWidth="1"/>
    <col min="9472" max="9472" width="11.7109375" style="313" customWidth="1"/>
    <col min="9473" max="9718" width="9.140625" style="313"/>
    <col min="9719" max="9719" width="5.28515625" style="313" customWidth="1"/>
    <col min="9720" max="9720" width="8" style="313" customWidth="1"/>
    <col min="9721" max="9721" width="5.85546875" style="313" customWidth="1"/>
    <col min="9722" max="9722" width="9.42578125" style="313" customWidth="1"/>
    <col min="9723" max="9723" width="11.28515625" style="313" customWidth="1"/>
    <col min="9724" max="9724" width="11" style="313" customWidth="1"/>
    <col min="9725" max="9725" width="13.140625" style="313" customWidth="1"/>
    <col min="9726" max="9726" width="11.7109375" style="313" customWidth="1"/>
    <col min="9727" max="9727" width="11.140625" style="313" customWidth="1"/>
    <col min="9728" max="9728" width="11.7109375" style="313" customWidth="1"/>
    <col min="9729" max="9974" width="9.140625" style="313"/>
    <col min="9975" max="9975" width="5.28515625" style="313" customWidth="1"/>
    <col min="9976" max="9976" width="8" style="313" customWidth="1"/>
    <col min="9977" max="9977" width="5.85546875" style="313" customWidth="1"/>
    <col min="9978" max="9978" width="9.42578125" style="313" customWidth="1"/>
    <col min="9979" max="9979" width="11.28515625" style="313" customWidth="1"/>
    <col min="9980" max="9980" width="11" style="313" customWidth="1"/>
    <col min="9981" max="9981" width="13.140625" style="313" customWidth="1"/>
    <col min="9982" max="9982" width="11.7109375" style="313" customWidth="1"/>
    <col min="9983" max="9983" width="11.140625" style="313" customWidth="1"/>
    <col min="9984" max="9984" width="11.7109375" style="313" customWidth="1"/>
    <col min="9985" max="10230" width="9.140625" style="313"/>
    <col min="10231" max="10231" width="5.28515625" style="313" customWidth="1"/>
    <col min="10232" max="10232" width="8" style="313" customWidth="1"/>
    <col min="10233" max="10233" width="5.85546875" style="313" customWidth="1"/>
    <col min="10234" max="10234" width="9.42578125" style="313" customWidth="1"/>
    <col min="10235" max="10235" width="11.28515625" style="313" customWidth="1"/>
    <col min="10236" max="10236" width="11" style="313" customWidth="1"/>
    <col min="10237" max="10237" width="13.140625" style="313" customWidth="1"/>
    <col min="10238" max="10238" width="11.7109375" style="313" customWidth="1"/>
    <col min="10239" max="10239" width="11.140625" style="313" customWidth="1"/>
    <col min="10240" max="10240" width="11.7109375" style="313" customWidth="1"/>
    <col min="10241" max="10486" width="9.140625" style="313"/>
    <col min="10487" max="10487" width="5.28515625" style="313" customWidth="1"/>
    <col min="10488" max="10488" width="8" style="313" customWidth="1"/>
    <col min="10489" max="10489" width="5.85546875" style="313" customWidth="1"/>
    <col min="10490" max="10490" width="9.42578125" style="313" customWidth="1"/>
    <col min="10491" max="10491" width="11.28515625" style="313" customWidth="1"/>
    <col min="10492" max="10492" width="11" style="313" customWidth="1"/>
    <col min="10493" max="10493" width="13.140625" style="313" customWidth="1"/>
    <col min="10494" max="10494" width="11.7109375" style="313" customWidth="1"/>
    <col min="10495" max="10495" width="11.140625" style="313" customWidth="1"/>
    <col min="10496" max="10496" width="11.7109375" style="313" customWidth="1"/>
    <col min="10497" max="10742" width="9.140625" style="313"/>
    <col min="10743" max="10743" width="5.28515625" style="313" customWidth="1"/>
    <col min="10744" max="10744" width="8" style="313" customWidth="1"/>
    <col min="10745" max="10745" width="5.85546875" style="313" customWidth="1"/>
    <col min="10746" max="10746" width="9.42578125" style="313" customWidth="1"/>
    <col min="10747" max="10747" width="11.28515625" style="313" customWidth="1"/>
    <col min="10748" max="10748" width="11" style="313" customWidth="1"/>
    <col min="10749" max="10749" width="13.140625" style="313" customWidth="1"/>
    <col min="10750" max="10750" width="11.7109375" style="313" customWidth="1"/>
    <col min="10751" max="10751" width="11.140625" style="313" customWidth="1"/>
    <col min="10752" max="10752" width="11.7109375" style="313" customWidth="1"/>
    <col min="10753" max="10998" width="9.140625" style="313"/>
    <col min="10999" max="10999" width="5.28515625" style="313" customWidth="1"/>
    <col min="11000" max="11000" width="8" style="313" customWidth="1"/>
    <col min="11001" max="11001" width="5.85546875" style="313" customWidth="1"/>
    <col min="11002" max="11002" width="9.42578125" style="313" customWidth="1"/>
    <col min="11003" max="11003" width="11.28515625" style="313" customWidth="1"/>
    <col min="11004" max="11004" width="11" style="313" customWidth="1"/>
    <col min="11005" max="11005" width="13.140625" style="313" customWidth="1"/>
    <col min="11006" max="11006" width="11.7109375" style="313" customWidth="1"/>
    <col min="11007" max="11007" width="11.140625" style="313" customWidth="1"/>
    <col min="11008" max="11008" width="11.7109375" style="313" customWidth="1"/>
    <col min="11009" max="11254" width="9.140625" style="313"/>
    <col min="11255" max="11255" width="5.28515625" style="313" customWidth="1"/>
    <col min="11256" max="11256" width="8" style="313" customWidth="1"/>
    <col min="11257" max="11257" width="5.85546875" style="313" customWidth="1"/>
    <col min="11258" max="11258" width="9.42578125" style="313" customWidth="1"/>
    <col min="11259" max="11259" width="11.28515625" style="313" customWidth="1"/>
    <col min="11260" max="11260" width="11" style="313" customWidth="1"/>
    <col min="11261" max="11261" width="13.140625" style="313" customWidth="1"/>
    <col min="11262" max="11262" width="11.7109375" style="313" customWidth="1"/>
    <col min="11263" max="11263" width="11.140625" style="313" customWidth="1"/>
    <col min="11264" max="11264" width="11.7109375" style="313" customWidth="1"/>
    <col min="11265" max="11510" width="9.140625" style="313"/>
    <col min="11511" max="11511" width="5.28515625" style="313" customWidth="1"/>
    <col min="11512" max="11512" width="8" style="313" customWidth="1"/>
    <col min="11513" max="11513" width="5.85546875" style="313" customWidth="1"/>
    <col min="11514" max="11514" width="9.42578125" style="313" customWidth="1"/>
    <col min="11515" max="11515" width="11.28515625" style="313" customWidth="1"/>
    <col min="11516" max="11516" width="11" style="313" customWidth="1"/>
    <col min="11517" max="11517" width="13.140625" style="313" customWidth="1"/>
    <col min="11518" max="11518" width="11.7109375" style="313" customWidth="1"/>
    <col min="11519" max="11519" width="11.140625" style="313" customWidth="1"/>
    <col min="11520" max="11520" width="11.7109375" style="313" customWidth="1"/>
    <col min="11521" max="11766" width="9.140625" style="313"/>
    <col min="11767" max="11767" width="5.28515625" style="313" customWidth="1"/>
    <col min="11768" max="11768" width="8" style="313" customWidth="1"/>
    <col min="11769" max="11769" width="5.85546875" style="313" customWidth="1"/>
    <col min="11770" max="11770" width="9.42578125" style="313" customWidth="1"/>
    <col min="11771" max="11771" width="11.28515625" style="313" customWidth="1"/>
    <col min="11772" max="11772" width="11" style="313" customWidth="1"/>
    <col min="11773" max="11773" width="13.140625" style="313" customWidth="1"/>
    <col min="11774" max="11774" width="11.7109375" style="313" customWidth="1"/>
    <col min="11775" max="11775" width="11.140625" style="313" customWidth="1"/>
    <col min="11776" max="11776" width="11.7109375" style="313" customWidth="1"/>
    <col min="11777" max="12022" width="9.140625" style="313"/>
    <col min="12023" max="12023" width="5.28515625" style="313" customWidth="1"/>
    <col min="12024" max="12024" width="8" style="313" customWidth="1"/>
    <col min="12025" max="12025" width="5.85546875" style="313" customWidth="1"/>
    <col min="12026" max="12026" width="9.42578125" style="313" customWidth="1"/>
    <col min="12027" max="12027" width="11.28515625" style="313" customWidth="1"/>
    <col min="12028" max="12028" width="11" style="313" customWidth="1"/>
    <col min="12029" max="12029" width="13.140625" style="313" customWidth="1"/>
    <col min="12030" max="12030" width="11.7109375" style="313" customWidth="1"/>
    <col min="12031" max="12031" width="11.140625" style="313" customWidth="1"/>
    <col min="12032" max="12032" width="11.7109375" style="313" customWidth="1"/>
    <col min="12033" max="12278" width="9.140625" style="313"/>
    <col min="12279" max="12279" width="5.28515625" style="313" customWidth="1"/>
    <col min="12280" max="12280" width="8" style="313" customWidth="1"/>
    <col min="12281" max="12281" width="5.85546875" style="313" customWidth="1"/>
    <col min="12282" max="12282" width="9.42578125" style="313" customWidth="1"/>
    <col min="12283" max="12283" width="11.28515625" style="313" customWidth="1"/>
    <col min="12284" max="12284" width="11" style="313" customWidth="1"/>
    <col min="12285" max="12285" width="13.140625" style="313" customWidth="1"/>
    <col min="12286" max="12286" width="11.7109375" style="313" customWidth="1"/>
    <col min="12287" max="12287" width="11.140625" style="313" customWidth="1"/>
    <col min="12288" max="12288" width="11.7109375" style="313" customWidth="1"/>
    <col min="12289" max="12534" width="9.140625" style="313"/>
    <col min="12535" max="12535" width="5.28515625" style="313" customWidth="1"/>
    <col min="12536" max="12536" width="8" style="313" customWidth="1"/>
    <col min="12537" max="12537" width="5.85546875" style="313" customWidth="1"/>
    <col min="12538" max="12538" width="9.42578125" style="313" customWidth="1"/>
    <col min="12539" max="12539" width="11.28515625" style="313" customWidth="1"/>
    <col min="12540" max="12540" width="11" style="313" customWidth="1"/>
    <col min="12541" max="12541" width="13.140625" style="313" customWidth="1"/>
    <col min="12542" max="12542" width="11.7109375" style="313" customWidth="1"/>
    <col min="12543" max="12543" width="11.140625" style="313" customWidth="1"/>
    <col min="12544" max="12544" width="11.7109375" style="313" customWidth="1"/>
    <col min="12545" max="12790" width="9.140625" style="313"/>
    <col min="12791" max="12791" width="5.28515625" style="313" customWidth="1"/>
    <col min="12792" max="12792" width="8" style="313" customWidth="1"/>
    <col min="12793" max="12793" width="5.85546875" style="313" customWidth="1"/>
    <col min="12794" max="12794" width="9.42578125" style="313" customWidth="1"/>
    <col min="12795" max="12795" width="11.28515625" style="313" customWidth="1"/>
    <col min="12796" max="12796" width="11" style="313" customWidth="1"/>
    <col min="12797" max="12797" width="13.140625" style="313" customWidth="1"/>
    <col min="12798" max="12798" width="11.7109375" style="313" customWidth="1"/>
    <col min="12799" max="12799" width="11.140625" style="313" customWidth="1"/>
    <col min="12800" max="12800" width="11.7109375" style="313" customWidth="1"/>
    <col min="12801" max="13046" width="9.140625" style="313"/>
    <col min="13047" max="13047" width="5.28515625" style="313" customWidth="1"/>
    <col min="13048" max="13048" width="8" style="313" customWidth="1"/>
    <col min="13049" max="13049" width="5.85546875" style="313" customWidth="1"/>
    <col min="13050" max="13050" width="9.42578125" style="313" customWidth="1"/>
    <col min="13051" max="13051" width="11.28515625" style="313" customWidth="1"/>
    <col min="13052" max="13052" width="11" style="313" customWidth="1"/>
    <col min="13053" max="13053" width="13.140625" style="313" customWidth="1"/>
    <col min="13054" max="13054" width="11.7109375" style="313" customWidth="1"/>
    <col min="13055" max="13055" width="11.140625" style="313" customWidth="1"/>
    <col min="13056" max="13056" width="11.7109375" style="313" customWidth="1"/>
    <col min="13057" max="13302" width="9.140625" style="313"/>
    <col min="13303" max="13303" width="5.28515625" style="313" customWidth="1"/>
    <col min="13304" max="13304" width="8" style="313" customWidth="1"/>
    <col min="13305" max="13305" width="5.85546875" style="313" customWidth="1"/>
    <col min="13306" max="13306" width="9.42578125" style="313" customWidth="1"/>
    <col min="13307" max="13307" width="11.28515625" style="313" customWidth="1"/>
    <col min="13308" max="13308" width="11" style="313" customWidth="1"/>
    <col min="13309" max="13309" width="13.140625" style="313" customWidth="1"/>
    <col min="13310" max="13310" width="11.7109375" style="313" customWidth="1"/>
    <col min="13311" max="13311" width="11.140625" style="313" customWidth="1"/>
    <col min="13312" max="13312" width="11.7109375" style="313" customWidth="1"/>
    <col min="13313" max="13558" width="9.140625" style="313"/>
    <col min="13559" max="13559" width="5.28515625" style="313" customWidth="1"/>
    <col min="13560" max="13560" width="8" style="313" customWidth="1"/>
    <col min="13561" max="13561" width="5.85546875" style="313" customWidth="1"/>
    <col min="13562" max="13562" width="9.42578125" style="313" customWidth="1"/>
    <col min="13563" max="13563" width="11.28515625" style="313" customWidth="1"/>
    <col min="13564" max="13564" width="11" style="313" customWidth="1"/>
    <col min="13565" max="13565" width="13.140625" style="313" customWidth="1"/>
    <col min="13566" max="13566" width="11.7109375" style="313" customWidth="1"/>
    <col min="13567" max="13567" width="11.140625" style="313" customWidth="1"/>
    <col min="13568" max="13568" width="11.7109375" style="313" customWidth="1"/>
    <col min="13569" max="13814" width="9.140625" style="313"/>
    <col min="13815" max="13815" width="5.28515625" style="313" customWidth="1"/>
    <col min="13816" max="13816" width="8" style="313" customWidth="1"/>
    <col min="13817" max="13817" width="5.85546875" style="313" customWidth="1"/>
    <col min="13818" max="13818" width="9.42578125" style="313" customWidth="1"/>
    <col min="13819" max="13819" width="11.28515625" style="313" customWidth="1"/>
    <col min="13820" max="13820" width="11" style="313" customWidth="1"/>
    <col min="13821" max="13821" width="13.140625" style="313" customWidth="1"/>
    <col min="13822" max="13822" width="11.7109375" style="313" customWidth="1"/>
    <col min="13823" max="13823" width="11.140625" style="313" customWidth="1"/>
    <col min="13824" max="13824" width="11.7109375" style="313" customWidth="1"/>
    <col min="13825" max="14070" width="9.140625" style="313"/>
    <col min="14071" max="14071" width="5.28515625" style="313" customWidth="1"/>
    <col min="14072" max="14072" width="8" style="313" customWidth="1"/>
    <col min="14073" max="14073" width="5.85546875" style="313" customWidth="1"/>
    <col min="14074" max="14074" width="9.42578125" style="313" customWidth="1"/>
    <col min="14075" max="14075" width="11.28515625" style="313" customWidth="1"/>
    <col min="14076" max="14076" width="11" style="313" customWidth="1"/>
    <col min="14077" max="14077" width="13.140625" style="313" customWidth="1"/>
    <col min="14078" max="14078" width="11.7109375" style="313" customWidth="1"/>
    <col min="14079" max="14079" width="11.140625" style="313" customWidth="1"/>
    <col min="14080" max="14080" width="11.7109375" style="313" customWidth="1"/>
    <col min="14081" max="14326" width="9.140625" style="313"/>
    <col min="14327" max="14327" width="5.28515625" style="313" customWidth="1"/>
    <col min="14328" max="14328" width="8" style="313" customWidth="1"/>
    <col min="14329" max="14329" width="5.85546875" style="313" customWidth="1"/>
    <col min="14330" max="14330" width="9.42578125" style="313" customWidth="1"/>
    <col min="14331" max="14331" width="11.28515625" style="313" customWidth="1"/>
    <col min="14332" max="14332" width="11" style="313" customWidth="1"/>
    <col min="14333" max="14333" width="13.140625" style="313" customWidth="1"/>
    <col min="14334" max="14334" width="11.7109375" style="313" customWidth="1"/>
    <col min="14335" max="14335" width="11.140625" style="313" customWidth="1"/>
    <col min="14336" max="14336" width="11.7109375" style="313" customWidth="1"/>
    <col min="14337" max="14582" width="9.140625" style="313"/>
    <col min="14583" max="14583" width="5.28515625" style="313" customWidth="1"/>
    <col min="14584" max="14584" width="8" style="313" customWidth="1"/>
    <col min="14585" max="14585" width="5.85546875" style="313" customWidth="1"/>
    <col min="14586" max="14586" width="9.42578125" style="313" customWidth="1"/>
    <col min="14587" max="14587" width="11.28515625" style="313" customWidth="1"/>
    <col min="14588" max="14588" width="11" style="313" customWidth="1"/>
    <col min="14589" max="14589" width="13.140625" style="313" customWidth="1"/>
    <col min="14590" max="14590" width="11.7109375" style="313" customWidth="1"/>
    <col min="14591" max="14591" width="11.140625" style="313" customWidth="1"/>
    <col min="14592" max="14592" width="11.7109375" style="313" customWidth="1"/>
    <col min="14593" max="14838" width="9.140625" style="313"/>
    <col min="14839" max="14839" width="5.28515625" style="313" customWidth="1"/>
    <col min="14840" max="14840" width="8" style="313" customWidth="1"/>
    <col min="14841" max="14841" width="5.85546875" style="313" customWidth="1"/>
    <col min="14842" max="14842" width="9.42578125" style="313" customWidth="1"/>
    <col min="14843" max="14843" width="11.28515625" style="313" customWidth="1"/>
    <col min="14844" max="14844" width="11" style="313" customWidth="1"/>
    <col min="14845" max="14845" width="13.140625" style="313" customWidth="1"/>
    <col min="14846" max="14846" width="11.7109375" style="313" customWidth="1"/>
    <col min="14847" max="14847" width="11.140625" style="313" customWidth="1"/>
    <col min="14848" max="14848" width="11.7109375" style="313" customWidth="1"/>
    <col min="14849" max="15094" width="9.140625" style="313"/>
    <col min="15095" max="15095" width="5.28515625" style="313" customWidth="1"/>
    <col min="15096" max="15096" width="8" style="313" customWidth="1"/>
    <col min="15097" max="15097" width="5.85546875" style="313" customWidth="1"/>
    <col min="15098" max="15098" width="9.42578125" style="313" customWidth="1"/>
    <col min="15099" max="15099" width="11.28515625" style="313" customWidth="1"/>
    <col min="15100" max="15100" width="11" style="313" customWidth="1"/>
    <col min="15101" max="15101" width="13.140625" style="313" customWidth="1"/>
    <col min="15102" max="15102" width="11.7109375" style="313" customWidth="1"/>
    <col min="15103" max="15103" width="11.140625" style="313" customWidth="1"/>
    <col min="15104" max="15104" width="11.7109375" style="313" customWidth="1"/>
    <col min="15105" max="15350" width="9.140625" style="313"/>
    <col min="15351" max="15351" width="5.28515625" style="313" customWidth="1"/>
    <col min="15352" max="15352" width="8" style="313" customWidth="1"/>
    <col min="15353" max="15353" width="5.85546875" style="313" customWidth="1"/>
    <col min="15354" max="15354" width="9.42578125" style="313" customWidth="1"/>
    <col min="15355" max="15355" width="11.28515625" style="313" customWidth="1"/>
    <col min="15356" max="15356" width="11" style="313" customWidth="1"/>
    <col min="15357" max="15357" width="13.140625" style="313" customWidth="1"/>
    <col min="15358" max="15358" width="11.7109375" style="313" customWidth="1"/>
    <col min="15359" max="15359" width="11.140625" style="313" customWidth="1"/>
    <col min="15360" max="15360" width="11.7109375" style="313" customWidth="1"/>
    <col min="15361" max="15606" width="9.140625" style="313"/>
    <col min="15607" max="15607" width="5.28515625" style="313" customWidth="1"/>
    <col min="15608" max="15608" width="8" style="313" customWidth="1"/>
    <col min="15609" max="15609" width="5.85546875" style="313" customWidth="1"/>
    <col min="15610" max="15610" width="9.42578125" style="313" customWidth="1"/>
    <col min="15611" max="15611" width="11.28515625" style="313" customWidth="1"/>
    <col min="15612" max="15612" width="11" style="313" customWidth="1"/>
    <col min="15613" max="15613" width="13.140625" style="313" customWidth="1"/>
    <col min="15614" max="15614" width="11.7109375" style="313" customWidth="1"/>
    <col min="15615" max="15615" width="11.140625" style="313" customWidth="1"/>
    <col min="15616" max="15616" width="11.7109375" style="313" customWidth="1"/>
    <col min="15617" max="15862" width="9.140625" style="313"/>
    <col min="15863" max="15863" width="5.28515625" style="313" customWidth="1"/>
    <col min="15864" max="15864" width="8" style="313" customWidth="1"/>
    <col min="15865" max="15865" width="5.85546875" style="313" customWidth="1"/>
    <col min="15866" max="15866" width="9.42578125" style="313" customWidth="1"/>
    <col min="15867" max="15867" width="11.28515625" style="313" customWidth="1"/>
    <col min="15868" max="15868" width="11" style="313" customWidth="1"/>
    <col min="15869" max="15869" width="13.140625" style="313" customWidth="1"/>
    <col min="15870" max="15870" width="11.7109375" style="313" customWidth="1"/>
    <col min="15871" max="15871" width="11.140625" style="313" customWidth="1"/>
    <col min="15872" max="15872" width="11.7109375" style="313" customWidth="1"/>
    <col min="15873" max="16118" width="9.140625" style="313"/>
    <col min="16119" max="16119" width="5.28515625" style="313" customWidth="1"/>
    <col min="16120" max="16120" width="8" style="313" customWidth="1"/>
    <col min="16121" max="16121" width="5.85546875" style="313" customWidth="1"/>
    <col min="16122" max="16122" width="9.42578125" style="313" customWidth="1"/>
    <col min="16123" max="16123" width="11.28515625" style="313" customWidth="1"/>
    <col min="16124" max="16124" width="11" style="313" customWidth="1"/>
    <col min="16125" max="16125" width="13.140625" style="313" customWidth="1"/>
    <col min="16126" max="16126" width="11.7109375" style="313" customWidth="1"/>
    <col min="16127" max="16127" width="11.140625" style="313" customWidth="1"/>
    <col min="16128" max="16128" width="11.7109375" style="313" customWidth="1"/>
    <col min="16129" max="16384" width="9.140625" style="313"/>
  </cols>
  <sheetData>
    <row r="1" spans="1:65" ht="12.75" customHeight="1" x14ac:dyDescent="0.25">
      <c r="A1" s="249"/>
      <c r="F1" s="3" t="s">
        <v>282</v>
      </c>
    </row>
    <row r="2" spans="1:65" ht="12.75" customHeight="1" x14ac:dyDescent="0.25">
      <c r="F2" s="3" t="s">
        <v>129</v>
      </c>
    </row>
    <row r="3" spans="1:65" ht="12.75" customHeight="1" x14ac:dyDescent="0.25">
      <c r="F3" s="3" t="s">
        <v>16</v>
      </c>
    </row>
    <row r="4" spans="1:65" ht="12.75" customHeight="1" x14ac:dyDescent="0.25">
      <c r="F4" s="3" t="s">
        <v>130</v>
      </c>
    </row>
    <row r="5" spans="1:65" ht="12.75" customHeight="1" x14ac:dyDescent="0.25"/>
    <row r="6" spans="1:65" ht="13.5" customHeight="1" x14ac:dyDescent="0.25">
      <c r="A6" s="206" t="s">
        <v>283</v>
      </c>
      <c r="B6" s="206"/>
      <c r="C6" s="206"/>
      <c r="D6" s="206"/>
      <c r="E6" s="206"/>
      <c r="F6" s="206"/>
      <c r="G6" s="206"/>
    </row>
    <row r="7" spans="1:65" ht="12.75" customHeight="1" x14ac:dyDescent="0.25">
      <c r="A7" s="206" t="s">
        <v>284</v>
      </c>
      <c r="B7" s="250"/>
      <c r="C7" s="250"/>
      <c r="D7" s="250"/>
      <c r="E7" s="250"/>
      <c r="F7" s="250"/>
      <c r="G7" s="250"/>
    </row>
    <row r="8" spans="1:65" ht="9" customHeight="1" x14ac:dyDescent="0.25">
      <c r="A8" s="251"/>
      <c r="B8" s="252"/>
      <c r="C8" s="252"/>
      <c r="D8" s="252"/>
      <c r="E8" s="252"/>
      <c r="F8" s="252"/>
      <c r="G8" s="252"/>
    </row>
    <row r="9" spans="1:65" ht="11.25" customHeight="1" x14ac:dyDescent="0.25">
      <c r="G9" s="253" t="s">
        <v>1</v>
      </c>
    </row>
    <row r="10" spans="1:65" s="257" customFormat="1" ht="36.75" customHeight="1" x14ac:dyDescent="0.2">
      <c r="A10" s="254" t="s">
        <v>13</v>
      </c>
      <c r="B10" s="254" t="s">
        <v>133</v>
      </c>
      <c r="C10" s="254" t="s">
        <v>285</v>
      </c>
      <c r="D10" s="254" t="s">
        <v>18</v>
      </c>
      <c r="E10" s="255" t="s">
        <v>5</v>
      </c>
      <c r="F10" s="255" t="s">
        <v>286</v>
      </c>
      <c r="G10" s="255" t="s">
        <v>287</v>
      </c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56"/>
      <c r="AQ10" s="256"/>
      <c r="AR10" s="256"/>
      <c r="AS10" s="256"/>
      <c r="AT10" s="256"/>
      <c r="AU10" s="256"/>
      <c r="AV10" s="256"/>
      <c r="AW10" s="256"/>
      <c r="AX10" s="256"/>
      <c r="AY10" s="256"/>
      <c r="AZ10" s="256"/>
      <c r="BA10" s="256"/>
      <c r="BB10" s="256"/>
      <c r="BC10" s="256"/>
      <c r="BD10" s="256"/>
      <c r="BE10" s="256"/>
      <c r="BF10" s="256"/>
      <c r="BG10" s="256"/>
      <c r="BH10" s="256"/>
      <c r="BI10" s="256"/>
      <c r="BJ10" s="256"/>
      <c r="BK10" s="256"/>
      <c r="BL10" s="256"/>
      <c r="BM10" s="256"/>
    </row>
    <row r="11" spans="1:65" s="260" customFormat="1" ht="10.5" customHeight="1" x14ac:dyDescent="0.2">
      <c r="A11" s="258">
        <v>1</v>
      </c>
      <c r="B11" s="258">
        <v>2</v>
      </c>
      <c r="C11" s="258">
        <v>3</v>
      </c>
      <c r="D11" s="258">
        <v>4</v>
      </c>
      <c r="E11" s="258">
        <v>5</v>
      </c>
      <c r="F11" s="258">
        <v>6</v>
      </c>
      <c r="G11" s="258">
        <v>7</v>
      </c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59"/>
      <c r="AT11" s="259"/>
      <c r="AU11" s="259"/>
      <c r="AV11" s="259"/>
      <c r="AW11" s="259"/>
      <c r="AX11" s="259"/>
      <c r="AY11" s="259"/>
      <c r="AZ11" s="259"/>
      <c r="BA11" s="259"/>
      <c r="BB11" s="259"/>
      <c r="BC11" s="259"/>
      <c r="BD11" s="259"/>
      <c r="BE11" s="259"/>
      <c r="BF11" s="259"/>
      <c r="BG11" s="259"/>
      <c r="BH11" s="259"/>
      <c r="BI11" s="259"/>
      <c r="BJ11" s="259"/>
      <c r="BK11" s="259"/>
      <c r="BL11" s="259"/>
      <c r="BM11" s="259"/>
    </row>
    <row r="12" spans="1:65" s="320" customFormat="1" ht="15.75" customHeight="1" x14ac:dyDescent="0.2">
      <c r="A12" s="261"/>
      <c r="B12" s="262"/>
      <c r="C12" s="263"/>
      <c r="D12" s="263"/>
      <c r="E12" s="264" t="s">
        <v>37</v>
      </c>
      <c r="F12" s="265">
        <f>5350+9150+36625+3925+14199</f>
        <v>69249</v>
      </c>
      <c r="G12" s="266" t="s">
        <v>20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8"/>
      <c r="AM12" s="248"/>
      <c r="AN12" s="248"/>
      <c r="AO12" s="248"/>
      <c r="AP12" s="248"/>
      <c r="AQ12" s="248"/>
      <c r="AR12" s="248"/>
      <c r="AS12" s="248"/>
      <c r="AT12" s="248"/>
      <c r="AU12" s="248"/>
      <c r="AV12" s="248"/>
      <c r="AW12" s="248"/>
      <c r="AX12" s="248"/>
      <c r="AY12" s="248"/>
      <c r="AZ12" s="248"/>
      <c r="BA12" s="248"/>
      <c r="BB12" s="248"/>
      <c r="BC12" s="248"/>
      <c r="BD12" s="248"/>
      <c r="BE12" s="248"/>
      <c r="BF12" s="248"/>
      <c r="BG12" s="248"/>
      <c r="BH12" s="248"/>
      <c r="BI12" s="248"/>
      <c r="BJ12" s="248"/>
      <c r="BK12" s="248"/>
      <c r="BL12" s="248"/>
      <c r="BM12" s="248"/>
    </row>
    <row r="13" spans="1:65" s="320" customFormat="1" ht="24" x14ac:dyDescent="0.2">
      <c r="A13" s="267" t="s">
        <v>258</v>
      </c>
      <c r="B13" s="268" t="s">
        <v>288</v>
      </c>
      <c r="C13" s="263" t="s">
        <v>78</v>
      </c>
      <c r="D13" s="263" t="s">
        <v>289</v>
      </c>
      <c r="E13" s="269" t="s">
        <v>20</v>
      </c>
      <c r="F13" s="270" t="s">
        <v>20</v>
      </c>
      <c r="G13" s="271">
        <f>SUM(G15)</f>
        <v>69249</v>
      </c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248"/>
      <c r="AI13" s="248"/>
      <c r="AJ13" s="248"/>
      <c r="AK13" s="248"/>
      <c r="AL13" s="248"/>
      <c r="AM13" s="248"/>
      <c r="AN13" s="248"/>
      <c r="AO13" s="248"/>
      <c r="AP13" s="248"/>
      <c r="AQ13" s="248"/>
      <c r="AR13" s="248"/>
      <c r="AS13" s="248"/>
      <c r="AT13" s="248"/>
      <c r="AU13" s="248"/>
      <c r="AV13" s="248"/>
      <c r="AW13" s="248"/>
      <c r="AX13" s="248"/>
      <c r="AY13" s="248"/>
      <c r="AZ13" s="248"/>
      <c r="BA13" s="248"/>
      <c r="BB13" s="248"/>
      <c r="BC13" s="248"/>
      <c r="BD13" s="248"/>
      <c r="BE13" s="248"/>
      <c r="BF13" s="248"/>
      <c r="BG13" s="248"/>
      <c r="BH13" s="248"/>
      <c r="BI13" s="248"/>
      <c r="BJ13" s="248"/>
      <c r="BK13" s="248"/>
      <c r="BL13" s="248"/>
      <c r="BM13" s="248"/>
    </row>
    <row r="14" spans="1:65" s="320" customFormat="1" ht="9" customHeight="1" x14ac:dyDescent="0.2">
      <c r="A14" s="261"/>
      <c r="B14" s="272"/>
      <c r="C14" s="263"/>
      <c r="D14" s="263"/>
      <c r="E14" s="263"/>
      <c r="F14" s="273"/>
      <c r="G14" s="321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248"/>
    </row>
    <row r="15" spans="1:65" s="320" customFormat="1" ht="15.75" customHeight="1" x14ac:dyDescent="0.2">
      <c r="A15" s="261"/>
      <c r="B15" s="322" t="s">
        <v>80</v>
      </c>
      <c r="C15" s="263"/>
      <c r="D15" s="263"/>
      <c r="E15" s="263"/>
      <c r="F15" s="273"/>
      <c r="G15" s="321">
        <f>SUM(G16:G17)</f>
        <v>69249</v>
      </c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8"/>
      <c r="BG15" s="248"/>
      <c r="BH15" s="248"/>
      <c r="BI15" s="248"/>
      <c r="BJ15" s="248"/>
      <c r="BK15" s="248"/>
      <c r="BL15" s="248"/>
      <c r="BM15" s="248"/>
    </row>
    <row r="16" spans="1:65" s="320" customFormat="1" ht="15.75" customHeight="1" x14ac:dyDescent="0.2">
      <c r="A16" s="261"/>
      <c r="B16" s="322"/>
      <c r="C16" s="263"/>
      <c r="D16" s="263"/>
      <c r="E16" s="263" t="s">
        <v>290</v>
      </c>
      <c r="F16" s="273" t="s">
        <v>20</v>
      </c>
      <c r="G16" s="274">
        <f>8500+3925-2790.5+3635.5</f>
        <v>13270</v>
      </c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AU16" s="248"/>
      <c r="AV16" s="248"/>
      <c r="AW16" s="248"/>
      <c r="AX16" s="248"/>
      <c r="AY16" s="248"/>
      <c r="AZ16" s="248"/>
      <c r="BA16" s="248"/>
      <c r="BB16" s="248"/>
      <c r="BC16" s="248"/>
      <c r="BD16" s="248"/>
      <c r="BE16" s="248"/>
      <c r="BF16" s="248"/>
      <c r="BG16" s="248"/>
      <c r="BH16" s="248"/>
      <c r="BI16" s="248"/>
      <c r="BJ16" s="248"/>
      <c r="BK16" s="248"/>
      <c r="BL16" s="248"/>
      <c r="BM16" s="248"/>
    </row>
    <row r="17" spans="1:65" s="320" customFormat="1" ht="15.75" customHeight="1" x14ac:dyDescent="0.2">
      <c r="A17" s="261"/>
      <c r="B17" s="322"/>
      <c r="C17" s="263"/>
      <c r="D17" s="263"/>
      <c r="E17" s="263" t="s">
        <v>291</v>
      </c>
      <c r="F17" s="273" t="s">
        <v>20</v>
      </c>
      <c r="G17" s="274">
        <f>5350+9150+36625-8500+2790.5+10563.5</f>
        <v>55979</v>
      </c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  <c r="BB17" s="248"/>
      <c r="BC17" s="248"/>
      <c r="BD17" s="248"/>
      <c r="BE17" s="248"/>
      <c r="BF17" s="248"/>
      <c r="BG17" s="248"/>
      <c r="BH17" s="248"/>
      <c r="BI17" s="248"/>
      <c r="BJ17" s="248"/>
      <c r="BK17" s="248"/>
      <c r="BL17" s="248"/>
      <c r="BM17" s="248"/>
    </row>
    <row r="18" spans="1:65" s="320" customFormat="1" ht="15.75" customHeight="1" x14ac:dyDescent="0.2">
      <c r="A18" s="275"/>
      <c r="B18" s="276"/>
      <c r="C18" s="277"/>
      <c r="D18" s="264"/>
      <c r="E18" s="264"/>
      <c r="F18" s="266"/>
      <c r="G18" s="27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8"/>
      <c r="AI18" s="248"/>
      <c r="AJ18" s="248"/>
      <c r="AK18" s="248"/>
      <c r="AL18" s="248"/>
      <c r="AM18" s="248"/>
      <c r="AN18" s="248"/>
      <c r="AO18" s="248"/>
      <c r="AP18" s="248"/>
      <c r="AQ18" s="248"/>
      <c r="AR18" s="248"/>
      <c r="AS18" s="248"/>
      <c r="AT18" s="248"/>
      <c r="AU18" s="248"/>
      <c r="AV18" s="248"/>
      <c r="AW18" s="248"/>
      <c r="AX18" s="248"/>
      <c r="AY18" s="248"/>
      <c r="AZ18" s="248"/>
      <c r="BA18" s="248"/>
      <c r="BB18" s="248"/>
      <c r="BC18" s="248"/>
      <c r="BD18" s="248"/>
      <c r="BE18" s="248"/>
      <c r="BF18" s="248"/>
      <c r="BG18" s="248"/>
      <c r="BH18" s="248"/>
      <c r="BI18" s="248"/>
      <c r="BJ18" s="248"/>
      <c r="BK18" s="248"/>
      <c r="BL18" s="248"/>
      <c r="BM18" s="248"/>
    </row>
    <row r="19" spans="1:65" s="320" customFormat="1" ht="15.75" customHeight="1" x14ac:dyDescent="0.2">
      <c r="A19" s="261"/>
      <c r="B19" s="262"/>
      <c r="C19" s="263"/>
      <c r="D19" s="263"/>
      <c r="E19" s="264" t="s">
        <v>37</v>
      </c>
      <c r="F19" s="265">
        <f>9095+9126+6997+1281+4296+51765+6644+15374</f>
        <v>104578</v>
      </c>
      <c r="G19" s="266" t="s">
        <v>20</v>
      </c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48"/>
      <c r="BD19" s="248"/>
      <c r="BE19" s="248"/>
      <c r="BF19" s="248"/>
      <c r="BG19" s="248"/>
      <c r="BH19" s="248"/>
      <c r="BI19" s="248"/>
      <c r="BJ19" s="248"/>
      <c r="BK19" s="248"/>
      <c r="BL19" s="248"/>
      <c r="BM19" s="248"/>
    </row>
    <row r="20" spans="1:65" s="320" customFormat="1" ht="20.25" customHeight="1" x14ac:dyDescent="0.2">
      <c r="A20" s="267" t="s">
        <v>259</v>
      </c>
      <c r="B20" s="279" t="s">
        <v>292</v>
      </c>
      <c r="C20" s="263" t="s">
        <v>293</v>
      </c>
      <c r="D20" s="263" t="s">
        <v>294</v>
      </c>
      <c r="E20" s="269" t="s">
        <v>20</v>
      </c>
      <c r="F20" s="270" t="s">
        <v>20</v>
      </c>
      <c r="G20" s="271">
        <f>SUM(G22)</f>
        <v>104578</v>
      </c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48"/>
      <c r="AT20" s="248"/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8"/>
      <c r="BG20" s="248"/>
      <c r="BH20" s="248"/>
      <c r="BI20" s="248"/>
      <c r="BJ20" s="248"/>
      <c r="BK20" s="248"/>
      <c r="BL20" s="248"/>
      <c r="BM20" s="248"/>
    </row>
    <row r="21" spans="1:65" s="320" customFormat="1" ht="10.5" customHeight="1" x14ac:dyDescent="0.2">
      <c r="A21" s="261"/>
      <c r="B21" s="272"/>
      <c r="C21" s="263"/>
      <c r="D21" s="263"/>
      <c r="E21" s="263"/>
      <c r="F21" s="273"/>
      <c r="G21" s="321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  <c r="AS21" s="248"/>
      <c r="AT21" s="248"/>
      <c r="AU21" s="248"/>
      <c r="AV21" s="248"/>
      <c r="AW21" s="248"/>
      <c r="AX21" s="248"/>
      <c r="AY21" s="248"/>
      <c r="AZ21" s="248"/>
      <c r="BA21" s="248"/>
      <c r="BB21" s="248"/>
      <c r="BC21" s="248"/>
      <c r="BD21" s="248"/>
      <c r="BE21" s="248"/>
      <c r="BF21" s="248"/>
      <c r="BG21" s="248"/>
      <c r="BH21" s="248"/>
      <c r="BI21" s="248"/>
      <c r="BJ21" s="248"/>
      <c r="BK21" s="248"/>
      <c r="BL21" s="248"/>
      <c r="BM21" s="248"/>
    </row>
    <row r="22" spans="1:65" s="320" customFormat="1" ht="15.75" customHeight="1" x14ac:dyDescent="0.2">
      <c r="A22" s="261"/>
      <c r="B22" s="322" t="s">
        <v>80</v>
      </c>
      <c r="C22" s="263"/>
      <c r="D22" s="263"/>
      <c r="E22" s="263"/>
      <c r="F22" s="273"/>
      <c r="G22" s="321">
        <f>SUM(G23:G26)</f>
        <v>104578</v>
      </c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48"/>
      <c r="AW22" s="248"/>
      <c r="AX22" s="248"/>
      <c r="AY22" s="248"/>
      <c r="AZ22" s="248"/>
      <c r="BA22" s="248"/>
      <c r="BB22" s="248"/>
      <c r="BC22" s="248"/>
      <c r="BD22" s="248"/>
      <c r="BE22" s="248"/>
      <c r="BF22" s="248"/>
      <c r="BG22" s="248"/>
      <c r="BH22" s="248"/>
      <c r="BI22" s="248"/>
      <c r="BJ22" s="248"/>
      <c r="BK22" s="248"/>
      <c r="BL22" s="248"/>
      <c r="BM22" s="248"/>
    </row>
    <row r="23" spans="1:65" s="320" customFormat="1" ht="15.75" customHeight="1" x14ac:dyDescent="0.2">
      <c r="A23" s="261"/>
      <c r="B23" s="262"/>
      <c r="C23" s="280"/>
      <c r="D23" s="263"/>
      <c r="E23" s="263" t="s">
        <v>290</v>
      </c>
      <c r="F23" s="273" t="s">
        <v>20</v>
      </c>
      <c r="G23" s="274">
        <f>6793+17721+1255+4296+50257+6450+14926</f>
        <v>101698</v>
      </c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48"/>
      <c r="AT23" s="248"/>
      <c r="AU23" s="248"/>
      <c r="AV23" s="248"/>
      <c r="AW23" s="248"/>
      <c r="AX23" s="248"/>
      <c r="AY23" s="248"/>
      <c r="AZ23" s="248"/>
      <c r="BA23" s="248"/>
      <c r="BB23" s="248"/>
      <c r="BC23" s="248"/>
      <c r="BD23" s="248"/>
      <c r="BE23" s="248"/>
      <c r="BF23" s="248"/>
      <c r="BG23" s="248"/>
      <c r="BH23" s="248"/>
      <c r="BI23" s="248"/>
      <c r="BJ23" s="248"/>
      <c r="BK23" s="248"/>
      <c r="BL23" s="248"/>
      <c r="BM23" s="248"/>
    </row>
    <row r="24" spans="1:65" s="320" customFormat="1" ht="15.75" customHeight="1" x14ac:dyDescent="0.2">
      <c r="A24" s="261"/>
      <c r="B24" s="262"/>
      <c r="C24" s="280"/>
      <c r="D24" s="263"/>
      <c r="E24" s="263" t="s">
        <v>291</v>
      </c>
      <c r="F24" s="273" t="s">
        <v>20</v>
      </c>
      <c r="G24" s="274">
        <v>30</v>
      </c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8"/>
      <c r="AV24" s="248"/>
      <c r="AW24" s="248"/>
      <c r="AX24" s="248"/>
      <c r="AY24" s="248"/>
      <c r="AZ24" s="248"/>
      <c r="BA24" s="248"/>
      <c r="BB24" s="248"/>
      <c r="BC24" s="248"/>
      <c r="BD24" s="248"/>
      <c r="BE24" s="248"/>
      <c r="BF24" s="248"/>
      <c r="BG24" s="248"/>
      <c r="BH24" s="248"/>
      <c r="BI24" s="248"/>
      <c r="BJ24" s="248"/>
      <c r="BK24" s="248"/>
      <c r="BL24" s="248"/>
      <c r="BM24" s="248"/>
    </row>
    <row r="25" spans="1:65" s="320" customFormat="1" ht="15.75" customHeight="1" x14ac:dyDescent="0.2">
      <c r="A25" s="261"/>
      <c r="B25" s="262"/>
      <c r="C25" s="280"/>
      <c r="D25" s="263"/>
      <c r="E25" s="263" t="s">
        <v>295</v>
      </c>
      <c r="F25" s="273" t="s">
        <v>20</v>
      </c>
      <c r="G25" s="274">
        <f>92+470+21+1258+161+373</f>
        <v>2375</v>
      </c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</row>
    <row r="26" spans="1:65" s="320" customFormat="1" ht="15.75" customHeight="1" x14ac:dyDescent="0.2">
      <c r="A26" s="261"/>
      <c r="B26" s="262"/>
      <c r="C26" s="280"/>
      <c r="D26" s="263"/>
      <c r="E26" s="263" t="s">
        <v>296</v>
      </c>
      <c r="F26" s="273" t="s">
        <v>20</v>
      </c>
      <c r="G26" s="274">
        <f>112+5+250+33+75</f>
        <v>475</v>
      </c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8"/>
      <c r="AP26" s="248"/>
      <c r="AQ26" s="248"/>
      <c r="AR26" s="248"/>
      <c r="AS26" s="248"/>
      <c r="AT26" s="248"/>
      <c r="AU26" s="248"/>
      <c r="AV26" s="248"/>
      <c r="AW26" s="248"/>
      <c r="AX26" s="248"/>
      <c r="AY26" s="248"/>
      <c r="AZ26" s="248"/>
      <c r="BA26" s="248"/>
      <c r="BB26" s="248"/>
      <c r="BC26" s="248"/>
      <c r="BD26" s="248"/>
      <c r="BE26" s="248"/>
      <c r="BF26" s="248"/>
      <c r="BG26" s="248"/>
      <c r="BH26" s="248"/>
      <c r="BI26" s="248"/>
      <c r="BJ26" s="248"/>
      <c r="BK26" s="248"/>
      <c r="BL26" s="248"/>
      <c r="BM26" s="248"/>
    </row>
    <row r="27" spans="1:65" s="320" customFormat="1" ht="15.75" customHeight="1" x14ac:dyDescent="0.2">
      <c r="A27" s="275"/>
      <c r="B27" s="276"/>
      <c r="C27" s="277"/>
      <c r="D27" s="264"/>
      <c r="E27" s="264"/>
      <c r="F27" s="266"/>
      <c r="G27" s="27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248"/>
      <c r="AI27" s="248"/>
      <c r="AJ27" s="248"/>
      <c r="AK27" s="248"/>
      <c r="AL27" s="248"/>
      <c r="AM27" s="248"/>
      <c r="AN27" s="248"/>
      <c r="AO27" s="248"/>
      <c r="AP27" s="248"/>
      <c r="AQ27" s="248"/>
      <c r="AR27" s="248"/>
      <c r="AS27" s="248"/>
      <c r="AT27" s="248"/>
      <c r="AU27" s="248"/>
      <c r="AV27" s="248"/>
      <c r="AW27" s="248"/>
      <c r="AX27" s="248"/>
      <c r="AY27" s="248"/>
      <c r="AZ27" s="248"/>
      <c r="BA27" s="248"/>
      <c r="BB27" s="248"/>
      <c r="BC27" s="248"/>
      <c r="BD27" s="248"/>
      <c r="BE27" s="248"/>
      <c r="BF27" s="248"/>
      <c r="BG27" s="248"/>
      <c r="BH27" s="248"/>
      <c r="BI27" s="248"/>
      <c r="BJ27" s="248"/>
      <c r="BK27" s="248"/>
      <c r="BL27" s="248"/>
      <c r="BM27" s="248"/>
    </row>
    <row r="28" spans="1:65" s="320" customFormat="1" ht="15.75" customHeight="1" x14ac:dyDescent="0.2">
      <c r="A28" s="261"/>
      <c r="B28" s="262"/>
      <c r="C28" s="263"/>
      <c r="D28" s="263"/>
      <c r="E28" s="264" t="s">
        <v>37</v>
      </c>
      <c r="F28" s="265">
        <f>119646+106488+19584+20502+11322+7038+12852+12546+5508+6426+18972+18666+7344</f>
        <v>366894</v>
      </c>
      <c r="G28" s="266" t="s">
        <v>20</v>
      </c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</row>
    <row r="29" spans="1:65" s="320" customFormat="1" ht="24" x14ac:dyDescent="0.2">
      <c r="A29" s="267" t="s">
        <v>261</v>
      </c>
      <c r="B29" s="268" t="s">
        <v>297</v>
      </c>
      <c r="C29" s="263" t="s">
        <v>298</v>
      </c>
      <c r="D29" s="263" t="s">
        <v>299</v>
      </c>
      <c r="E29" s="269" t="s">
        <v>20</v>
      </c>
      <c r="F29" s="270" t="s">
        <v>20</v>
      </c>
      <c r="G29" s="271">
        <f>SUM(G31)</f>
        <v>366894</v>
      </c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8"/>
      <c r="BG29" s="248"/>
      <c r="BH29" s="248"/>
      <c r="BI29" s="248"/>
      <c r="BJ29" s="248"/>
      <c r="BK29" s="248"/>
      <c r="BL29" s="248"/>
      <c r="BM29" s="248"/>
    </row>
    <row r="30" spans="1:65" s="320" customFormat="1" ht="10.5" customHeight="1" x14ac:dyDescent="0.2">
      <c r="A30" s="261"/>
      <c r="B30" s="272"/>
      <c r="C30" s="263"/>
      <c r="D30" s="263"/>
      <c r="E30" s="263"/>
      <c r="F30" s="273"/>
      <c r="G30" s="321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48"/>
      <c r="BH30" s="248"/>
      <c r="BI30" s="248"/>
      <c r="BJ30" s="248"/>
      <c r="BK30" s="248"/>
      <c r="BL30" s="248"/>
      <c r="BM30" s="248"/>
    </row>
    <row r="31" spans="1:65" s="320" customFormat="1" ht="15.75" customHeight="1" x14ac:dyDescent="0.2">
      <c r="A31" s="261"/>
      <c r="B31" s="322" t="s">
        <v>80</v>
      </c>
      <c r="C31" s="263"/>
      <c r="D31" s="263"/>
      <c r="E31" s="263"/>
      <c r="F31" s="273"/>
      <c r="G31" s="321">
        <f>SUM(G32:G34)</f>
        <v>366894</v>
      </c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48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248"/>
      <c r="BD31" s="248"/>
      <c r="BE31" s="248"/>
      <c r="BF31" s="248"/>
      <c r="BG31" s="248"/>
      <c r="BH31" s="248"/>
      <c r="BI31" s="248"/>
      <c r="BJ31" s="248"/>
      <c r="BK31" s="248"/>
      <c r="BL31" s="248"/>
      <c r="BM31" s="248"/>
    </row>
    <row r="32" spans="1:65" s="320" customFormat="1" ht="15.75" customHeight="1" x14ac:dyDescent="0.2">
      <c r="A32" s="261"/>
      <c r="B32" s="262"/>
      <c r="C32" s="263"/>
      <c r="D32" s="263"/>
      <c r="E32" s="263" t="s">
        <v>290</v>
      </c>
      <c r="F32" s="273" t="s">
        <v>20</v>
      </c>
      <c r="G32" s="274">
        <f>12600+279000+5400+12300+6300+18600+18300+7200</f>
        <v>359700</v>
      </c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Q32" s="248"/>
      <c r="AR32" s="248"/>
      <c r="AS32" s="248"/>
      <c r="AT32" s="248"/>
      <c r="AU32" s="248"/>
      <c r="AV32" s="248"/>
      <c r="AW32" s="248"/>
      <c r="AX32" s="248"/>
      <c r="AY32" s="248"/>
      <c r="AZ32" s="248"/>
      <c r="BA32" s="248"/>
      <c r="BB32" s="248"/>
      <c r="BC32" s="248"/>
      <c r="BD32" s="248"/>
      <c r="BE32" s="248"/>
      <c r="BF32" s="248"/>
      <c r="BG32" s="248"/>
      <c r="BH32" s="248"/>
      <c r="BI32" s="248"/>
      <c r="BJ32" s="248"/>
      <c r="BK32" s="248"/>
      <c r="BL32" s="248"/>
      <c r="BM32" s="248"/>
    </row>
    <row r="33" spans="1:65" s="320" customFormat="1" ht="15.75" customHeight="1" x14ac:dyDescent="0.2">
      <c r="A33" s="261"/>
      <c r="B33" s="262"/>
      <c r="C33" s="280"/>
      <c r="D33" s="263"/>
      <c r="E33" s="263" t="s">
        <v>295</v>
      </c>
      <c r="F33" s="273" t="s">
        <v>20</v>
      </c>
      <c r="G33" s="274">
        <f>210+4638+90+205+105+310+305+120</f>
        <v>5983</v>
      </c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8"/>
      <c r="AS33" s="248"/>
      <c r="AT33" s="248"/>
      <c r="AU33" s="248"/>
      <c r="AV33" s="248"/>
      <c r="AW33" s="248"/>
      <c r="AX33" s="248"/>
      <c r="AY33" s="248"/>
      <c r="AZ33" s="248"/>
      <c r="BA33" s="248"/>
      <c r="BB33" s="248"/>
      <c r="BC33" s="248"/>
      <c r="BD33" s="248"/>
      <c r="BE33" s="248"/>
      <c r="BF33" s="248"/>
      <c r="BG33" s="248"/>
      <c r="BH33" s="248"/>
      <c r="BI33" s="248"/>
      <c r="BJ33" s="248"/>
      <c r="BK33" s="248"/>
      <c r="BL33" s="248"/>
      <c r="BM33" s="248"/>
    </row>
    <row r="34" spans="1:65" s="320" customFormat="1" ht="15.75" customHeight="1" x14ac:dyDescent="0.2">
      <c r="A34" s="261"/>
      <c r="B34" s="262"/>
      <c r="C34" s="280"/>
      <c r="D34" s="263"/>
      <c r="E34" s="263" t="s">
        <v>296</v>
      </c>
      <c r="F34" s="273" t="s">
        <v>20</v>
      </c>
      <c r="G34" s="274">
        <f>42+815+115+12+18+41+21+62+61+24</f>
        <v>1211</v>
      </c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248"/>
      <c r="AI34" s="248"/>
      <c r="AJ34" s="248"/>
      <c r="AK34" s="248"/>
      <c r="AL34" s="248"/>
      <c r="AM34" s="248"/>
      <c r="AN34" s="248"/>
      <c r="AO34" s="248"/>
      <c r="AP34" s="248"/>
      <c r="AQ34" s="248"/>
      <c r="AR34" s="248"/>
      <c r="AS34" s="248"/>
      <c r="AT34" s="248"/>
      <c r="AU34" s="248"/>
      <c r="AV34" s="248"/>
      <c r="AW34" s="248"/>
      <c r="AX34" s="248"/>
      <c r="AY34" s="248"/>
      <c r="AZ34" s="248"/>
      <c r="BA34" s="248"/>
      <c r="BB34" s="248"/>
      <c r="BC34" s="248"/>
      <c r="BD34" s="248"/>
      <c r="BE34" s="248"/>
      <c r="BF34" s="248"/>
      <c r="BG34" s="248"/>
      <c r="BH34" s="248"/>
      <c r="BI34" s="248"/>
      <c r="BJ34" s="248"/>
      <c r="BK34" s="248"/>
      <c r="BL34" s="248"/>
      <c r="BM34" s="248"/>
    </row>
    <row r="35" spans="1:65" s="320" customFormat="1" ht="15.75" customHeight="1" x14ac:dyDescent="0.2">
      <c r="A35" s="275"/>
      <c r="B35" s="276"/>
      <c r="C35" s="277"/>
      <c r="D35" s="264"/>
      <c r="E35" s="264"/>
      <c r="F35" s="266"/>
      <c r="G35" s="27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/>
      <c r="AH35" s="248"/>
      <c r="AI35" s="248"/>
      <c r="AJ35" s="248"/>
      <c r="AK35" s="248"/>
      <c r="AL35" s="248"/>
      <c r="AM35" s="248"/>
      <c r="AN35" s="248"/>
      <c r="AO35" s="248"/>
      <c r="AP35" s="248"/>
      <c r="AQ35" s="248"/>
      <c r="AR35" s="248"/>
      <c r="AS35" s="248"/>
      <c r="AT35" s="248"/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</row>
    <row r="36" spans="1:65" s="320" customFormat="1" ht="21.75" customHeight="1" x14ac:dyDescent="0.2">
      <c r="A36" s="261"/>
      <c r="B36" s="262"/>
      <c r="C36" s="263" t="s">
        <v>300</v>
      </c>
      <c r="D36" s="263" t="s">
        <v>301</v>
      </c>
      <c r="E36" s="264" t="s">
        <v>37</v>
      </c>
      <c r="F36" s="265">
        <f>55248+183549+25396+225667+26112+20400+296179+19787+194352+194468+19414+186935+43176+208094+42084</f>
        <v>1740861</v>
      </c>
      <c r="G36" s="266" t="s">
        <v>20</v>
      </c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48"/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</row>
    <row r="37" spans="1:65" s="320" customFormat="1" ht="25.5" customHeight="1" x14ac:dyDescent="0.2">
      <c r="A37" s="267" t="s">
        <v>262</v>
      </c>
      <c r="B37" s="268" t="s">
        <v>302</v>
      </c>
      <c r="C37" s="263"/>
      <c r="D37" s="263"/>
      <c r="E37" s="269" t="s">
        <v>20</v>
      </c>
      <c r="F37" s="270" t="s">
        <v>20</v>
      </c>
      <c r="G37" s="271">
        <f>SUM(G40,G50,G60,G70,G75,G85,G95,G105,G110,G119,G124,G133)</f>
        <v>1740861</v>
      </c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8"/>
      <c r="AP37" s="248"/>
      <c r="AQ37" s="248"/>
      <c r="AR37" s="248"/>
      <c r="AS37" s="248"/>
      <c r="AT37" s="248"/>
      <c r="AU37" s="248"/>
      <c r="AV37" s="248"/>
      <c r="AW37" s="248"/>
      <c r="AX37" s="248"/>
      <c r="AY37" s="248"/>
      <c r="AZ37" s="248"/>
      <c r="BA37" s="248"/>
      <c r="BB37" s="248"/>
      <c r="BC37" s="248"/>
      <c r="BD37" s="248"/>
      <c r="BE37" s="248"/>
      <c r="BF37" s="248"/>
      <c r="BG37" s="248"/>
      <c r="BH37" s="248"/>
      <c r="BI37" s="248"/>
      <c r="BJ37" s="248"/>
      <c r="BK37" s="248"/>
      <c r="BL37" s="248"/>
      <c r="BM37" s="248"/>
    </row>
    <row r="38" spans="1:65" s="320" customFormat="1" ht="7.5" customHeight="1" x14ac:dyDescent="0.2">
      <c r="A38" s="261"/>
      <c r="B38" s="262"/>
      <c r="C38" s="280"/>
      <c r="D38" s="263"/>
      <c r="E38" s="263"/>
      <c r="F38" s="273"/>
      <c r="G38" s="274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248"/>
      <c r="AM38" s="248"/>
      <c r="AN38" s="248"/>
      <c r="AO38" s="248"/>
      <c r="AP38" s="248"/>
      <c r="AQ38" s="248"/>
      <c r="AR38" s="248"/>
      <c r="AS38" s="248"/>
      <c r="AT38" s="248"/>
      <c r="AU38" s="248"/>
      <c r="AV38" s="248"/>
      <c r="AW38" s="248"/>
      <c r="AX38" s="248"/>
      <c r="AY38" s="248"/>
      <c r="AZ38" s="248"/>
      <c r="BA38" s="248"/>
      <c r="BB38" s="248"/>
      <c r="BC38" s="248"/>
      <c r="BD38" s="248"/>
      <c r="BE38" s="248"/>
      <c r="BF38" s="248"/>
      <c r="BG38" s="248"/>
      <c r="BH38" s="248"/>
      <c r="BI38" s="248"/>
      <c r="BJ38" s="248"/>
      <c r="BK38" s="248"/>
      <c r="BL38" s="248"/>
      <c r="BM38" s="248"/>
    </row>
    <row r="39" spans="1:65" s="320" customFormat="1" ht="12.75" customHeight="1" x14ac:dyDescent="0.2">
      <c r="A39" s="261"/>
      <c r="B39" s="262"/>
      <c r="C39" s="280"/>
      <c r="D39" s="263"/>
      <c r="E39" s="263"/>
      <c r="F39" s="273"/>
      <c r="G39" s="274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248"/>
      <c r="AE39" s="248"/>
      <c r="AF39" s="248"/>
      <c r="AG39" s="248"/>
      <c r="AH39" s="248"/>
      <c r="AI39" s="248"/>
      <c r="AJ39" s="248"/>
      <c r="AK39" s="248"/>
      <c r="AL39" s="248"/>
      <c r="AM39" s="248"/>
      <c r="AN39" s="248"/>
      <c r="AO39" s="248"/>
      <c r="AP39" s="248"/>
      <c r="AQ39" s="248"/>
      <c r="AR39" s="248"/>
      <c r="AS39" s="248"/>
      <c r="AT39" s="248"/>
      <c r="AU39" s="248"/>
      <c r="AV39" s="248"/>
      <c r="AW39" s="248"/>
      <c r="AX39" s="248"/>
      <c r="AY39" s="248"/>
      <c r="AZ39" s="248"/>
      <c r="BA39" s="248"/>
      <c r="BB39" s="248"/>
      <c r="BC39" s="248"/>
      <c r="BD39" s="248"/>
      <c r="BE39" s="248"/>
      <c r="BF39" s="248"/>
      <c r="BG39" s="248"/>
      <c r="BH39" s="248"/>
      <c r="BI39" s="248"/>
      <c r="BJ39" s="248"/>
      <c r="BK39" s="248"/>
      <c r="BL39" s="248"/>
      <c r="BM39" s="248"/>
    </row>
    <row r="40" spans="1:65" s="320" customFormat="1" ht="15.75" customHeight="1" x14ac:dyDescent="0.2">
      <c r="A40" s="261"/>
      <c r="B40" s="322" t="s">
        <v>303</v>
      </c>
      <c r="C40" s="263" t="s">
        <v>304</v>
      </c>
      <c r="D40" s="263" t="s">
        <v>305</v>
      </c>
      <c r="E40" s="269" t="s">
        <v>20</v>
      </c>
      <c r="F40" s="270" t="s">
        <v>20</v>
      </c>
      <c r="G40" s="271">
        <f>SUM(G42)</f>
        <v>1334476.5</v>
      </c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8"/>
      <c r="AL40" s="248"/>
      <c r="AM40" s="248"/>
      <c r="AN40" s="248"/>
      <c r="AO40" s="248"/>
      <c r="AP40" s="248"/>
      <c r="AQ40" s="248"/>
      <c r="AR40" s="248"/>
      <c r="AS40" s="248"/>
      <c r="AT40" s="248"/>
      <c r="AU40" s="248"/>
      <c r="AV40" s="248"/>
      <c r="AW40" s="248"/>
      <c r="AX40" s="248"/>
      <c r="AY40" s="248"/>
      <c r="AZ40" s="248"/>
      <c r="BA40" s="248"/>
      <c r="BB40" s="248"/>
      <c r="BC40" s="248"/>
      <c r="BD40" s="248"/>
      <c r="BE40" s="248"/>
      <c r="BF40" s="248"/>
      <c r="BG40" s="248"/>
      <c r="BH40" s="248"/>
      <c r="BI40" s="248"/>
      <c r="BJ40" s="248"/>
      <c r="BK40" s="248"/>
      <c r="BL40" s="248"/>
      <c r="BM40" s="248"/>
    </row>
    <row r="41" spans="1:65" s="320" customFormat="1" ht="7.5" customHeight="1" x14ac:dyDescent="0.2">
      <c r="A41" s="261"/>
      <c r="B41" s="262"/>
      <c r="C41" s="280"/>
      <c r="D41" s="263"/>
      <c r="E41" s="263"/>
      <c r="F41" s="273"/>
      <c r="G41" s="274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48"/>
      <c r="AH41" s="248"/>
      <c r="AI41" s="248"/>
      <c r="AJ41" s="248"/>
      <c r="AK41" s="248"/>
      <c r="AL41" s="248"/>
      <c r="AM41" s="248"/>
      <c r="AN41" s="248"/>
      <c r="AO41" s="248"/>
      <c r="AP41" s="248"/>
      <c r="AQ41" s="248"/>
      <c r="AR41" s="248"/>
      <c r="AS41" s="248"/>
      <c r="AT41" s="248"/>
      <c r="AU41" s="248"/>
      <c r="AV41" s="248"/>
      <c r="AW41" s="248"/>
      <c r="AX41" s="248"/>
      <c r="AY41" s="248"/>
      <c r="AZ41" s="248"/>
      <c r="BA41" s="248"/>
      <c r="BB41" s="248"/>
      <c r="BC41" s="248"/>
      <c r="BD41" s="248"/>
      <c r="BE41" s="248"/>
      <c r="BF41" s="248"/>
      <c r="BG41" s="248"/>
      <c r="BH41" s="248"/>
      <c r="BI41" s="248"/>
      <c r="BJ41" s="248"/>
      <c r="BK41" s="248"/>
      <c r="BL41" s="248"/>
      <c r="BM41" s="248"/>
    </row>
    <row r="42" spans="1:65" s="320" customFormat="1" ht="15.75" customHeight="1" x14ac:dyDescent="0.2">
      <c r="A42" s="261"/>
      <c r="B42" s="262"/>
      <c r="C42" s="280"/>
      <c r="D42" s="263"/>
      <c r="E42" s="263"/>
      <c r="F42" s="273"/>
      <c r="G42" s="321">
        <f>SUM(G43:G48)</f>
        <v>1334476.5</v>
      </c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8"/>
      <c r="AL42" s="248"/>
      <c r="AM42" s="248"/>
      <c r="AN42" s="248"/>
      <c r="AO42" s="248"/>
      <c r="AP42" s="248"/>
      <c r="AQ42" s="248"/>
      <c r="AR42" s="248"/>
      <c r="AS42" s="248"/>
      <c r="AT42" s="248"/>
      <c r="AU42" s="248"/>
      <c r="AV42" s="248"/>
      <c r="AW42" s="248"/>
      <c r="AX42" s="248"/>
      <c r="AY42" s="248"/>
      <c r="AZ42" s="248"/>
      <c r="BA42" s="248"/>
      <c r="BB42" s="248"/>
      <c r="BC42" s="248"/>
      <c r="BD42" s="248"/>
      <c r="BE42" s="248"/>
      <c r="BF42" s="248"/>
      <c r="BG42" s="248"/>
      <c r="BH42" s="248"/>
      <c r="BI42" s="248"/>
      <c r="BJ42" s="248"/>
      <c r="BK42" s="248"/>
      <c r="BL42" s="248"/>
      <c r="BM42" s="248"/>
    </row>
    <row r="43" spans="1:65" s="320" customFormat="1" ht="15.75" customHeight="1" x14ac:dyDescent="0.2">
      <c r="A43" s="261"/>
      <c r="B43" s="262"/>
      <c r="C43" s="280"/>
      <c r="D43" s="263"/>
      <c r="E43" s="263" t="s">
        <v>306</v>
      </c>
      <c r="F43" s="273" t="s">
        <v>20</v>
      </c>
      <c r="G43" s="274">
        <f>6956.19+152362+982.22+156086.38+560805.41</f>
        <v>877192.20000000007</v>
      </c>
      <c r="H43" s="248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248"/>
      <c r="AI43" s="248"/>
      <c r="AJ43" s="248"/>
      <c r="AK43" s="248"/>
      <c r="AL43" s="248"/>
      <c r="AM43" s="248"/>
      <c r="AN43" s="248"/>
      <c r="AO43" s="248"/>
      <c r="AP43" s="248"/>
      <c r="AQ43" s="248"/>
      <c r="AR43" s="248"/>
      <c r="AS43" s="248"/>
      <c r="AT43" s="248"/>
      <c r="AU43" s="248"/>
      <c r="AV43" s="248"/>
      <c r="AW43" s="248"/>
      <c r="AX43" s="248"/>
      <c r="AY43" s="248"/>
      <c r="AZ43" s="248"/>
      <c r="BA43" s="248"/>
      <c r="BB43" s="248"/>
      <c r="BC43" s="248"/>
      <c r="BD43" s="248"/>
      <c r="BE43" s="248"/>
      <c r="BF43" s="248"/>
      <c r="BG43" s="248"/>
      <c r="BH43" s="248"/>
      <c r="BI43" s="248"/>
      <c r="BJ43" s="248"/>
      <c r="BK43" s="248"/>
      <c r="BL43" s="248"/>
      <c r="BM43" s="248"/>
    </row>
    <row r="44" spans="1:65" s="320" customFormat="1" ht="15.75" customHeight="1" x14ac:dyDescent="0.2">
      <c r="A44" s="261"/>
      <c r="B44" s="262"/>
      <c r="C44" s="280"/>
      <c r="D44" s="263"/>
      <c r="E44" s="263" t="s">
        <v>291</v>
      </c>
      <c r="F44" s="273" t="s">
        <v>20</v>
      </c>
      <c r="G44" s="274">
        <f>4832.25+747.09+2550+367+9217.72</f>
        <v>17714.059999999998</v>
      </c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248"/>
      <c r="AJ44" s="248"/>
      <c r="AK44" s="248"/>
      <c r="AL44" s="248"/>
      <c r="AM44" s="248"/>
      <c r="AN44" s="248"/>
      <c r="AO44" s="248"/>
      <c r="AP44" s="248"/>
      <c r="AQ44" s="248"/>
      <c r="AR44" s="248"/>
      <c r="AS44" s="248"/>
      <c r="AT44" s="248"/>
      <c r="AU44" s="248"/>
      <c r="AV44" s="248"/>
      <c r="AW44" s="248"/>
      <c r="AX44" s="248"/>
      <c r="AY44" s="248"/>
      <c r="AZ44" s="248"/>
      <c r="BA44" s="248"/>
      <c r="BB44" s="248"/>
      <c r="BC44" s="248"/>
      <c r="BD44" s="248"/>
      <c r="BE44" s="248"/>
      <c r="BF44" s="248"/>
      <c r="BG44" s="248"/>
      <c r="BH44" s="248"/>
      <c r="BI44" s="248"/>
      <c r="BJ44" s="248"/>
      <c r="BK44" s="248"/>
      <c r="BL44" s="248"/>
      <c r="BM44" s="248"/>
    </row>
    <row r="45" spans="1:65" s="320" customFormat="1" ht="15.75" customHeight="1" x14ac:dyDescent="0.2">
      <c r="A45" s="261"/>
      <c r="B45" s="262"/>
      <c r="C45" s="280"/>
      <c r="D45" s="263"/>
      <c r="E45" s="263" t="s">
        <v>295</v>
      </c>
      <c r="F45" s="273" t="s">
        <v>20</v>
      </c>
      <c r="G45" s="274">
        <f>23300+23803.29-7052.34+27+10800</f>
        <v>50877.95</v>
      </c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48"/>
      <c r="BD45" s="248"/>
      <c r="BE45" s="248"/>
      <c r="BF45" s="248"/>
      <c r="BG45" s="248"/>
      <c r="BH45" s="248"/>
      <c r="BI45" s="248"/>
      <c r="BJ45" s="248"/>
      <c r="BK45" s="248"/>
      <c r="BL45" s="248"/>
      <c r="BM45" s="248"/>
    </row>
    <row r="46" spans="1:65" s="320" customFormat="1" ht="15.75" customHeight="1" x14ac:dyDescent="0.2">
      <c r="A46" s="261"/>
      <c r="B46" s="262"/>
      <c r="C46" s="280"/>
      <c r="D46" s="263"/>
      <c r="E46" s="263" t="s">
        <v>307</v>
      </c>
      <c r="F46" s="273" t="s">
        <v>20</v>
      </c>
      <c r="G46" s="274">
        <f>212347.85+304328.54+135776.15-179292.49-18060.81+109303.95+122149.3-16250-446490.66</f>
        <v>223811.83000000013</v>
      </c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248"/>
      <c r="AI46" s="248"/>
      <c r="AJ46" s="248"/>
      <c r="AK46" s="248"/>
      <c r="AL46" s="248"/>
      <c r="AM46" s="248"/>
      <c r="AN46" s="248"/>
      <c r="AO46" s="248"/>
      <c r="AP46" s="248"/>
      <c r="AQ46" s="248"/>
      <c r="AR46" s="248"/>
      <c r="AS46" s="248"/>
      <c r="AT46" s="248"/>
      <c r="AU46" s="248"/>
      <c r="AV46" s="248"/>
      <c r="AW46" s="248"/>
      <c r="AX46" s="248"/>
      <c r="AY46" s="248"/>
      <c r="AZ46" s="248"/>
      <c r="BA46" s="248"/>
      <c r="BB46" s="248"/>
      <c r="BC46" s="248"/>
      <c r="BD46" s="248"/>
      <c r="BE46" s="248"/>
      <c r="BF46" s="248"/>
      <c r="BG46" s="248"/>
      <c r="BH46" s="248"/>
      <c r="BI46" s="248"/>
      <c r="BJ46" s="248"/>
      <c r="BK46" s="248"/>
      <c r="BL46" s="248"/>
      <c r="BM46" s="248"/>
    </row>
    <row r="47" spans="1:65" s="320" customFormat="1" ht="15.75" customHeight="1" x14ac:dyDescent="0.2">
      <c r="A47" s="261"/>
      <c r="B47" s="262"/>
      <c r="C47" s="280"/>
      <c r="D47" s="263"/>
      <c r="E47" s="263" t="s">
        <v>296</v>
      </c>
      <c r="F47" s="273" t="s">
        <v>20</v>
      </c>
      <c r="G47" s="274">
        <f>49549.15+79640.81+33183.81-10197.27+57265.18+29666.1-1500-177241.64</f>
        <v>60366.139999999985</v>
      </c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  <c r="AP47" s="248"/>
      <c r="AQ47" s="248"/>
      <c r="AR47" s="248"/>
      <c r="AS47" s="248"/>
      <c r="AT47" s="248"/>
      <c r="AU47" s="248"/>
      <c r="AV47" s="248"/>
      <c r="AW47" s="248"/>
      <c r="AX47" s="248"/>
      <c r="AY47" s="248"/>
      <c r="AZ47" s="248"/>
      <c r="BA47" s="248"/>
      <c r="BB47" s="248"/>
      <c r="BC47" s="248"/>
      <c r="BD47" s="248"/>
      <c r="BE47" s="248"/>
      <c r="BF47" s="248"/>
      <c r="BG47" s="248"/>
      <c r="BH47" s="248"/>
      <c r="BI47" s="248"/>
      <c r="BJ47" s="248"/>
      <c r="BK47" s="248"/>
      <c r="BL47" s="248"/>
      <c r="BM47" s="248"/>
    </row>
    <row r="48" spans="1:65" s="320" customFormat="1" ht="15.75" customHeight="1" x14ac:dyDescent="0.2">
      <c r="A48" s="261"/>
      <c r="B48" s="262"/>
      <c r="C48" s="280"/>
      <c r="D48" s="263"/>
      <c r="E48" s="263" t="s">
        <v>308</v>
      </c>
      <c r="F48" s="273" t="s">
        <v>20</v>
      </c>
      <c r="G48" s="274">
        <f>40704.02+2176.91+16101.22+1873+43659.17</f>
        <v>104514.31999999999</v>
      </c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248"/>
      <c r="AI48" s="248"/>
      <c r="AJ48" s="248"/>
      <c r="AK48" s="248"/>
      <c r="AL48" s="248"/>
      <c r="AM48" s="248"/>
      <c r="AN48" s="248"/>
      <c r="AO48" s="248"/>
      <c r="AP48" s="248"/>
      <c r="AQ48" s="248"/>
      <c r="AR48" s="248"/>
      <c r="AS48" s="248"/>
      <c r="AT48" s="248"/>
      <c r="AU48" s="248"/>
      <c r="AV48" s="248"/>
      <c r="AW48" s="248"/>
      <c r="AX48" s="248"/>
      <c r="AY48" s="248"/>
      <c r="AZ48" s="248"/>
      <c r="BA48" s="248"/>
      <c r="BB48" s="248"/>
      <c r="BC48" s="248"/>
      <c r="BD48" s="248"/>
      <c r="BE48" s="248"/>
      <c r="BF48" s="248"/>
      <c r="BG48" s="248"/>
      <c r="BH48" s="248"/>
      <c r="BI48" s="248"/>
      <c r="BJ48" s="248"/>
      <c r="BK48" s="248"/>
      <c r="BL48" s="248"/>
      <c r="BM48" s="248"/>
    </row>
    <row r="49" spans="1:65" s="320" customFormat="1" ht="12.75" customHeight="1" x14ac:dyDescent="0.2">
      <c r="A49" s="275"/>
      <c r="B49" s="276"/>
      <c r="C49" s="277"/>
      <c r="D49" s="264"/>
      <c r="E49" s="264"/>
      <c r="F49" s="266"/>
      <c r="G49" s="27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48"/>
      <c r="AL49" s="248"/>
      <c r="AM49" s="248"/>
      <c r="AN49" s="248"/>
      <c r="AO49" s="248"/>
      <c r="AP49" s="248"/>
      <c r="AQ49" s="248"/>
      <c r="AR49" s="248"/>
      <c r="AS49" s="248"/>
      <c r="AT49" s="248"/>
      <c r="AU49" s="248"/>
      <c r="AV49" s="248"/>
      <c r="AW49" s="248"/>
      <c r="AX49" s="248"/>
      <c r="AY49" s="248"/>
      <c r="AZ49" s="248"/>
      <c r="BA49" s="248"/>
      <c r="BB49" s="248"/>
      <c r="BC49" s="248"/>
      <c r="BD49" s="248"/>
      <c r="BE49" s="248"/>
      <c r="BF49" s="248"/>
      <c r="BG49" s="248"/>
      <c r="BH49" s="248"/>
      <c r="BI49" s="248"/>
      <c r="BJ49" s="248"/>
      <c r="BK49" s="248"/>
      <c r="BL49" s="248"/>
      <c r="BM49" s="248"/>
    </row>
    <row r="50" spans="1:65" s="320" customFormat="1" ht="21.75" customHeight="1" x14ac:dyDescent="0.2">
      <c r="A50" s="261"/>
      <c r="B50" s="322" t="s">
        <v>303</v>
      </c>
      <c r="C50" s="263" t="s">
        <v>304</v>
      </c>
      <c r="D50" s="263" t="s">
        <v>309</v>
      </c>
      <c r="E50" s="264" t="s">
        <v>20</v>
      </c>
      <c r="F50" s="266" t="s">
        <v>20</v>
      </c>
      <c r="G50" s="265">
        <f>SUM(G52)</f>
        <v>35678.259999999995</v>
      </c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  <c r="AG50" s="248"/>
      <c r="AH50" s="248"/>
      <c r="AI50" s="248"/>
      <c r="AJ50" s="248"/>
      <c r="AK50" s="248"/>
      <c r="AL50" s="248"/>
      <c r="AM50" s="248"/>
      <c r="AN50" s="248"/>
      <c r="AO50" s="248"/>
      <c r="AP50" s="248"/>
      <c r="AQ50" s="248"/>
      <c r="AR50" s="248"/>
      <c r="AS50" s="248"/>
      <c r="AT50" s="248"/>
      <c r="AU50" s="248"/>
      <c r="AV50" s="248"/>
      <c r="AW50" s="248"/>
      <c r="AX50" s="248"/>
      <c r="AY50" s="248"/>
      <c r="AZ50" s="248"/>
      <c r="BA50" s="248"/>
      <c r="BB50" s="248"/>
      <c r="BC50" s="248"/>
      <c r="BD50" s="248"/>
      <c r="BE50" s="248"/>
      <c r="BF50" s="248"/>
      <c r="BG50" s="248"/>
      <c r="BH50" s="248"/>
      <c r="BI50" s="248"/>
      <c r="BJ50" s="248"/>
      <c r="BK50" s="248"/>
      <c r="BL50" s="248"/>
      <c r="BM50" s="248"/>
    </row>
    <row r="51" spans="1:65" s="320" customFormat="1" ht="9.75" customHeight="1" x14ac:dyDescent="0.2">
      <c r="A51" s="261"/>
      <c r="B51" s="262"/>
      <c r="C51" s="280"/>
      <c r="D51" s="263"/>
      <c r="E51" s="263"/>
      <c r="F51" s="273"/>
      <c r="G51" s="274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48"/>
      <c r="AL51" s="248"/>
      <c r="AM51" s="248"/>
      <c r="AN51" s="248"/>
      <c r="AO51" s="248"/>
      <c r="AP51" s="248"/>
      <c r="AQ51" s="248"/>
      <c r="AR51" s="248"/>
      <c r="AS51" s="248"/>
      <c r="AT51" s="248"/>
      <c r="AU51" s="248"/>
      <c r="AV51" s="248"/>
      <c r="AW51" s="248"/>
      <c r="AX51" s="248"/>
      <c r="AY51" s="248"/>
      <c r="AZ51" s="248"/>
      <c r="BA51" s="248"/>
      <c r="BB51" s="248"/>
      <c r="BC51" s="248"/>
      <c r="BD51" s="248"/>
      <c r="BE51" s="248"/>
      <c r="BF51" s="248"/>
      <c r="BG51" s="248"/>
      <c r="BH51" s="248"/>
      <c r="BI51" s="248"/>
      <c r="BJ51" s="248"/>
      <c r="BK51" s="248"/>
      <c r="BL51" s="248"/>
      <c r="BM51" s="248"/>
    </row>
    <row r="52" spans="1:65" s="320" customFormat="1" ht="15.75" customHeight="1" x14ac:dyDescent="0.2">
      <c r="A52" s="261"/>
      <c r="B52" s="262"/>
      <c r="C52" s="280"/>
      <c r="D52" s="263"/>
      <c r="E52" s="263"/>
      <c r="F52" s="273"/>
      <c r="G52" s="321">
        <f>SUM(G53:G58)</f>
        <v>35678.259999999995</v>
      </c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8"/>
      <c r="AL52" s="248"/>
      <c r="AM52" s="248"/>
      <c r="AN52" s="248"/>
      <c r="AO52" s="248"/>
      <c r="AP52" s="248"/>
      <c r="AQ52" s="248"/>
      <c r="AR52" s="248"/>
      <c r="AS52" s="248"/>
      <c r="AT52" s="248"/>
      <c r="AU52" s="248"/>
      <c r="AV52" s="248"/>
      <c r="AW52" s="248"/>
      <c r="AX52" s="248"/>
      <c r="AY52" s="248"/>
      <c r="AZ52" s="248"/>
      <c r="BA52" s="248"/>
      <c r="BB52" s="248"/>
      <c r="BC52" s="248"/>
      <c r="BD52" s="248"/>
      <c r="BE52" s="248"/>
      <c r="BF52" s="248"/>
      <c r="BG52" s="248"/>
      <c r="BH52" s="248"/>
      <c r="BI52" s="248"/>
      <c r="BJ52" s="248"/>
      <c r="BK52" s="248"/>
      <c r="BL52" s="248"/>
      <c r="BM52" s="248"/>
    </row>
    <row r="53" spans="1:65" s="320" customFormat="1" ht="15.75" customHeight="1" x14ac:dyDescent="0.2">
      <c r="A53" s="261"/>
      <c r="B53" s="262"/>
      <c r="C53" s="280"/>
      <c r="D53" s="263"/>
      <c r="E53" s="263" t="s">
        <v>306</v>
      </c>
      <c r="F53" s="273" t="s">
        <v>20</v>
      </c>
      <c r="G53" s="274">
        <f>14000+11786</f>
        <v>25786</v>
      </c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48"/>
      <c r="AL53" s="248"/>
      <c r="AM53" s="248"/>
      <c r="AN53" s="248"/>
      <c r="AO53" s="248"/>
      <c r="AP53" s="248"/>
      <c r="AQ53" s="248"/>
      <c r="AR53" s="248"/>
      <c r="AS53" s="248"/>
      <c r="AT53" s="248"/>
      <c r="AU53" s="248"/>
      <c r="AV53" s="248"/>
      <c r="AW53" s="248"/>
      <c r="AX53" s="248"/>
      <c r="AY53" s="248"/>
      <c r="AZ53" s="248"/>
      <c r="BA53" s="248"/>
      <c r="BB53" s="248"/>
      <c r="BC53" s="248"/>
      <c r="BD53" s="248"/>
      <c r="BE53" s="248"/>
      <c r="BF53" s="248"/>
      <c r="BG53" s="248"/>
      <c r="BH53" s="248"/>
      <c r="BI53" s="248"/>
      <c r="BJ53" s="248"/>
      <c r="BK53" s="248"/>
      <c r="BL53" s="248"/>
      <c r="BM53" s="248"/>
    </row>
    <row r="54" spans="1:65" s="320" customFormat="1" ht="15.75" customHeight="1" x14ac:dyDescent="0.2">
      <c r="A54" s="261"/>
      <c r="B54" s="262"/>
      <c r="C54" s="280"/>
      <c r="D54" s="263"/>
      <c r="E54" s="263" t="s">
        <v>291</v>
      </c>
      <c r="F54" s="273" t="s">
        <v>20</v>
      </c>
      <c r="G54" s="274">
        <f>412.5+250</f>
        <v>662.5</v>
      </c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  <c r="AI54" s="248"/>
      <c r="AJ54" s="248"/>
      <c r="AK54" s="248"/>
      <c r="AL54" s="248"/>
      <c r="AM54" s="248"/>
      <c r="AN54" s="248"/>
      <c r="AO54" s="248"/>
      <c r="AP54" s="248"/>
      <c r="AQ54" s="248"/>
      <c r="AR54" s="248"/>
      <c r="AS54" s="248"/>
      <c r="AT54" s="248"/>
      <c r="AU54" s="248"/>
      <c r="AV54" s="248"/>
      <c r="AW54" s="248"/>
      <c r="AX54" s="248"/>
      <c r="AY54" s="248"/>
      <c r="AZ54" s="248"/>
      <c r="BA54" s="248"/>
      <c r="BB54" s="248"/>
      <c r="BC54" s="248"/>
      <c r="BD54" s="248"/>
      <c r="BE54" s="248"/>
      <c r="BF54" s="248"/>
      <c r="BG54" s="248"/>
      <c r="BH54" s="248"/>
      <c r="BI54" s="248"/>
      <c r="BJ54" s="248"/>
      <c r="BK54" s="248"/>
      <c r="BL54" s="248"/>
      <c r="BM54" s="248"/>
    </row>
    <row r="55" spans="1:65" s="320" customFormat="1" ht="15.75" customHeight="1" x14ac:dyDescent="0.2">
      <c r="A55" s="261"/>
      <c r="B55" s="262"/>
      <c r="C55" s="280"/>
      <c r="D55" s="263"/>
      <c r="E55" s="263" t="s">
        <v>295</v>
      </c>
      <c r="F55" s="273" t="s">
        <v>20</v>
      </c>
      <c r="G55" s="274">
        <f>3900-200</f>
        <v>3700</v>
      </c>
      <c r="H55" s="248"/>
      <c r="I55" s="248"/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248"/>
      <c r="AE55" s="248"/>
      <c r="AF55" s="248"/>
      <c r="AG55" s="248"/>
      <c r="AH55" s="248"/>
      <c r="AI55" s="248"/>
      <c r="AJ55" s="248"/>
      <c r="AK55" s="248"/>
      <c r="AL55" s="248"/>
      <c r="AM55" s="248"/>
      <c r="AN55" s="248"/>
      <c r="AO55" s="248"/>
      <c r="AP55" s="248"/>
      <c r="AQ55" s="248"/>
      <c r="AR55" s="248"/>
      <c r="AS55" s="248"/>
      <c r="AT55" s="248"/>
      <c r="AU55" s="248"/>
      <c r="AV55" s="248"/>
      <c r="AW55" s="248"/>
      <c r="AX55" s="248"/>
      <c r="AY55" s="248"/>
      <c r="AZ55" s="248"/>
      <c r="BA55" s="248"/>
      <c r="BB55" s="248"/>
      <c r="BC55" s="248"/>
      <c r="BD55" s="248"/>
      <c r="BE55" s="248"/>
      <c r="BF55" s="248"/>
      <c r="BG55" s="248"/>
      <c r="BH55" s="248"/>
      <c r="BI55" s="248"/>
      <c r="BJ55" s="248"/>
      <c r="BK55" s="248"/>
      <c r="BL55" s="248"/>
      <c r="BM55" s="248"/>
    </row>
    <row r="56" spans="1:65" s="320" customFormat="1" ht="15.75" customHeight="1" x14ac:dyDescent="0.2">
      <c r="A56" s="261"/>
      <c r="B56" s="262"/>
      <c r="C56" s="280"/>
      <c r="D56" s="263"/>
      <c r="E56" s="263" t="s">
        <v>307</v>
      </c>
      <c r="F56" s="273" t="s">
        <v>20</v>
      </c>
      <c r="G56" s="274">
        <f>12295-12000+5742.73-2500</f>
        <v>3537.7299999999996</v>
      </c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  <c r="AA56" s="248"/>
      <c r="AB56" s="248"/>
      <c r="AC56" s="248"/>
      <c r="AD56" s="248"/>
      <c r="AE56" s="248"/>
      <c r="AF56" s="248"/>
      <c r="AG56" s="248"/>
      <c r="AH56" s="248"/>
      <c r="AI56" s="248"/>
      <c r="AJ56" s="248"/>
      <c r="AK56" s="248"/>
      <c r="AL56" s="248"/>
      <c r="AM56" s="248"/>
      <c r="AN56" s="248"/>
      <c r="AO56" s="248"/>
      <c r="AP56" s="248"/>
      <c r="AQ56" s="248"/>
      <c r="AR56" s="248"/>
      <c r="AS56" s="248"/>
      <c r="AT56" s="248"/>
      <c r="AU56" s="248"/>
      <c r="AV56" s="248"/>
      <c r="AW56" s="248"/>
      <c r="AX56" s="248"/>
      <c r="AY56" s="248"/>
      <c r="AZ56" s="248"/>
      <c r="BA56" s="248"/>
      <c r="BB56" s="248"/>
      <c r="BC56" s="248"/>
      <c r="BD56" s="248"/>
      <c r="BE56" s="248"/>
      <c r="BF56" s="248"/>
      <c r="BG56" s="248"/>
      <c r="BH56" s="248"/>
      <c r="BI56" s="248"/>
      <c r="BJ56" s="248"/>
      <c r="BK56" s="248"/>
      <c r="BL56" s="248"/>
      <c r="BM56" s="248"/>
    </row>
    <row r="57" spans="1:65" s="320" customFormat="1" ht="15.75" customHeight="1" x14ac:dyDescent="0.2">
      <c r="A57" s="261"/>
      <c r="B57" s="262"/>
      <c r="C57" s="280"/>
      <c r="D57" s="263"/>
      <c r="E57" s="263" t="s">
        <v>296</v>
      </c>
      <c r="F57" s="273" t="s">
        <v>20</v>
      </c>
      <c r="G57" s="274">
        <f>4138.51-2000+1403.52-2000</f>
        <v>1542.0300000000002</v>
      </c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48"/>
      <c r="AL57" s="248"/>
      <c r="AM57" s="248"/>
      <c r="AN57" s="248"/>
      <c r="AO57" s="248"/>
      <c r="AP57" s="248"/>
      <c r="AQ57" s="248"/>
      <c r="AR57" s="248"/>
      <c r="AS57" s="248"/>
      <c r="AT57" s="248"/>
      <c r="AU57" s="248"/>
      <c r="AV57" s="248"/>
      <c r="AW57" s="248"/>
      <c r="AX57" s="248"/>
      <c r="AY57" s="248"/>
      <c r="AZ57" s="248"/>
      <c r="BA57" s="248"/>
      <c r="BB57" s="248"/>
      <c r="BC57" s="248"/>
      <c r="BD57" s="248"/>
      <c r="BE57" s="248"/>
      <c r="BF57" s="248"/>
      <c r="BG57" s="248"/>
      <c r="BH57" s="248"/>
      <c r="BI57" s="248"/>
      <c r="BJ57" s="248"/>
      <c r="BK57" s="248"/>
      <c r="BL57" s="248"/>
      <c r="BM57" s="248"/>
    </row>
    <row r="58" spans="1:65" s="320" customFormat="1" ht="15.75" customHeight="1" x14ac:dyDescent="0.2">
      <c r="A58" s="261"/>
      <c r="B58" s="262"/>
      <c r="C58" s="280"/>
      <c r="D58" s="263"/>
      <c r="E58" s="263" t="s">
        <v>308</v>
      </c>
      <c r="F58" s="273" t="s">
        <v>20</v>
      </c>
      <c r="G58" s="274">
        <f>200+250</f>
        <v>450</v>
      </c>
      <c r="H58" s="248"/>
      <c r="I58" s="248"/>
      <c r="J58" s="248"/>
      <c r="K58" s="248"/>
      <c r="L58" s="248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  <c r="AA58" s="248"/>
      <c r="AB58" s="248"/>
      <c r="AC58" s="248"/>
      <c r="AD58" s="248"/>
      <c r="AE58" s="248"/>
      <c r="AF58" s="248"/>
      <c r="AG58" s="248"/>
      <c r="AH58" s="248"/>
      <c r="AI58" s="248"/>
      <c r="AJ58" s="248"/>
      <c r="AK58" s="248"/>
      <c r="AL58" s="248"/>
      <c r="AM58" s="248"/>
      <c r="AN58" s="248"/>
      <c r="AO58" s="248"/>
      <c r="AP58" s="248"/>
      <c r="AQ58" s="248"/>
      <c r="AR58" s="248"/>
      <c r="AS58" s="248"/>
      <c r="AT58" s="248"/>
      <c r="AU58" s="248"/>
      <c r="AV58" s="248"/>
      <c r="AW58" s="248"/>
      <c r="AX58" s="248"/>
      <c r="AY58" s="248"/>
      <c r="AZ58" s="248"/>
      <c r="BA58" s="248"/>
      <c r="BB58" s="248"/>
      <c r="BC58" s="248"/>
      <c r="BD58" s="248"/>
      <c r="BE58" s="248"/>
      <c r="BF58" s="248"/>
      <c r="BG58" s="248"/>
      <c r="BH58" s="248"/>
      <c r="BI58" s="248"/>
      <c r="BJ58" s="248"/>
      <c r="BK58" s="248"/>
      <c r="BL58" s="248"/>
      <c r="BM58" s="248"/>
    </row>
    <row r="59" spans="1:65" s="320" customFormat="1" ht="9" customHeight="1" x14ac:dyDescent="0.2">
      <c r="A59" s="261"/>
      <c r="B59" s="262"/>
      <c r="C59" s="280"/>
      <c r="D59" s="263"/>
      <c r="E59" s="263"/>
      <c r="F59" s="273"/>
      <c r="G59" s="274"/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K59" s="248"/>
      <c r="AL59" s="248"/>
      <c r="AM59" s="248"/>
      <c r="AN59" s="248"/>
      <c r="AO59" s="248"/>
      <c r="AP59" s="248"/>
      <c r="AQ59" s="248"/>
      <c r="AR59" s="248"/>
      <c r="AS59" s="248"/>
      <c r="AT59" s="248"/>
      <c r="AU59" s="248"/>
      <c r="AV59" s="248"/>
      <c r="AW59" s="248"/>
      <c r="AX59" s="248"/>
      <c r="AY59" s="248"/>
      <c r="AZ59" s="248"/>
      <c r="BA59" s="248"/>
      <c r="BB59" s="248"/>
      <c r="BC59" s="248"/>
      <c r="BD59" s="248"/>
      <c r="BE59" s="248"/>
      <c r="BF59" s="248"/>
      <c r="BG59" s="248"/>
      <c r="BH59" s="248"/>
      <c r="BI59" s="248"/>
      <c r="BJ59" s="248"/>
      <c r="BK59" s="248"/>
      <c r="BL59" s="248"/>
      <c r="BM59" s="248"/>
    </row>
    <row r="60" spans="1:65" s="320" customFormat="1" ht="15.75" customHeight="1" x14ac:dyDescent="0.2">
      <c r="A60" s="261"/>
      <c r="B60" s="322" t="s">
        <v>303</v>
      </c>
      <c r="C60" s="263" t="s">
        <v>304</v>
      </c>
      <c r="D60" s="263" t="s">
        <v>310</v>
      </c>
      <c r="E60" s="269" t="s">
        <v>20</v>
      </c>
      <c r="F60" s="270" t="s">
        <v>20</v>
      </c>
      <c r="G60" s="271">
        <f>SUM(G62)</f>
        <v>164048.69</v>
      </c>
      <c r="H60" s="248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48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248"/>
      <c r="AK60" s="248"/>
      <c r="AL60" s="248"/>
      <c r="AM60" s="248"/>
      <c r="AN60" s="248"/>
      <c r="AO60" s="248"/>
      <c r="AP60" s="248"/>
      <c r="AQ60" s="248"/>
      <c r="AR60" s="248"/>
      <c r="AS60" s="248"/>
      <c r="AT60" s="248"/>
      <c r="AU60" s="248"/>
      <c r="AV60" s="248"/>
      <c r="AW60" s="248"/>
      <c r="AX60" s="248"/>
      <c r="AY60" s="248"/>
      <c r="AZ60" s="248"/>
      <c r="BA60" s="248"/>
      <c r="BB60" s="248"/>
      <c r="BC60" s="248"/>
      <c r="BD60" s="248"/>
      <c r="BE60" s="248"/>
      <c r="BF60" s="248"/>
      <c r="BG60" s="248"/>
      <c r="BH60" s="248"/>
      <c r="BI60" s="248"/>
      <c r="BJ60" s="248"/>
      <c r="BK60" s="248"/>
      <c r="BL60" s="248"/>
      <c r="BM60" s="248"/>
    </row>
    <row r="61" spans="1:65" s="320" customFormat="1" ht="6.75" customHeight="1" x14ac:dyDescent="0.2">
      <c r="A61" s="261"/>
      <c r="B61" s="262"/>
      <c r="C61" s="280"/>
      <c r="D61" s="263"/>
      <c r="E61" s="263"/>
      <c r="F61" s="273"/>
      <c r="G61" s="274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48"/>
      <c r="AL61" s="248"/>
      <c r="AM61" s="248"/>
      <c r="AN61" s="248"/>
      <c r="AO61" s="248"/>
      <c r="AP61" s="248"/>
      <c r="AQ61" s="248"/>
      <c r="AR61" s="248"/>
      <c r="AS61" s="248"/>
      <c r="AT61" s="248"/>
      <c r="AU61" s="248"/>
      <c r="AV61" s="248"/>
      <c r="AW61" s="248"/>
      <c r="AX61" s="248"/>
      <c r="AY61" s="248"/>
      <c r="AZ61" s="248"/>
      <c r="BA61" s="248"/>
      <c r="BB61" s="248"/>
      <c r="BC61" s="248"/>
      <c r="BD61" s="248"/>
      <c r="BE61" s="248"/>
      <c r="BF61" s="248"/>
      <c r="BG61" s="248"/>
      <c r="BH61" s="248"/>
      <c r="BI61" s="248"/>
      <c r="BJ61" s="248"/>
      <c r="BK61" s="248"/>
      <c r="BL61" s="248"/>
      <c r="BM61" s="248"/>
    </row>
    <row r="62" spans="1:65" s="320" customFormat="1" ht="15.75" customHeight="1" x14ac:dyDescent="0.2">
      <c r="A62" s="261"/>
      <c r="B62" s="262"/>
      <c r="C62" s="280"/>
      <c r="D62" s="263"/>
      <c r="E62" s="263"/>
      <c r="F62" s="273"/>
      <c r="G62" s="321">
        <f>SUM(G63:G68)</f>
        <v>164048.69</v>
      </c>
      <c r="H62" s="248"/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8"/>
      <c r="AB62" s="248"/>
      <c r="AC62" s="248"/>
      <c r="AD62" s="248"/>
      <c r="AE62" s="248"/>
      <c r="AF62" s="248"/>
      <c r="AG62" s="248"/>
      <c r="AH62" s="248"/>
      <c r="AI62" s="248"/>
      <c r="AJ62" s="248"/>
      <c r="AK62" s="248"/>
      <c r="AL62" s="248"/>
      <c r="AM62" s="248"/>
      <c r="AN62" s="248"/>
      <c r="AO62" s="248"/>
      <c r="AP62" s="248"/>
      <c r="AQ62" s="248"/>
      <c r="AR62" s="248"/>
      <c r="AS62" s="248"/>
      <c r="AT62" s="248"/>
      <c r="AU62" s="248"/>
      <c r="AV62" s="248"/>
      <c r="AW62" s="248"/>
      <c r="AX62" s="248"/>
      <c r="AY62" s="248"/>
      <c r="AZ62" s="248"/>
      <c r="BA62" s="248"/>
      <c r="BB62" s="248"/>
      <c r="BC62" s="248"/>
      <c r="BD62" s="248"/>
      <c r="BE62" s="248"/>
      <c r="BF62" s="248"/>
      <c r="BG62" s="248"/>
      <c r="BH62" s="248"/>
      <c r="BI62" s="248"/>
      <c r="BJ62" s="248"/>
      <c r="BK62" s="248"/>
      <c r="BL62" s="248"/>
      <c r="BM62" s="248"/>
    </row>
    <row r="63" spans="1:65" s="320" customFormat="1" ht="15.75" customHeight="1" x14ac:dyDescent="0.2">
      <c r="A63" s="261"/>
      <c r="B63" s="262"/>
      <c r="C63" s="280"/>
      <c r="D63" s="263"/>
      <c r="E63" s="263" t="s">
        <v>306</v>
      </c>
      <c r="F63" s="273" t="s">
        <v>20</v>
      </c>
      <c r="G63" s="274">
        <f>23691.12+150+18060.81+21399.75+11389.18+37455.25+3702</f>
        <v>115848.11</v>
      </c>
      <c r="H63" s="248"/>
      <c r="I63" s="248"/>
      <c r="J63" s="248"/>
      <c r="K63" s="248"/>
      <c r="L63" s="248"/>
      <c r="M63" s="248"/>
      <c r="N63" s="248"/>
      <c r="O63" s="248"/>
      <c r="P63" s="248"/>
      <c r="Q63" s="248"/>
      <c r="R63" s="248"/>
      <c r="S63" s="248"/>
      <c r="T63" s="248"/>
      <c r="U63" s="248"/>
      <c r="V63" s="248"/>
      <c r="W63" s="248"/>
      <c r="X63" s="248"/>
      <c r="Y63" s="248"/>
      <c r="Z63" s="248"/>
      <c r="AA63" s="248"/>
      <c r="AB63" s="248"/>
      <c r="AC63" s="248"/>
      <c r="AD63" s="248"/>
      <c r="AE63" s="248"/>
      <c r="AF63" s="248"/>
      <c r="AG63" s="248"/>
      <c r="AH63" s="248"/>
      <c r="AI63" s="248"/>
      <c r="AJ63" s="248"/>
      <c r="AK63" s="248"/>
      <c r="AL63" s="248"/>
      <c r="AM63" s="248"/>
      <c r="AN63" s="248"/>
      <c r="AO63" s="248"/>
      <c r="AP63" s="248"/>
      <c r="AQ63" s="248"/>
      <c r="AR63" s="248"/>
      <c r="AS63" s="248"/>
      <c r="AT63" s="248"/>
      <c r="AU63" s="248"/>
      <c r="AV63" s="248"/>
      <c r="AW63" s="248"/>
      <c r="AX63" s="248"/>
      <c r="AY63" s="248"/>
      <c r="AZ63" s="248"/>
      <c r="BA63" s="248"/>
      <c r="BB63" s="248"/>
      <c r="BC63" s="248"/>
      <c r="BD63" s="248"/>
      <c r="BE63" s="248"/>
      <c r="BF63" s="248"/>
      <c r="BG63" s="248"/>
      <c r="BH63" s="248"/>
      <c r="BI63" s="248"/>
      <c r="BJ63" s="248"/>
      <c r="BK63" s="248"/>
      <c r="BL63" s="248"/>
      <c r="BM63" s="248"/>
    </row>
    <row r="64" spans="1:65" s="320" customFormat="1" ht="15.75" customHeight="1" x14ac:dyDescent="0.2">
      <c r="A64" s="261"/>
      <c r="B64" s="262"/>
      <c r="C64" s="280"/>
      <c r="D64" s="263"/>
      <c r="E64" s="263" t="s">
        <v>291</v>
      </c>
      <c r="F64" s="273" t="s">
        <v>20</v>
      </c>
      <c r="G64" s="274">
        <f>59.35+5514.25+955.6+12.5</f>
        <v>6541.7000000000007</v>
      </c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8"/>
      <c r="AJ64" s="248"/>
      <c r="AK64" s="248"/>
      <c r="AL64" s="248"/>
      <c r="AM64" s="248"/>
      <c r="AN64" s="248"/>
      <c r="AO64" s="248"/>
      <c r="AP64" s="248"/>
      <c r="AQ64" s="248"/>
      <c r="AR64" s="248"/>
      <c r="AS64" s="248"/>
      <c r="AT64" s="248"/>
      <c r="AU64" s="248"/>
      <c r="AV64" s="248"/>
      <c r="AW64" s="248"/>
      <c r="AX64" s="248"/>
      <c r="AY64" s="248"/>
      <c r="AZ64" s="248"/>
      <c r="BA64" s="248"/>
      <c r="BB64" s="248"/>
      <c r="BC64" s="248"/>
      <c r="BD64" s="248"/>
      <c r="BE64" s="248"/>
      <c r="BF64" s="248"/>
      <c r="BG64" s="248"/>
      <c r="BH64" s="248"/>
      <c r="BI64" s="248"/>
      <c r="BJ64" s="248"/>
      <c r="BK64" s="248"/>
      <c r="BL64" s="248"/>
      <c r="BM64" s="248"/>
    </row>
    <row r="65" spans="1:65" s="320" customFormat="1" ht="15.75" customHeight="1" x14ac:dyDescent="0.2">
      <c r="A65" s="261"/>
      <c r="B65" s="262"/>
      <c r="C65" s="280"/>
      <c r="D65" s="263"/>
      <c r="E65" s="263" t="s">
        <v>295</v>
      </c>
      <c r="F65" s="273" t="s">
        <v>20</v>
      </c>
      <c r="G65" s="274">
        <f>2000+7149.84-1110.28-1001</f>
        <v>7038.56</v>
      </c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48"/>
      <c r="AD65" s="248"/>
      <c r="AE65" s="248"/>
      <c r="AF65" s="248"/>
      <c r="AG65" s="248"/>
      <c r="AH65" s="248"/>
      <c r="AI65" s="248"/>
      <c r="AJ65" s="248"/>
      <c r="AK65" s="248"/>
      <c r="AL65" s="248"/>
      <c r="AM65" s="248"/>
      <c r="AN65" s="248"/>
      <c r="AO65" s="248"/>
      <c r="AP65" s="248"/>
      <c r="AQ65" s="248"/>
      <c r="AR65" s="248"/>
      <c r="AS65" s="248"/>
      <c r="AT65" s="248"/>
      <c r="AU65" s="248"/>
      <c r="AV65" s="248"/>
      <c r="AW65" s="248"/>
      <c r="AX65" s="248"/>
      <c r="AY65" s="248"/>
      <c r="AZ65" s="248"/>
      <c r="BA65" s="248"/>
      <c r="BB65" s="248"/>
      <c r="BC65" s="248"/>
      <c r="BD65" s="248"/>
      <c r="BE65" s="248"/>
      <c r="BF65" s="248"/>
      <c r="BG65" s="248"/>
      <c r="BH65" s="248"/>
      <c r="BI65" s="248"/>
      <c r="BJ65" s="248"/>
      <c r="BK65" s="248"/>
      <c r="BL65" s="248"/>
      <c r="BM65" s="248"/>
    </row>
    <row r="66" spans="1:65" s="320" customFormat="1" ht="15.75" customHeight="1" x14ac:dyDescent="0.2">
      <c r="A66" s="261"/>
      <c r="B66" s="262"/>
      <c r="C66" s="280"/>
      <c r="D66" s="263"/>
      <c r="E66" s="263" t="s">
        <v>307</v>
      </c>
      <c r="F66" s="273" t="s">
        <v>20</v>
      </c>
      <c r="G66" s="274">
        <f>20405.04-1481.12+16738.05+920.24-27889.6-3399.91-2973.69</f>
        <v>2319.0100000000007</v>
      </c>
      <c r="H66" s="248"/>
      <c r="I66" s="248"/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8"/>
      <c r="AE66" s="248"/>
      <c r="AF66" s="248"/>
      <c r="AG66" s="248"/>
      <c r="AH66" s="248"/>
      <c r="AI66" s="248"/>
      <c r="AJ66" s="248"/>
      <c r="AK66" s="248"/>
      <c r="AL66" s="248"/>
      <c r="AM66" s="248"/>
      <c r="AN66" s="248"/>
      <c r="AO66" s="248"/>
      <c r="AP66" s="248"/>
      <c r="AQ66" s="248"/>
      <c r="AR66" s="248"/>
      <c r="AS66" s="248"/>
      <c r="AT66" s="248"/>
      <c r="AU66" s="248"/>
      <c r="AV66" s="248"/>
      <c r="AW66" s="248"/>
      <c r="AX66" s="248"/>
      <c r="AY66" s="248"/>
      <c r="AZ66" s="248"/>
      <c r="BA66" s="248"/>
      <c r="BB66" s="248"/>
      <c r="BC66" s="248"/>
      <c r="BD66" s="248"/>
      <c r="BE66" s="248"/>
      <c r="BF66" s="248"/>
      <c r="BG66" s="248"/>
      <c r="BH66" s="248"/>
      <c r="BI66" s="248"/>
      <c r="BJ66" s="248"/>
      <c r="BK66" s="248"/>
      <c r="BL66" s="248"/>
      <c r="BM66" s="248"/>
    </row>
    <row r="67" spans="1:65" s="320" customFormat="1" ht="15.75" customHeight="1" x14ac:dyDescent="0.2">
      <c r="A67" s="261"/>
      <c r="B67" s="262"/>
      <c r="C67" s="280"/>
      <c r="D67" s="263"/>
      <c r="E67" s="263" t="s">
        <v>296</v>
      </c>
      <c r="F67" s="273" t="s">
        <v>20</v>
      </c>
      <c r="G67" s="274">
        <f>392.8+1530.93+4987-313.11+8769.5+224.9-9429.06-1511.06-1384.71</f>
        <v>3267.1899999999996</v>
      </c>
      <c r="H67" s="248"/>
      <c r="I67" s="248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8"/>
      <c r="AE67" s="248"/>
      <c r="AF67" s="248"/>
      <c r="AG67" s="248"/>
      <c r="AH67" s="248"/>
      <c r="AI67" s="248"/>
      <c r="AJ67" s="248"/>
      <c r="AK67" s="248"/>
      <c r="AL67" s="248"/>
      <c r="AM67" s="248"/>
      <c r="AN67" s="248"/>
      <c r="AO67" s="248"/>
      <c r="AP67" s="248"/>
      <c r="AQ67" s="248"/>
      <c r="AR67" s="248"/>
      <c r="AS67" s="248"/>
      <c r="AT67" s="248"/>
      <c r="AU67" s="248"/>
      <c r="AV67" s="248"/>
      <c r="AW67" s="248"/>
      <c r="AX67" s="248"/>
      <c r="AY67" s="248"/>
      <c r="AZ67" s="248"/>
      <c r="BA67" s="248"/>
      <c r="BB67" s="248"/>
      <c r="BC67" s="248"/>
      <c r="BD67" s="248"/>
      <c r="BE67" s="248"/>
      <c r="BF67" s="248"/>
      <c r="BG67" s="248"/>
      <c r="BH67" s="248"/>
      <c r="BI67" s="248"/>
      <c r="BJ67" s="248"/>
      <c r="BK67" s="248"/>
      <c r="BL67" s="248"/>
      <c r="BM67" s="248"/>
    </row>
    <row r="68" spans="1:65" s="320" customFormat="1" ht="15.75" customHeight="1" x14ac:dyDescent="0.2">
      <c r="A68" s="261"/>
      <c r="B68" s="262"/>
      <c r="C68" s="280"/>
      <c r="D68" s="263"/>
      <c r="E68" s="263" t="s">
        <v>308</v>
      </c>
      <c r="F68" s="273" t="s">
        <v>20</v>
      </c>
      <c r="G68" s="274">
        <f>288.06+109.61+20624.29+8118.26-106.1</f>
        <v>29034.120000000003</v>
      </c>
      <c r="H68" s="248"/>
      <c r="I68" s="248"/>
      <c r="J68" s="248"/>
      <c r="K68" s="248"/>
      <c r="L68" s="248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8"/>
      <c r="Y68" s="248"/>
      <c r="Z68" s="248"/>
      <c r="AA68" s="248"/>
      <c r="AB68" s="248"/>
      <c r="AC68" s="248"/>
      <c r="AD68" s="248"/>
      <c r="AE68" s="248"/>
      <c r="AF68" s="248"/>
      <c r="AG68" s="248"/>
      <c r="AH68" s="248"/>
      <c r="AI68" s="248"/>
      <c r="AJ68" s="248"/>
      <c r="AK68" s="248"/>
      <c r="AL68" s="248"/>
      <c r="AM68" s="248"/>
      <c r="AN68" s="248"/>
      <c r="AO68" s="248"/>
      <c r="AP68" s="248"/>
      <c r="AQ68" s="248"/>
      <c r="AR68" s="248"/>
      <c r="AS68" s="248"/>
      <c r="AT68" s="248"/>
      <c r="AU68" s="248"/>
      <c r="AV68" s="248"/>
      <c r="AW68" s="248"/>
      <c r="AX68" s="248"/>
      <c r="AY68" s="248"/>
      <c r="AZ68" s="248"/>
      <c r="BA68" s="248"/>
      <c r="BB68" s="248"/>
      <c r="BC68" s="248"/>
      <c r="BD68" s="248"/>
      <c r="BE68" s="248"/>
      <c r="BF68" s="248"/>
      <c r="BG68" s="248"/>
      <c r="BH68" s="248"/>
      <c r="BI68" s="248"/>
      <c r="BJ68" s="248"/>
      <c r="BK68" s="248"/>
      <c r="BL68" s="248"/>
      <c r="BM68" s="248"/>
    </row>
    <row r="69" spans="1:65" s="320" customFormat="1" ht="15.75" customHeight="1" x14ac:dyDescent="0.2">
      <c r="A69" s="261"/>
      <c r="B69" s="262"/>
      <c r="C69" s="280"/>
      <c r="D69" s="263"/>
      <c r="E69" s="263"/>
      <c r="F69" s="273"/>
      <c r="G69" s="274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48"/>
      <c r="AL69" s="248"/>
      <c r="AM69" s="248"/>
      <c r="AN69" s="248"/>
      <c r="AO69" s="248"/>
      <c r="AP69" s="248"/>
      <c r="AQ69" s="248"/>
      <c r="AR69" s="248"/>
      <c r="AS69" s="248"/>
      <c r="AT69" s="248"/>
      <c r="AU69" s="248"/>
      <c r="AV69" s="248"/>
      <c r="AW69" s="248"/>
      <c r="AX69" s="248"/>
      <c r="AY69" s="248"/>
      <c r="AZ69" s="248"/>
      <c r="BA69" s="248"/>
      <c r="BB69" s="248"/>
      <c r="BC69" s="248"/>
      <c r="BD69" s="248"/>
      <c r="BE69" s="248"/>
      <c r="BF69" s="248"/>
      <c r="BG69" s="248"/>
      <c r="BH69" s="248"/>
      <c r="BI69" s="248"/>
      <c r="BJ69" s="248"/>
      <c r="BK69" s="248"/>
      <c r="BL69" s="248"/>
      <c r="BM69" s="248"/>
    </row>
    <row r="70" spans="1:65" s="320" customFormat="1" ht="15.75" customHeight="1" x14ac:dyDescent="0.2">
      <c r="A70" s="261"/>
      <c r="B70" s="322" t="s">
        <v>311</v>
      </c>
      <c r="C70" s="263" t="s">
        <v>304</v>
      </c>
      <c r="D70" s="263" t="s">
        <v>310</v>
      </c>
      <c r="E70" s="269" t="s">
        <v>20</v>
      </c>
      <c r="F70" s="270" t="s">
        <v>20</v>
      </c>
      <c r="G70" s="271">
        <f>SUM(G72)</f>
        <v>9180.11</v>
      </c>
      <c r="H70" s="248"/>
      <c r="I70" s="248"/>
      <c r="J70" s="248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248"/>
      <c r="Z70" s="248"/>
      <c r="AA70" s="248"/>
      <c r="AB70" s="248"/>
      <c r="AC70" s="248"/>
      <c r="AD70" s="248"/>
      <c r="AE70" s="248"/>
      <c r="AF70" s="248"/>
      <c r="AG70" s="248"/>
      <c r="AH70" s="248"/>
      <c r="AI70" s="248"/>
      <c r="AJ70" s="248"/>
      <c r="AK70" s="248"/>
      <c r="AL70" s="248"/>
      <c r="AM70" s="248"/>
      <c r="AN70" s="248"/>
      <c r="AO70" s="248"/>
      <c r="AP70" s="248"/>
      <c r="AQ70" s="248"/>
      <c r="AR70" s="248"/>
      <c r="AS70" s="248"/>
      <c r="AT70" s="248"/>
      <c r="AU70" s="248"/>
      <c r="AV70" s="248"/>
      <c r="AW70" s="248"/>
      <c r="AX70" s="248"/>
      <c r="AY70" s="248"/>
      <c r="AZ70" s="248"/>
      <c r="BA70" s="248"/>
      <c r="BB70" s="248"/>
      <c r="BC70" s="248"/>
      <c r="BD70" s="248"/>
      <c r="BE70" s="248"/>
      <c r="BF70" s="248"/>
      <c r="BG70" s="248"/>
      <c r="BH70" s="248"/>
      <c r="BI70" s="248"/>
      <c r="BJ70" s="248"/>
      <c r="BK70" s="248"/>
      <c r="BL70" s="248"/>
      <c r="BM70" s="248"/>
    </row>
    <row r="71" spans="1:65" s="320" customFormat="1" ht="15.75" customHeight="1" x14ac:dyDescent="0.2">
      <c r="A71" s="261"/>
      <c r="B71" s="262"/>
      <c r="C71" s="280"/>
      <c r="D71" s="263"/>
      <c r="E71" s="263"/>
      <c r="F71" s="273"/>
      <c r="G71" s="274"/>
      <c r="H71" s="248"/>
      <c r="I71" s="248"/>
      <c r="J71" s="248"/>
      <c r="K71" s="248"/>
      <c r="L71" s="248"/>
      <c r="M71" s="248"/>
      <c r="N71" s="248"/>
      <c r="O71" s="248"/>
      <c r="P71" s="248"/>
      <c r="Q71" s="248"/>
      <c r="R71" s="248"/>
      <c r="S71" s="248"/>
      <c r="T71" s="248"/>
      <c r="U71" s="248"/>
      <c r="V71" s="248"/>
      <c r="W71" s="248"/>
      <c r="X71" s="248"/>
      <c r="Y71" s="248"/>
      <c r="Z71" s="248"/>
      <c r="AA71" s="248"/>
      <c r="AB71" s="248"/>
      <c r="AC71" s="248"/>
      <c r="AD71" s="248"/>
      <c r="AE71" s="248"/>
      <c r="AF71" s="248"/>
      <c r="AG71" s="248"/>
      <c r="AH71" s="248"/>
      <c r="AI71" s="248"/>
      <c r="AJ71" s="248"/>
      <c r="AK71" s="248"/>
      <c r="AL71" s="248"/>
      <c r="AM71" s="248"/>
      <c r="AN71" s="248"/>
      <c r="AO71" s="248"/>
      <c r="AP71" s="248"/>
      <c r="AQ71" s="248"/>
      <c r="AR71" s="248"/>
      <c r="AS71" s="248"/>
      <c r="AT71" s="248"/>
      <c r="AU71" s="248"/>
      <c r="AV71" s="248"/>
      <c r="AW71" s="248"/>
      <c r="AX71" s="248"/>
      <c r="AY71" s="248"/>
      <c r="AZ71" s="248"/>
      <c r="BA71" s="248"/>
      <c r="BB71" s="248"/>
      <c r="BC71" s="248"/>
      <c r="BD71" s="248"/>
      <c r="BE71" s="248"/>
      <c r="BF71" s="248"/>
      <c r="BG71" s="248"/>
      <c r="BH71" s="248"/>
      <c r="BI71" s="248"/>
      <c r="BJ71" s="248"/>
      <c r="BK71" s="248"/>
      <c r="BL71" s="248"/>
      <c r="BM71" s="248"/>
    </row>
    <row r="72" spans="1:65" s="320" customFormat="1" ht="15.75" customHeight="1" x14ac:dyDescent="0.2">
      <c r="A72" s="261"/>
      <c r="B72" s="262"/>
      <c r="C72" s="280"/>
      <c r="D72" s="263"/>
      <c r="E72" s="263"/>
      <c r="F72" s="273"/>
      <c r="G72" s="321">
        <f>SUM(G73)</f>
        <v>9180.11</v>
      </c>
      <c r="H72" s="248"/>
      <c r="I72" s="248"/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48"/>
      <c r="AI72" s="248"/>
      <c r="AJ72" s="248"/>
      <c r="AK72" s="248"/>
      <c r="AL72" s="248"/>
      <c r="AM72" s="248"/>
      <c r="AN72" s="248"/>
      <c r="AO72" s="248"/>
      <c r="AP72" s="248"/>
      <c r="AQ72" s="248"/>
      <c r="AR72" s="248"/>
      <c r="AS72" s="248"/>
      <c r="AT72" s="248"/>
      <c r="AU72" s="248"/>
      <c r="AV72" s="248"/>
      <c r="AW72" s="248"/>
      <c r="AX72" s="248"/>
      <c r="AY72" s="248"/>
      <c r="AZ72" s="248"/>
      <c r="BA72" s="248"/>
      <c r="BB72" s="248"/>
      <c r="BC72" s="248"/>
      <c r="BD72" s="248"/>
      <c r="BE72" s="248"/>
      <c r="BF72" s="248"/>
      <c r="BG72" s="248"/>
      <c r="BH72" s="248"/>
      <c r="BI72" s="248"/>
      <c r="BJ72" s="248"/>
      <c r="BK72" s="248"/>
      <c r="BL72" s="248"/>
      <c r="BM72" s="248"/>
    </row>
    <row r="73" spans="1:65" s="320" customFormat="1" ht="15.75" customHeight="1" x14ac:dyDescent="0.2">
      <c r="A73" s="261"/>
      <c r="B73" s="262"/>
      <c r="C73" s="280"/>
      <c r="D73" s="263"/>
      <c r="E73" s="263" t="s">
        <v>312</v>
      </c>
      <c r="F73" s="273" t="s">
        <v>20</v>
      </c>
      <c r="G73" s="274">
        <f>2391.32+3201.31+3587.48</f>
        <v>9180.11</v>
      </c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248"/>
      <c r="Y73" s="248"/>
      <c r="Z73" s="248"/>
      <c r="AA73" s="248"/>
      <c r="AB73" s="248"/>
      <c r="AC73" s="248"/>
      <c r="AD73" s="248"/>
      <c r="AE73" s="248"/>
      <c r="AF73" s="248"/>
      <c r="AG73" s="248"/>
      <c r="AH73" s="248"/>
      <c r="AI73" s="248"/>
      <c r="AJ73" s="248"/>
      <c r="AK73" s="248"/>
      <c r="AL73" s="248"/>
      <c r="AM73" s="248"/>
      <c r="AN73" s="248"/>
      <c r="AO73" s="248"/>
      <c r="AP73" s="248"/>
      <c r="AQ73" s="248"/>
      <c r="AR73" s="248"/>
      <c r="AS73" s="248"/>
      <c r="AT73" s="248"/>
      <c r="AU73" s="248"/>
      <c r="AV73" s="248"/>
      <c r="AW73" s="248"/>
      <c r="AX73" s="248"/>
      <c r="AY73" s="248"/>
      <c r="AZ73" s="248"/>
      <c r="BA73" s="248"/>
      <c r="BB73" s="248"/>
      <c r="BC73" s="248"/>
      <c r="BD73" s="248"/>
      <c r="BE73" s="248"/>
      <c r="BF73" s="248"/>
      <c r="BG73" s="248"/>
      <c r="BH73" s="248"/>
      <c r="BI73" s="248"/>
      <c r="BJ73" s="248"/>
      <c r="BK73" s="248"/>
      <c r="BL73" s="248"/>
      <c r="BM73" s="248"/>
    </row>
    <row r="74" spans="1:65" s="320" customFormat="1" ht="12.75" customHeight="1" x14ac:dyDescent="0.2">
      <c r="A74" s="261"/>
      <c r="B74" s="262"/>
      <c r="C74" s="280"/>
      <c r="D74" s="263"/>
      <c r="E74" s="263"/>
      <c r="F74" s="273"/>
      <c r="G74" s="274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248"/>
      <c r="AI74" s="248"/>
      <c r="AJ74" s="248"/>
      <c r="AK74" s="248"/>
      <c r="AL74" s="248"/>
      <c r="AM74" s="248"/>
      <c r="AN74" s="248"/>
      <c r="AO74" s="248"/>
      <c r="AP74" s="248"/>
      <c r="AQ74" s="248"/>
      <c r="AR74" s="248"/>
      <c r="AS74" s="248"/>
      <c r="AT74" s="248"/>
      <c r="AU74" s="248"/>
      <c r="AV74" s="248"/>
      <c r="AW74" s="248"/>
      <c r="AX74" s="248"/>
      <c r="AY74" s="248"/>
      <c r="AZ74" s="248"/>
      <c r="BA74" s="248"/>
      <c r="BB74" s="248"/>
      <c r="BC74" s="248"/>
      <c r="BD74" s="248"/>
      <c r="BE74" s="248"/>
      <c r="BF74" s="248"/>
      <c r="BG74" s="248"/>
      <c r="BH74" s="248"/>
      <c r="BI74" s="248"/>
      <c r="BJ74" s="248"/>
      <c r="BK74" s="248"/>
      <c r="BL74" s="248"/>
      <c r="BM74" s="248"/>
    </row>
    <row r="75" spans="1:65" s="320" customFormat="1" ht="15.75" customHeight="1" x14ac:dyDescent="0.2">
      <c r="A75" s="261"/>
      <c r="B75" s="322" t="s">
        <v>303</v>
      </c>
      <c r="C75" s="263" t="s">
        <v>304</v>
      </c>
      <c r="D75" s="263" t="s">
        <v>313</v>
      </c>
      <c r="E75" s="269" t="s">
        <v>20</v>
      </c>
      <c r="F75" s="270" t="s">
        <v>20</v>
      </c>
      <c r="G75" s="271">
        <f>SUM(G77)</f>
        <v>19423.419999999998</v>
      </c>
      <c r="H75" s="248"/>
      <c r="I75" s="248"/>
      <c r="J75" s="248"/>
      <c r="K75" s="248"/>
      <c r="L75" s="248"/>
      <c r="M75" s="248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Z75" s="248"/>
      <c r="AA75" s="248"/>
      <c r="AB75" s="248"/>
      <c r="AC75" s="248"/>
      <c r="AD75" s="248"/>
      <c r="AE75" s="248"/>
      <c r="AF75" s="248"/>
      <c r="AG75" s="248"/>
      <c r="AH75" s="248"/>
      <c r="AI75" s="248"/>
      <c r="AJ75" s="248"/>
      <c r="AK75" s="248"/>
      <c r="AL75" s="248"/>
      <c r="AM75" s="248"/>
      <c r="AN75" s="248"/>
      <c r="AO75" s="248"/>
      <c r="AP75" s="248"/>
      <c r="AQ75" s="248"/>
      <c r="AR75" s="248"/>
      <c r="AS75" s="248"/>
      <c r="AT75" s="248"/>
      <c r="AU75" s="248"/>
      <c r="AV75" s="248"/>
      <c r="AW75" s="248"/>
      <c r="AX75" s="248"/>
      <c r="AY75" s="248"/>
      <c r="AZ75" s="248"/>
      <c r="BA75" s="248"/>
      <c r="BB75" s="248"/>
      <c r="BC75" s="248"/>
      <c r="BD75" s="248"/>
      <c r="BE75" s="248"/>
      <c r="BF75" s="248"/>
      <c r="BG75" s="248"/>
      <c r="BH75" s="248"/>
      <c r="BI75" s="248"/>
      <c r="BJ75" s="248"/>
      <c r="BK75" s="248"/>
      <c r="BL75" s="248"/>
      <c r="BM75" s="248"/>
    </row>
    <row r="76" spans="1:65" s="320" customFormat="1" ht="12" customHeight="1" x14ac:dyDescent="0.2">
      <c r="A76" s="261"/>
      <c r="B76" s="262"/>
      <c r="C76" s="280"/>
      <c r="D76" s="263"/>
      <c r="E76" s="263"/>
      <c r="F76" s="273"/>
      <c r="G76" s="274"/>
      <c r="H76" s="248"/>
      <c r="I76" s="248"/>
      <c r="J76" s="248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48"/>
      <c r="AD76" s="248"/>
      <c r="AE76" s="248"/>
      <c r="AF76" s="248"/>
      <c r="AG76" s="248"/>
      <c r="AH76" s="248"/>
      <c r="AI76" s="248"/>
      <c r="AJ76" s="248"/>
      <c r="AK76" s="248"/>
      <c r="AL76" s="248"/>
      <c r="AM76" s="248"/>
      <c r="AN76" s="248"/>
      <c r="AO76" s="248"/>
      <c r="AP76" s="248"/>
      <c r="AQ76" s="248"/>
      <c r="AR76" s="248"/>
      <c r="AS76" s="248"/>
      <c r="AT76" s="248"/>
      <c r="AU76" s="248"/>
      <c r="AV76" s="248"/>
      <c r="AW76" s="248"/>
      <c r="AX76" s="248"/>
      <c r="AY76" s="248"/>
      <c r="AZ76" s="248"/>
      <c r="BA76" s="248"/>
      <c r="BB76" s="248"/>
      <c r="BC76" s="248"/>
      <c r="BD76" s="248"/>
      <c r="BE76" s="248"/>
      <c r="BF76" s="248"/>
      <c r="BG76" s="248"/>
      <c r="BH76" s="248"/>
      <c r="BI76" s="248"/>
      <c r="BJ76" s="248"/>
      <c r="BK76" s="248"/>
      <c r="BL76" s="248"/>
      <c r="BM76" s="248"/>
    </row>
    <row r="77" spans="1:65" s="320" customFormat="1" ht="15.75" customHeight="1" x14ac:dyDescent="0.2">
      <c r="A77" s="261"/>
      <c r="B77" s="262"/>
      <c r="C77" s="280"/>
      <c r="D77" s="263"/>
      <c r="E77" s="263"/>
      <c r="F77" s="273"/>
      <c r="G77" s="321">
        <f>SUM(G78:G83)</f>
        <v>19423.419999999998</v>
      </c>
      <c r="H77" s="248"/>
      <c r="I77" s="248"/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248"/>
      <c r="AB77" s="248"/>
      <c r="AC77" s="248"/>
      <c r="AD77" s="248"/>
      <c r="AE77" s="248"/>
      <c r="AF77" s="248"/>
      <c r="AG77" s="248"/>
      <c r="AH77" s="248"/>
      <c r="AI77" s="248"/>
      <c r="AJ77" s="248"/>
      <c r="AK77" s="248"/>
      <c r="AL77" s="248"/>
      <c r="AM77" s="248"/>
      <c r="AN77" s="248"/>
      <c r="AO77" s="248"/>
      <c r="AP77" s="248"/>
      <c r="AQ77" s="248"/>
      <c r="AR77" s="248"/>
      <c r="AS77" s="248"/>
      <c r="AT77" s="248"/>
      <c r="AU77" s="248"/>
      <c r="AV77" s="248"/>
      <c r="AW77" s="248"/>
      <c r="AX77" s="248"/>
      <c r="AY77" s="248"/>
      <c r="AZ77" s="248"/>
      <c r="BA77" s="248"/>
      <c r="BB77" s="248"/>
      <c r="BC77" s="248"/>
      <c r="BD77" s="248"/>
      <c r="BE77" s="248"/>
      <c r="BF77" s="248"/>
      <c r="BG77" s="248"/>
      <c r="BH77" s="248"/>
      <c r="BI77" s="248"/>
      <c r="BJ77" s="248"/>
      <c r="BK77" s="248"/>
      <c r="BL77" s="248"/>
      <c r="BM77" s="248"/>
    </row>
    <row r="78" spans="1:65" s="320" customFormat="1" ht="15.75" customHeight="1" x14ac:dyDescent="0.2">
      <c r="A78" s="261"/>
      <c r="B78" s="262"/>
      <c r="C78" s="280"/>
      <c r="D78" s="263"/>
      <c r="E78" s="263" t="s">
        <v>306</v>
      </c>
      <c r="F78" s="273" t="s">
        <v>20</v>
      </c>
      <c r="G78" s="274">
        <f>8000+10123.42</f>
        <v>18123.419999999998</v>
      </c>
      <c r="H78" s="248"/>
      <c r="I78" s="248"/>
      <c r="J78" s="248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248"/>
      <c r="AE78" s="248"/>
      <c r="AF78" s="248"/>
      <c r="AG78" s="248"/>
      <c r="AH78" s="248"/>
      <c r="AI78" s="248"/>
      <c r="AJ78" s="248"/>
      <c r="AK78" s="248"/>
      <c r="AL78" s="248"/>
      <c r="AM78" s="248"/>
      <c r="AN78" s="248"/>
      <c r="AO78" s="248"/>
      <c r="AP78" s="248"/>
      <c r="AQ78" s="248"/>
      <c r="AR78" s="248"/>
      <c r="AS78" s="248"/>
      <c r="AT78" s="248"/>
      <c r="AU78" s="248"/>
      <c r="AV78" s="248"/>
      <c r="AW78" s="248"/>
      <c r="AX78" s="248"/>
      <c r="AY78" s="248"/>
      <c r="AZ78" s="248"/>
      <c r="BA78" s="248"/>
      <c r="BB78" s="248"/>
      <c r="BC78" s="248"/>
      <c r="BD78" s="248"/>
      <c r="BE78" s="248"/>
      <c r="BF78" s="248"/>
      <c r="BG78" s="248"/>
      <c r="BH78" s="248"/>
      <c r="BI78" s="248"/>
      <c r="BJ78" s="248"/>
      <c r="BK78" s="248"/>
      <c r="BL78" s="248"/>
      <c r="BM78" s="248"/>
    </row>
    <row r="79" spans="1:65" s="320" customFormat="1" ht="15.75" customHeight="1" x14ac:dyDescent="0.2">
      <c r="A79" s="261"/>
      <c r="B79" s="262"/>
      <c r="C79" s="280"/>
      <c r="D79" s="263"/>
      <c r="E79" s="263" t="s">
        <v>291</v>
      </c>
      <c r="F79" s="273" t="s">
        <v>20</v>
      </c>
      <c r="G79" s="274">
        <f>50+200</f>
        <v>250</v>
      </c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48"/>
      <c r="AD79" s="248"/>
      <c r="AE79" s="248"/>
      <c r="AF79" s="248"/>
      <c r="AG79" s="248"/>
      <c r="AH79" s="248"/>
      <c r="AI79" s="248"/>
      <c r="AJ79" s="248"/>
      <c r="AK79" s="248"/>
      <c r="AL79" s="248"/>
      <c r="AM79" s="248"/>
      <c r="AN79" s="248"/>
      <c r="AO79" s="248"/>
      <c r="AP79" s="248"/>
      <c r="AQ79" s="248"/>
      <c r="AR79" s="248"/>
      <c r="AS79" s="248"/>
      <c r="AT79" s="248"/>
      <c r="AU79" s="248"/>
      <c r="AV79" s="248"/>
      <c r="AW79" s="248"/>
      <c r="AX79" s="248"/>
      <c r="AY79" s="248"/>
      <c r="AZ79" s="248"/>
      <c r="BA79" s="248"/>
      <c r="BB79" s="248"/>
      <c r="BC79" s="248"/>
      <c r="BD79" s="248"/>
      <c r="BE79" s="248"/>
      <c r="BF79" s="248"/>
      <c r="BG79" s="248"/>
      <c r="BH79" s="248"/>
      <c r="BI79" s="248"/>
      <c r="BJ79" s="248"/>
      <c r="BK79" s="248"/>
      <c r="BL79" s="248"/>
      <c r="BM79" s="248"/>
    </row>
    <row r="80" spans="1:65" s="320" customFormat="1" ht="15.75" customHeight="1" x14ac:dyDescent="0.2">
      <c r="A80" s="261"/>
      <c r="B80" s="262"/>
      <c r="C80" s="280"/>
      <c r="D80" s="263"/>
      <c r="E80" s="263" t="s">
        <v>295</v>
      </c>
      <c r="F80" s="273" t="s">
        <v>20</v>
      </c>
      <c r="G80" s="274">
        <f>3000-3000</f>
        <v>0</v>
      </c>
      <c r="H80" s="248"/>
      <c r="I80" s="248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248"/>
      <c r="AI80" s="248"/>
      <c r="AJ80" s="248"/>
      <c r="AK80" s="248"/>
      <c r="AL80" s="248"/>
      <c r="AM80" s="248"/>
      <c r="AN80" s="248"/>
      <c r="AO80" s="248"/>
      <c r="AP80" s="248"/>
      <c r="AQ80" s="248"/>
      <c r="AR80" s="248"/>
      <c r="AS80" s="248"/>
      <c r="AT80" s="248"/>
      <c r="AU80" s="248"/>
      <c r="AV80" s="248"/>
      <c r="AW80" s="248"/>
      <c r="AX80" s="248"/>
      <c r="AY80" s="248"/>
      <c r="AZ80" s="248"/>
      <c r="BA80" s="248"/>
      <c r="BB80" s="248"/>
      <c r="BC80" s="248"/>
      <c r="BD80" s="248"/>
      <c r="BE80" s="248"/>
      <c r="BF80" s="248"/>
      <c r="BG80" s="248"/>
      <c r="BH80" s="248"/>
      <c r="BI80" s="248"/>
      <c r="BJ80" s="248"/>
      <c r="BK80" s="248"/>
      <c r="BL80" s="248"/>
      <c r="BM80" s="248"/>
    </row>
    <row r="81" spans="1:65" s="320" customFormat="1" ht="15.75" customHeight="1" x14ac:dyDescent="0.2">
      <c r="A81" s="261"/>
      <c r="B81" s="262"/>
      <c r="C81" s="280"/>
      <c r="D81" s="263"/>
      <c r="E81" s="263" t="s">
        <v>307</v>
      </c>
      <c r="F81" s="273" t="s">
        <v>20</v>
      </c>
      <c r="G81" s="274">
        <f>5000-5000+4235.95-4235.95</f>
        <v>0</v>
      </c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248"/>
      <c r="AI81" s="248"/>
      <c r="AJ81" s="248"/>
      <c r="AK81" s="248"/>
      <c r="AL81" s="248"/>
      <c r="AM81" s="248"/>
      <c r="AN81" s="248"/>
      <c r="AO81" s="248"/>
      <c r="AP81" s="248"/>
      <c r="AQ81" s="248"/>
      <c r="AR81" s="248"/>
      <c r="AS81" s="248"/>
      <c r="AT81" s="248"/>
      <c r="AU81" s="248"/>
      <c r="AV81" s="248"/>
      <c r="AW81" s="248"/>
      <c r="AX81" s="248"/>
      <c r="AY81" s="248"/>
      <c r="AZ81" s="248"/>
      <c r="BA81" s="248"/>
      <c r="BB81" s="248"/>
      <c r="BC81" s="248"/>
      <c r="BD81" s="248"/>
      <c r="BE81" s="248"/>
      <c r="BF81" s="248"/>
      <c r="BG81" s="248"/>
      <c r="BH81" s="248"/>
      <c r="BI81" s="248"/>
      <c r="BJ81" s="248"/>
      <c r="BK81" s="248"/>
      <c r="BL81" s="248"/>
      <c r="BM81" s="248"/>
    </row>
    <row r="82" spans="1:65" s="320" customFormat="1" ht="15.75" customHeight="1" x14ac:dyDescent="0.2">
      <c r="A82" s="261"/>
      <c r="B82" s="262"/>
      <c r="C82" s="280"/>
      <c r="D82" s="263"/>
      <c r="E82" s="263" t="s">
        <v>296</v>
      </c>
      <c r="F82" s="273" t="s">
        <v>20</v>
      </c>
      <c r="G82" s="274">
        <f>589.2-100+1035.27-1524.47</f>
        <v>0</v>
      </c>
      <c r="H82" s="248"/>
      <c r="I82" s="248"/>
      <c r="J82" s="248"/>
      <c r="K82" s="248"/>
      <c r="L82" s="248"/>
      <c r="M82" s="248"/>
      <c r="N82" s="248"/>
      <c r="O82" s="248"/>
      <c r="P82" s="248"/>
      <c r="Q82" s="248"/>
      <c r="R82" s="248"/>
      <c r="S82" s="248"/>
      <c r="T82" s="248"/>
      <c r="U82" s="248"/>
      <c r="V82" s="248"/>
      <c r="W82" s="248"/>
      <c r="X82" s="248"/>
      <c r="Y82" s="248"/>
      <c r="Z82" s="248"/>
      <c r="AA82" s="248"/>
      <c r="AB82" s="248"/>
      <c r="AC82" s="248"/>
      <c r="AD82" s="248"/>
      <c r="AE82" s="248"/>
      <c r="AF82" s="248"/>
      <c r="AG82" s="248"/>
      <c r="AH82" s="248"/>
      <c r="AI82" s="248"/>
      <c r="AJ82" s="248"/>
      <c r="AK82" s="248"/>
      <c r="AL82" s="248"/>
      <c r="AM82" s="248"/>
      <c r="AN82" s="248"/>
      <c r="AO82" s="248"/>
      <c r="AP82" s="248"/>
      <c r="AQ82" s="248"/>
      <c r="AR82" s="248"/>
      <c r="AS82" s="248"/>
      <c r="AT82" s="248"/>
      <c r="AU82" s="248"/>
      <c r="AV82" s="248"/>
      <c r="AW82" s="248"/>
      <c r="AX82" s="248"/>
      <c r="AY82" s="248"/>
      <c r="AZ82" s="248"/>
      <c r="BA82" s="248"/>
      <c r="BB82" s="248"/>
      <c r="BC82" s="248"/>
      <c r="BD82" s="248"/>
      <c r="BE82" s="248"/>
      <c r="BF82" s="248"/>
      <c r="BG82" s="248"/>
      <c r="BH82" s="248"/>
      <c r="BI82" s="248"/>
      <c r="BJ82" s="248"/>
      <c r="BK82" s="248"/>
      <c r="BL82" s="248"/>
      <c r="BM82" s="248"/>
    </row>
    <row r="83" spans="1:65" s="320" customFormat="1" ht="15.75" customHeight="1" x14ac:dyDescent="0.2">
      <c r="A83" s="261"/>
      <c r="B83" s="262"/>
      <c r="C83" s="280"/>
      <c r="D83" s="263"/>
      <c r="E83" s="263" t="s">
        <v>308</v>
      </c>
      <c r="F83" s="273" t="s">
        <v>20</v>
      </c>
      <c r="G83" s="274">
        <f>50+1000</f>
        <v>1050</v>
      </c>
      <c r="H83" s="248"/>
      <c r="I83" s="248"/>
      <c r="J83" s="248"/>
      <c r="K83" s="248"/>
      <c r="L83" s="248"/>
      <c r="M83" s="248"/>
      <c r="N83" s="248"/>
      <c r="O83" s="248"/>
      <c r="P83" s="248"/>
      <c r="Q83" s="248"/>
      <c r="R83" s="248"/>
      <c r="S83" s="248"/>
      <c r="T83" s="248"/>
      <c r="U83" s="248"/>
      <c r="V83" s="248"/>
      <c r="W83" s="248"/>
      <c r="X83" s="248"/>
      <c r="Y83" s="248"/>
      <c r="Z83" s="248"/>
      <c r="AA83" s="248"/>
      <c r="AB83" s="248"/>
      <c r="AC83" s="248"/>
      <c r="AD83" s="248"/>
      <c r="AE83" s="248"/>
      <c r="AF83" s="248"/>
      <c r="AG83" s="248"/>
      <c r="AH83" s="248"/>
      <c r="AI83" s="248"/>
      <c r="AJ83" s="248"/>
      <c r="AK83" s="248"/>
      <c r="AL83" s="248"/>
      <c r="AM83" s="248"/>
      <c r="AN83" s="248"/>
      <c r="AO83" s="248"/>
      <c r="AP83" s="248"/>
      <c r="AQ83" s="248"/>
      <c r="AR83" s="248"/>
      <c r="AS83" s="248"/>
      <c r="AT83" s="248"/>
      <c r="AU83" s="248"/>
      <c r="AV83" s="248"/>
      <c r="AW83" s="248"/>
      <c r="AX83" s="248"/>
      <c r="AY83" s="248"/>
      <c r="AZ83" s="248"/>
      <c r="BA83" s="248"/>
      <c r="BB83" s="248"/>
      <c r="BC83" s="248"/>
      <c r="BD83" s="248"/>
      <c r="BE83" s="248"/>
      <c r="BF83" s="248"/>
      <c r="BG83" s="248"/>
      <c r="BH83" s="248"/>
      <c r="BI83" s="248"/>
      <c r="BJ83" s="248"/>
      <c r="BK83" s="248"/>
      <c r="BL83" s="248"/>
      <c r="BM83" s="248"/>
    </row>
    <row r="84" spans="1:65" s="320" customFormat="1" ht="12.75" customHeight="1" x14ac:dyDescent="0.2">
      <c r="A84" s="261"/>
      <c r="B84" s="262"/>
      <c r="C84" s="280"/>
      <c r="D84" s="263"/>
      <c r="E84" s="263"/>
      <c r="F84" s="273"/>
      <c r="G84" s="274"/>
      <c r="H84" s="248"/>
      <c r="I84" s="248"/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/>
      <c r="Y84" s="248"/>
      <c r="Z84" s="248"/>
      <c r="AA84" s="248"/>
      <c r="AB84" s="248"/>
      <c r="AC84" s="248"/>
      <c r="AD84" s="248"/>
      <c r="AE84" s="248"/>
      <c r="AF84" s="248"/>
      <c r="AG84" s="248"/>
      <c r="AH84" s="248"/>
      <c r="AI84" s="248"/>
      <c r="AJ84" s="248"/>
      <c r="AK84" s="248"/>
      <c r="AL84" s="248"/>
      <c r="AM84" s="248"/>
      <c r="AN84" s="248"/>
      <c r="AO84" s="248"/>
      <c r="AP84" s="248"/>
      <c r="AQ84" s="248"/>
      <c r="AR84" s="248"/>
      <c r="AS84" s="248"/>
      <c r="AT84" s="248"/>
      <c r="AU84" s="248"/>
      <c r="AV84" s="248"/>
      <c r="AW84" s="248"/>
      <c r="AX84" s="248"/>
      <c r="AY84" s="248"/>
      <c r="AZ84" s="248"/>
      <c r="BA84" s="248"/>
      <c r="BB84" s="248"/>
      <c r="BC84" s="248"/>
      <c r="BD84" s="248"/>
      <c r="BE84" s="248"/>
      <c r="BF84" s="248"/>
      <c r="BG84" s="248"/>
      <c r="BH84" s="248"/>
      <c r="BI84" s="248"/>
      <c r="BJ84" s="248"/>
      <c r="BK84" s="248"/>
      <c r="BL84" s="248"/>
      <c r="BM84" s="248"/>
    </row>
    <row r="85" spans="1:65" s="320" customFormat="1" ht="15.75" customHeight="1" x14ac:dyDescent="0.2">
      <c r="A85" s="261"/>
      <c r="B85" s="322" t="s">
        <v>303</v>
      </c>
      <c r="C85" s="263" t="s">
        <v>304</v>
      </c>
      <c r="D85" s="263" t="s">
        <v>314</v>
      </c>
      <c r="E85" s="269" t="s">
        <v>20</v>
      </c>
      <c r="F85" s="270" t="s">
        <v>20</v>
      </c>
      <c r="G85" s="271">
        <f>SUM(G87)</f>
        <v>28642.489999999998</v>
      </c>
      <c r="H85" s="248"/>
      <c r="I85" s="248"/>
      <c r="J85" s="248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248"/>
      <c r="AI85" s="248"/>
      <c r="AJ85" s="248"/>
      <c r="AK85" s="248"/>
      <c r="AL85" s="248"/>
      <c r="AM85" s="248"/>
      <c r="AN85" s="248"/>
      <c r="AO85" s="248"/>
      <c r="AP85" s="248"/>
      <c r="AQ85" s="248"/>
      <c r="AR85" s="248"/>
      <c r="AS85" s="248"/>
      <c r="AT85" s="248"/>
      <c r="AU85" s="248"/>
      <c r="AV85" s="248"/>
      <c r="AW85" s="248"/>
      <c r="AX85" s="248"/>
      <c r="AY85" s="248"/>
      <c r="AZ85" s="248"/>
      <c r="BA85" s="248"/>
      <c r="BB85" s="248"/>
      <c r="BC85" s="248"/>
      <c r="BD85" s="248"/>
      <c r="BE85" s="248"/>
      <c r="BF85" s="248"/>
      <c r="BG85" s="248"/>
      <c r="BH85" s="248"/>
      <c r="BI85" s="248"/>
      <c r="BJ85" s="248"/>
      <c r="BK85" s="248"/>
      <c r="BL85" s="248"/>
      <c r="BM85" s="248"/>
    </row>
    <row r="86" spans="1:65" s="320" customFormat="1" ht="15.75" customHeight="1" x14ac:dyDescent="0.2">
      <c r="A86" s="261"/>
      <c r="B86" s="262"/>
      <c r="C86" s="280"/>
      <c r="D86" s="263"/>
      <c r="E86" s="263"/>
      <c r="F86" s="273"/>
      <c r="G86" s="274"/>
      <c r="H86" s="248"/>
      <c r="I86" s="248"/>
      <c r="J86" s="248"/>
      <c r="K86" s="248"/>
      <c r="L86" s="248"/>
      <c r="M86" s="248"/>
      <c r="N86" s="248"/>
      <c r="O86" s="248"/>
      <c r="P86" s="248"/>
      <c r="Q86" s="248"/>
      <c r="R86" s="248"/>
      <c r="S86" s="248"/>
      <c r="T86" s="248"/>
      <c r="U86" s="248"/>
      <c r="V86" s="248"/>
      <c r="W86" s="248"/>
      <c r="X86" s="248"/>
      <c r="Y86" s="248"/>
      <c r="Z86" s="248"/>
      <c r="AA86" s="248"/>
      <c r="AB86" s="248"/>
      <c r="AC86" s="248"/>
      <c r="AD86" s="248"/>
      <c r="AE86" s="248"/>
      <c r="AF86" s="248"/>
      <c r="AG86" s="248"/>
      <c r="AH86" s="248"/>
      <c r="AI86" s="248"/>
      <c r="AJ86" s="248"/>
      <c r="AK86" s="248"/>
      <c r="AL86" s="248"/>
      <c r="AM86" s="248"/>
      <c r="AN86" s="248"/>
      <c r="AO86" s="248"/>
      <c r="AP86" s="248"/>
      <c r="AQ86" s="248"/>
      <c r="AR86" s="248"/>
      <c r="AS86" s="248"/>
      <c r="AT86" s="248"/>
      <c r="AU86" s="248"/>
      <c r="AV86" s="248"/>
      <c r="AW86" s="248"/>
      <c r="AX86" s="248"/>
      <c r="AY86" s="248"/>
      <c r="AZ86" s="248"/>
      <c r="BA86" s="248"/>
      <c r="BB86" s="248"/>
      <c r="BC86" s="248"/>
      <c r="BD86" s="248"/>
      <c r="BE86" s="248"/>
      <c r="BF86" s="248"/>
      <c r="BG86" s="248"/>
      <c r="BH86" s="248"/>
      <c r="BI86" s="248"/>
      <c r="BJ86" s="248"/>
      <c r="BK86" s="248"/>
      <c r="BL86" s="248"/>
      <c r="BM86" s="248"/>
    </row>
    <row r="87" spans="1:65" s="320" customFormat="1" ht="15.75" customHeight="1" x14ac:dyDescent="0.2">
      <c r="A87" s="261"/>
      <c r="B87" s="262"/>
      <c r="C87" s="280"/>
      <c r="D87" s="263"/>
      <c r="E87" s="263"/>
      <c r="F87" s="273"/>
      <c r="G87" s="321">
        <f>SUM(G88:G93)</f>
        <v>28642.489999999998</v>
      </c>
      <c r="H87" s="248"/>
      <c r="I87" s="248"/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48"/>
      <c r="AD87" s="248"/>
      <c r="AE87" s="248"/>
      <c r="AF87" s="248"/>
      <c r="AG87" s="248"/>
      <c r="AH87" s="248"/>
      <c r="AI87" s="248"/>
      <c r="AJ87" s="248"/>
      <c r="AK87" s="248"/>
      <c r="AL87" s="248"/>
      <c r="AM87" s="248"/>
      <c r="AN87" s="248"/>
      <c r="AO87" s="248"/>
      <c r="AP87" s="248"/>
      <c r="AQ87" s="248"/>
      <c r="AR87" s="248"/>
      <c r="AS87" s="248"/>
      <c r="AT87" s="248"/>
      <c r="AU87" s="248"/>
      <c r="AV87" s="248"/>
      <c r="AW87" s="248"/>
      <c r="AX87" s="248"/>
      <c r="AY87" s="248"/>
      <c r="AZ87" s="248"/>
      <c r="BA87" s="248"/>
      <c r="BB87" s="248"/>
      <c r="BC87" s="248"/>
      <c r="BD87" s="248"/>
      <c r="BE87" s="248"/>
      <c r="BF87" s="248"/>
      <c r="BG87" s="248"/>
      <c r="BH87" s="248"/>
      <c r="BI87" s="248"/>
      <c r="BJ87" s="248"/>
      <c r="BK87" s="248"/>
      <c r="BL87" s="248"/>
      <c r="BM87" s="248"/>
    </row>
    <row r="88" spans="1:65" s="320" customFormat="1" ht="15.75" customHeight="1" x14ac:dyDescent="0.2">
      <c r="A88" s="261"/>
      <c r="B88" s="262"/>
      <c r="C88" s="280"/>
      <c r="D88" s="263"/>
      <c r="E88" s="263" t="s">
        <v>306</v>
      </c>
      <c r="F88" s="273" t="s">
        <v>20</v>
      </c>
      <c r="G88" s="274">
        <f>739-739+5986+5000</f>
        <v>10986</v>
      </c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48"/>
      <c r="AH88" s="248"/>
      <c r="AI88" s="248"/>
      <c r="AJ88" s="248"/>
      <c r="AK88" s="248"/>
      <c r="AL88" s="248"/>
      <c r="AM88" s="248"/>
      <c r="AN88" s="248"/>
      <c r="AO88" s="248"/>
      <c r="AP88" s="248"/>
      <c r="AQ88" s="248"/>
      <c r="AR88" s="248"/>
      <c r="AS88" s="248"/>
      <c r="AT88" s="248"/>
      <c r="AU88" s="248"/>
      <c r="AV88" s="248"/>
      <c r="AW88" s="248"/>
      <c r="AX88" s="248"/>
      <c r="AY88" s="248"/>
      <c r="AZ88" s="248"/>
      <c r="BA88" s="248"/>
      <c r="BB88" s="248"/>
      <c r="BC88" s="248"/>
      <c r="BD88" s="248"/>
      <c r="BE88" s="248"/>
      <c r="BF88" s="248"/>
      <c r="BG88" s="248"/>
      <c r="BH88" s="248"/>
      <c r="BI88" s="248"/>
      <c r="BJ88" s="248"/>
      <c r="BK88" s="248"/>
      <c r="BL88" s="248"/>
      <c r="BM88" s="248"/>
    </row>
    <row r="89" spans="1:65" s="320" customFormat="1" ht="15.75" customHeight="1" x14ac:dyDescent="0.2">
      <c r="A89" s="261"/>
      <c r="B89" s="262"/>
      <c r="C89" s="280"/>
      <c r="D89" s="263"/>
      <c r="E89" s="263" t="s">
        <v>291</v>
      </c>
      <c r="F89" s="273" t="s">
        <v>20</v>
      </c>
      <c r="G89" s="274">
        <f>35.47-21.96+85+100</f>
        <v>198.51</v>
      </c>
      <c r="H89" s="248"/>
      <c r="I89" s="248"/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  <c r="AB89" s="248"/>
      <c r="AC89" s="248"/>
      <c r="AD89" s="248"/>
      <c r="AE89" s="248"/>
      <c r="AF89" s="248"/>
      <c r="AG89" s="248"/>
      <c r="AH89" s="248"/>
      <c r="AI89" s="248"/>
      <c r="AJ89" s="248"/>
      <c r="AK89" s="248"/>
      <c r="AL89" s="248"/>
      <c r="AM89" s="248"/>
      <c r="AN89" s="248"/>
      <c r="AO89" s="248"/>
      <c r="AP89" s="248"/>
      <c r="AQ89" s="248"/>
      <c r="AR89" s="248"/>
      <c r="AS89" s="248"/>
      <c r="AT89" s="248"/>
      <c r="AU89" s="248"/>
      <c r="AV89" s="248"/>
      <c r="AW89" s="248"/>
      <c r="AX89" s="248"/>
      <c r="AY89" s="248"/>
      <c r="AZ89" s="248"/>
      <c r="BA89" s="248"/>
      <c r="BB89" s="248"/>
      <c r="BC89" s="248"/>
      <c r="BD89" s="248"/>
      <c r="BE89" s="248"/>
      <c r="BF89" s="248"/>
      <c r="BG89" s="248"/>
      <c r="BH89" s="248"/>
      <c r="BI89" s="248"/>
      <c r="BJ89" s="248"/>
      <c r="BK89" s="248"/>
      <c r="BL89" s="248"/>
      <c r="BM89" s="248"/>
    </row>
    <row r="90" spans="1:65" s="320" customFormat="1" ht="15.75" customHeight="1" x14ac:dyDescent="0.2">
      <c r="A90" s="261"/>
      <c r="B90" s="262"/>
      <c r="C90" s="280"/>
      <c r="D90" s="263"/>
      <c r="E90" s="263" t="s">
        <v>295</v>
      </c>
      <c r="F90" s="273" t="s">
        <v>20</v>
      </c>
      <c r="G90" s="274">
        <f>60-60</f>
        <v>0</v>
      </c>
      <c r="H90" s="248"/>
      <c r="I90" s="248"/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248"/>
      <c r="AI90" s="248"/>
      <c r="AJ90" s="248"/>
      <c r="AK90" s="248"/>
      <c r="AL90" s="248"/>
      <c r="AM90" s="248"/>
      <c r="AN90" s="248"/>
      <c r="AO90" s="248"/>
      <c r="AP90" s="248"/>
      <c r="AQ90" s="248"/>
      <c r="AR90" s="248"/>
      <c r="AS90" s="248"/>
      <c r="AT90" s="248"/>
      <c r="AU90" s="248"/>
      <c r="AV90" s="248"/>
      <c r="AW90" s="248"/>
      <c r="AX90" s="248"/>
      <c r="AY90" s="248"/>
      <c r="AZ90" s="248"/>
      <c r="BA90" s="248"/>
      <c r="BB90" s="248"/>
      <c r="BC90" s="248"/>
      <c r="BD90" s="248"/>
      <c r="BE90" s="248"/>
      <c r="BF90" s="248"/>
      <c r="BG90" s="248"/>
      <c r="BH90" s="248"/>
      <c r="BI90" s="248"/>
      <c r="BJ90" s="248"/>
      <c r="BK90" s="248"/>
      <c r="BL90" s="248"/>
      <c r="BM90" s="248"/>
    </row>
    <row r="91" spans="1:65" s="320" customFormat="1" ht="15.75" customHeight="1" x14ac:dyDescent="0.2">
      <c r="A91" s="261"/>
      <c r="B91" s="262"/>
      <c r="C91" s="280"/>
      <c r="D91" s="263"/>
      <c r="E91" s="263" t="s">
        <v>307</v>
      </c>
      <c r="F91" s="273" t="s">
        <v>20</v>
      </c>
      <c r="G91" s="274">
        <f>1800+9128.31+742.19-697.01+744.88+4911.4+2070-5860.58</f>
        <v>12839.189999999997</v>
      </c>
      <c r="H91" s="248"/>
      <c r="I91" s="248"/>
      <c r="J91" s="248"/>
      <c r="K91" s="248"/>
      <c r="L91" s="248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248"/>
      <c r="AI91" s="248"/>
      <c r="AJ91" s="248"/>
      <c r="AK91" s="248"/>
      <c r="AL91" s="248"/>
      <c r="AM91" s="248"/>
      <c r="AN91" s="248"/>
      <c r="AO91" s="248"/>
      <c r="AP91" s="248"/>
      <c r="AQ91" s="248"/>
      <c r="AR91" s="248"/>
      <c r="AS91" s="248"/>
      <c r="AT91" s="248"/>
      <c r="AU91" s="248"/>
      <c r="AV91" s="248"/>
      <c r="AW91" s="248"/>
      <c r="AX91" s="248"/>
      <c r="AY91" s="248"/>
      <c r="AZ91" s="248"/>
      <c r="BA91" s="248"/>
      <c r="BB91" s="248"/>
      <c r="BC91" s="248"/>
      <c r="BD91" s="248"/>
      <c r="BE91" s="248"/>
      <c r="BF91" s="248"/>
      <c r="BG91" s="248"/>
      <c r="BH91" s="248"/>
      <c r="BI91" s="248"/>
      <c r="BJ91" s="248"/>
      <c r="BK91" s="248"/>
      <c r="BL91" s="248"/>
      <c r="BM91" s="248"/>
    </row>
    <row r="92" spans="1:65" s="320" customFormat="1" ht="15.75" customHeight="1" x14ac:dyDescent="0.2">
      <c r="A92" s="261"/>
      <c r="B92" s="262"/>
      <c r="C92" s="280"/>
      <c r="D92" s="263"/>
      <c r="E92" s="263" t="s">
        <v>296</v>
      </c>
      <c r="F92" s="273" t="s">
        <v>20</v>
      </c>
      <c r="G92" s="274">
        <f>1021.9+2068.02+181.42-835.95+182.05+1344.34+232-1510.33</f>
        <v>2683.4500000000007</v>
      </c>
      <c r="H92" s="248"/>
      <c r="I92" s="248"/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48"/>
      <c r="AH92" s="248"/>
      <c r="AI92" s="248"/>
      <c r="AJ92" s="248"/>
      <c r="AK92" s="248"/>
      <c r="AL92" s="248"/>
      <c r="AM92" s="248"/>
      <c r="AN92" s="248"/>
      <c r="AO92" s="248"/>
      <c r="AP92" s="248"/>
      <c r="AQ92" s="248"/>
      <c r="AR92" s="248"/>
      <c r="AS92" s="248"/>
      <c r="AT92" s="248"/>
      <c r="AU92" s="248"/>
      <c r="AV92" s="248"/>
      <c r="AW92" s="248"/>
      <c r="AX92" s="248"/>
      <c r="AY92" s="248"/>
      <c r="AZ92" s="248"/>
      <c r="BA92" s="248"/>
      <c r="BB92" s="248"/>
      <c r="BC92" s="248"/>
      <c r="BD92" s="248"/>
      <c r="BE92" s="248"/>
      <c r="BF92" s="248"/>
      <c r="BG92" s="248"/>
      <c r="BH92" s="248"/>
      <c r="BI92" s="248"/>
      <c r="BJ92" s="248"/>
      <c r="BK92" s="248"/>
      <c r="BL92" s="248"/>
      <c r="BM92" s="248"/>
    </row>
    <row r="93" spans="1:65" s="320" customFormat="1" ht="15.75" customHeight="1" x14ac:dyDescent="0.2">
      <c r="A93" s="261"/>
      <c r="B93" s="262"/>
      <c r="C93" s="280"/>
      <c r="D93" s="263"/>
      <c r="E93" s="263" t="s">
        <v>308</v>
      </c>
      <c r="F93" s="273" t="s">
        <v>20</v>
      </c>
      <c r="G93" s="274">
        <f>818.49-728.15+645+1200</f>
        <v>1935.3400000000001</v>
      </c>
      <c r="H93" s="248"/>
      <c r="I93" s="248"/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48"/>
      <c r="AD93" s="248"/>
      <c r="AE93" s="248"/>
      <c r="AF93" s="248"/>
      <c r="AG93" s="248"/>
      <c r="AH93" s="248"/>
      <c r="AI93" s="248"/>
      <c r="AJ93" s="248"/>
      <c r="AK93" s="248"/>
      <c r="AL93" s="248"/>
      <c r="AM93" s="248"/>
      <c r="AN93" s="248"/>
      <c r="AO93" s="248"/>
      <c r="AP93" s="248"/>
      <c r="AQ93" s="248"/>
      <c r="AR93" s="248"/>
      <c r="AS93" s="248"/>
      <c r="AT93" s="248"/>
      <c r="AU93" s="248"/>
      <c r="AV93" s="248"/>
      <c r="AW93" s="248"/>
      <c r="AX93" s="248"/>
      <c r="AY93" s="248"/>
      <c r="AZ93" s="248"/>
      <c r="BA93" s="248"/>
      <c r="BB93" s="248"/>
      <c r="BC93" s="248"/>
      <c r="BD93" s="248"/>
      <c r="BE93" s="248"/>
      <c r="BF93" s="248"/>
      <c r="BG93" s="248"/>
      <c r="BH93" s="248"/>
      <c r="BI93" s="248"/>
      <c r="BJ93" s="248"/>
      <c r="BK93" s="248"/>
      <c r="BL93" s="248"/>
      <c r="BM93" s="248"/>
    </row>
    <row r="94" spans="1:65" s="320" customFormat="1" ht="15.75" customHeight="1" x14ac:dyDescent="0.2">
      <c r="A94" s="275"/>
      <c r="B94" s="276"/>
      <c r="C94" s="277"/>
      <c r="D94" s="264"/>
      <c r="E94" s="264"/>
      <c r="F94" s="266"/>
      <c r="G94" s="278"/>
      <c r="H94" s="248"/>
      <c r="I94" s="248"/>
      <c r="J94" s="248"/>
      <c r="K94" s="248"/>
      <c r="L94" s="248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48"/>
      <c r="AD94" s="248"/>
      <c r="AE94" s="248"/>
      <c r="AF94" s="248"/>
      <c r="AG94" s="248"/>
      <c r="AH94" s="248"/>
      <c r="AI94" s="248"/>
      <c r="AJ94" s="248"/>
      <c r="AK94" s="248"/>
      <c r="AL94" s="248"/>
      <c r="AM94" s="248"/>
      <c r="AN94" s="248"/>
      <c r="AO94" s="248"/>
      <c r="AP94" s="248"/>
      <c r="AQ94" s="248"/>
      <c r="AR94" s="248"/>
      <c r="AS94" s="248"/>
      <c r="AT94" s="248"/>
      <c r="AU94" s="248"/>
      <c r="AV94" s="248"/>
      <c r="AW94" s="248"/>
      <c r="AX94" s="248"/>
      <c r="AY94" s="248"/>
      <c r="AZ94" s="248"/>
      <c r="BA94" s="248"/>
      <c r="BB94" s="248"/>
      <c r="BC94" s="248"/>
      <c r="BD94" s="248"/>
      <c r="BE94" s="248"/>
      <c r="BF94" s="248"/>
      <c r="BG94" s="248"/>
      <c r="BH94" s="248"/>
      <c r="BI94" s="248"/>
      <c r="BJ94" s="248"/>
      <c r="BK94" s="248"/>
      <c r="BL94" s="248"/>
      <c r="BM94" s="248"/>
    </row>
    <row r="95" spans="1:65" s="320" customFormat="1" ht="18" customHeight="1" x14ac:dyDescent="0.2">
      <c r="A95" s="261"/>
      <c r="B95" s="322" t="s">
        <v>303</v>
      </c>
      <c r="C95" s="263" t="s">
        <v>304</v>
      </c>
      <c r="D95" s="263" t="s">
        <v>315</v>
      </c>
      <c r="E95" s="264" t="s">
        <v>20</v>
      </c>
      <c r="F95" s="266" t="s">
        <v>20</v>
      </c>
      <c r="G95" s="265">
        <f>SUM(G97)</f>
        <v>13743.12</v>
      </c>
      <c r="H95" s="248"/>
      <c r="I95" s="248"/>
      <c r="J95" s="248"/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8"/>
      <c r="AH95" s="248"/>
      <c r="AI95" s="248"/>
      <c r="AJ95" s="248"/>
      <c r="AK95" s="248"/>
      <c r="AL95" s="248"/>
      <c r="AM95" s="248"/>
      <c r="AN95" s="248"/>
      <c r="AO95" s="248"/>
      <c r="AP95" s="248"/>
      <c r="AQ95" s="248"/>
      <c r="AR95" s="248"/>
      <c r="AS95" s="248"/>
      <c r="AT95" s="248"/>
      <c r="AU95" s="248"/>
      <c r="AV95" s="248"/>
      <c r="AW95" s="248"/>
      <c r="AX95" s="248"/>
      <c r="AY95" s="248"/>
      <c r="AZ95" s="248"/>
      <c r="BA95" s="248"/>
      <c r="BB95" s="248"/>
      <c r="BC95" s="248"/>
      <c r="BD95" s="248"/>
      <c r="BE95" s="248"/>
      <c r="BF95" s="248"/>
      <c r="BG95" s="248"/>
      <c r="BH95" s="248"/>
      <c r="BI95" s="248"/>
      <c r="BJ95" s="248"/>
      <c r="BK95" s="248"/>
      <c r="BL95" s="248"/>
      <c r="BM95" s="248"/>
    </row>
    <row r="96" spans="1:65" s="320" customFormat="1" ht="5.25" customHeight="1" x14ac:dyDescent="0.2">
      <c r="A96" s="261"/>
      <c r="B96" s="262"/>
      <c r="C96" s="280"/>
      <c r="D96" s="263"/>
      <c r="E96" s="263"/>
      <c r="F96" s="273"/>
      <c r="G96" s="274"/>
      <c r="H96" s="248"/>
      <c r="I96" s="248"/>
      <c r="J96" s="248"/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248"/>
      <c r="AD96" s="248"/>
      <c r="AE96" s="248"/>
      <c r="AF96" s="248"/>
      <c r="AG96" s="248"/>
      <c r="AH96" s="248"/>
      <c r="AI96" s="248"/>
      <c r="AJ96" s="248"/>
      <c r="AK96" s="248"/>
      <c r="AL96" s="248"/>
      <c r="AM96" s="248"/>
      <c r="AN96" s="248"/>
      <c r="AO96" s="248"/>
      <c r="AP96" s="248"/>
      <c r="AQ96" s="248"/>
      <c r="AR96" s="248"/>
      <c r="AS96" s="248"/>
      <c r="AT96" s="248"/>
      <c r="AU96" s="248"/>
      <c r="AV96" s="248"/>
      <c r="AW96" s="248"/>
      <c r="AX96" s="248"/>
      <c r="AY96" s="248"/>
      <c r="AZ96" s="248"/>
      <c r="BA96" s="248"/>
      <c r="BB96" s="248"/>
      <c r="BC96" s="248"/>
      <c r="BD96" s="248"/>
      <c r="BE96" s="248"/>
      <c r="BF96" s="248"/>
      <c r="BG96" s="248"/>
      <c r="BH96" s="248"/>
      <c r="BI96" s="248"/>
      <c r="BJ96" s="248"/>
      <c r="BK96" s="248"/>
      <c r="BL96" s="248"/>
      <c r="BM96" s="248"/>
    </row>
    <row r="97" spans="1:65" s="320" customFormat="1" ht="15.75" customHeight="1" x14ac:dyDescent="0.2">
      <c r="A97" s="261"/>
      <c r="B97" s="262"/>
      <c r="C97" s="280"/>
      <c r="D97" s="263"/>
      <c r="E97" s="263"/>
      <c r="F97" s="273"/>
      <c r="G97" s="321">
        <f>SUM(G98:G103)</f>
        <v>13743.12</v>
      </c>
      <c r="H97" s="248"/>
      <c r="I97" s="248"/>
      <c r="J97" s="248"/>
      <c r="K97" s="248"/>
      <c r="L97" s="248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8"/>
      <c r="Z97" s="248"/>
      <c r="AA97" s="248"/>
      <c r="AB97" s="248"/>
      <c r="AC97" s="248"/>
      <c r="AD97" s="248"/>
      <c r="AE97" s="248"/>
      <c r="AF97" s="248"/>
      <c r="AG97" s="248"/>
      <c r="AH97" s="248"/>
      <c r="AI97" s="248"/>
      <c r="AJ97" s="248"/>
      <c r="AK97" s="248"/>
      <c r="AL97" s="248"/>
      <c r="AM97" s="248"/>
      <c r="AN97" s="248"/>
      <c r="AO97" s="248"/>
      <c r="AP97" s="248"/>
      <c r="AQ97" s="248"/>
      <c r="AR97" s="248"/>
      <c r="AS97" s="248"/>
      <c r="AT97" s="248"/>
      <c r="AU97" s="248"/>
      <c r="AV97" s="248"/>
      <c r="AW97" s="248"/>
      <c r="AX97" s="248"/>
      <c r="AY97" s="248"/>
      <c r="AZ97" s="248"/>
      <c r="BA97" s="248"/>
      <c r="BB97" s="248"/>
      <c r="BC97" s="248"/>
      <c r="BD97" s="248"/>
      <c r="BE97" s="248"/>
      <c r="BF97" s="248"/>
      <c r="BG97" s="248"/>
      <c r="BH97" s="248"/>
      <c r="BI97" s="248"/>
      <c r="BJ97" s="248"/>
      <c r="BK97" s="248"/>
      <c r="BL97" s="248"/>
      <c r="BM97" s="248"/>
    </row>
    <row r="98" spans="1:65" s="320" customFormat="1" ht="15.75" customHeight="1" x14ac:dyDescent="0.2">
      <c r="A98" s="261"/>
      <c r="B98" s="262"/>
      <c r="C98" s="280"/>
      <c r="D98" s="263"/>
      <c r="E98" s="263" t="s">
        <v>306</v>
      </c>
      <c r="F98" s="273" t="s">
        <v>20</v>
      </c>
      <c r="G98" s="274">
        <f>357.32+2842.68+2117+2557.7</f>
        <v>7874.7</v>
      </c>
      <c r="H98" s="248"/>
      <c r="I98" s="248"/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248"/>
      <c r="AI98" s="248"/>
      <c r="AJ98" s="248"/>
      <c r="AK98" s="248"/>
      <c r="AL98" s="248"/>
      <c r="AM98" s="248"/>
      <c r="AN98" s="248"/>
      <c r="AO98" s="248"/>
      <c r="AP98" s="248"/>
      <c r="AQ98" s="248"/>
      <c r="AR98" s="248"/>
      <c r="AS98" s="248"/>
      <c r="AT98" s="248"/>
      <c r="AU98" s="248"/>
      <c r="AV98" s="248"/>
      <c r="AW98" s="248"/>
      <c r="AX98" s="248"/>
      <c r="AY98" s="248"/>
      <c r="AZ98" s="248"/>
      <c r="BA98" s="248"/>
      <c r="BB98" s="248"/>
      <c r="BC98" s="248"/>
      <c r="BD98" s="248"/>
      <c r="BE98" s="248"/>
      <c r="BF98" s="248"/>
      <c r="BG98" s="248"/>
      <c r="BH98" s="248"/>
      <c r="BI98" s="248"/>
      <c r="BJ98" s="248"/>
      <c r="BK98" s="248"/>
      <c r="BL98" s="248"/>
      <c r="BM98" s="248"/>
    </row>
    <row r="99" spans="1:65" s="320" customFormat="1" ht="15.75" customHeight="1" x14ac:dyDescent="0.2">
      <c r="A99" s="261"/>
      <c r="B99" s="262"/>
      <c r="C99" s="280"/>
      <c r="D99" s="263"/>
      <c r="E99" s="263" t="s">
        <v>291</v>
      </c>
      <c r="F99" s="273" t="s">
        <v>20</v>
      </c>
      <c r="G99" s="274">
        <f>11.61+47.27</f>
        <v>58.88</v>
      </c>
      <c r="H99" s="248"/>
      <c r="I99" s="248"/>
      <c r="J99" s="248"/>
      <c r="K99" s="248"/>
      <c r="L99" s="248"/>
      <c r="M99" s="248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Z99" s="248"/>
      <c r="AA99" s="248"/>
      <c r="AB99" s="248"/>
      <c r="AC99" s="248"/>
      <c r="AD99" s="248"/>
      <c r="AE99" s="248"/>
      <c r="AF99" s="248"/>
      <c r="AG99" s="248"/>
      <c r="AH99" s="248"/>
      <c r="AI99" s="248"/>
      <c r="AJ99" s="248"/>
      <c r="AK99" s="248"/>
      <c r="AL99" s="248"/>
      <c r="AM99" s="248"/>
      <c r="AN99" s="248"/>
      <c r="AO99" s="248"/>
      <c r="AP99" s="248"/>
      <c r="AQ99" s="248"/>
      <c r="AR99" s="248"/>
      <c r="AS99" s="248"/>
      <c r="AT99" s="248"/>
      <c r="AU99" s="248"/>
      <c r="AV99" s="248"/>
      <c r="AW99" s="248"/>
      <c r="AX99" s="248"/>
      <c r="AY99" s="248"/>
      <c r="AZ99" s="248"/>
      <c r="BA99" s="248"/>
      <c r="BB99" s="248"/>
      <c r="BC99" s="248"/>
      <c r="BD99" s="248"/>
      <c r="BE99" s="248"/>
      <c r="BF99" s="248"/>
      <c r="BG99" s="248"/>
      <c r="BH99" s="248"/>
      <c r="BI99" s="248"/>
      <c r="BJ99" s="248"/>
      <c r="BK99" s="248"/>
      <c r="BL99" s="248"/>
      <c r="BM99" s="248"/>
    </row>
    <row r="100" spans="1:65" s="320" customFormat="1" ht="15.75" customHeight="1" x14ac:dyDescent="0.2">
      <c r="A100" s="261"/>
      <c r="B100" s="262"/>
      <c r="C100" s="280"/>
      <c r="D100" s="263"/>
      <c r="E100" s="263" t="s">
        <v>295</v>
      </c>
      <c r="F100" s="273" t="s">
        <v>20</v>
      </c>
      <c r="G100" s="274">
        <f>55-55</f>
        <v>0</v>
      </c>
      <c r="H100" s="248"/>
      <c r="I100" s="248"/>
      <c r="J100" s="248"/>
      <c r="K100" s="248"/>
      <c r="L100" s="248"/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  <c r="Z100" s="248"/>
      <c r="AA100" s="248"/>
      <c r="AB100" s="248"/>
      <c r="AC100" s="248"/>
      <c r="AD100" s="248"/>
      <c r="AE100" s="248"/>
      <c r="AF100" s="248"/>
      <c r="AG100" s="248"/>
      <c r="AH100" s="248"/>
      <c r="AI100" s="248"/>
      <c r="AJ100" s="248"/>
      <c r="AK100" s="248"/>
      <c r="AL100" s="248"/>
      <c r="AM100" s="248"/>
      <c r="AN100" s="248"/>
      <c r="AO100" s="248"/>
      <c r="AP100" s="248"/>
      <c r="AQ100" s="248"/>
      <c r="AR100" s="248"/>
      <c r="AS100" s="248"/>
      <c r="AT100" s="248"/>
      <c r="AU100" s="248"/>
      <c r="AV100" s="248"/>
      <c r="AW100" s="248"/>
      <c r="AX100" s="248"/>
      <c r="AY100" s="248"/>
      <c r="AZ100" s="248"/>
      <c r="BA100" s="248"/>
      <c r="BB100" s="248"/>
      <c r="BC100" s="248"/>
      <c r="BD100" s="248"/>
      <c r="BE100" s="248"/>
      <c r="BF100" s="248"/>
      <c r="BG100" s="248"/>
      <c r="BH100" s="248"/>
      <c r="BI100" s="248"/>
      <c r="BJ100" s="248"/>
      <c r="BK100" s="248"/>
      <c r="BL100" s="248"/>
      <c r="BM100" s="248"/>
    </row>
    <row r="101" spans="1:65" s="320" customFormat="1" ht="15.75" customHeight="1" x14ac:dyDescent="0.2">
      <c r="A101" s="261"/>
      <c r="B101" s="262"/>
      <c r="C101" s="280"/>
      <c r="D101" s="263"/>
      <c r="E101" s="263" t="s">
        <v>307</v>
      </c>
      <c r="F101" s="273" t="s">
        <v>20</v>
      </c>
      <c r="G101" s="274">
        <f>1562.39+768.26-222.03+770.82+1925.07-1848</f>
        <v>2956.51</v>
      </c>
      <c r="H101" s="248"/>
      <c r="I101" s="248"/>
      <c r="J101" s="248"/>
      <c r="K101" s="248"/>
      <c r="L101" s="248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Z101" s="248"/>
      <c r="AA101" s="248"/>
      <c r="AB101" s="248"/>
      <c r="AC101" s="248"/>
      <c r="AD101" s="248"/>
      <c r="AE101" s="248"/>
      <c r="AF101" s="248"/>
      <c r="AG101" s="248"/>
      <c r="AH101" s="248"/>
      <c r="AI101" s="248"/>
      <c r="AJ101" s="248"/>
      <c r="AK101" s="248"/>
      <c r="AL101" s="248"/>
      <c r="AM101" s="248"/>
      <c r="AN101" s="248"/>
      <c r="AO101" s="248"/>
      <c r="AP101" s="248"/>
      <c r="AQ101" s="248"/>
      <c r="AR101" s="248"/>
      <c r="AS101" s="248"/>
      <c r="AT101" s="248"/>
      <c r="AU101" s="248"/>
      <c r="AV101" s="248"/>
      <c r="AW101" s="248"/>
      <c r="AX101" s="248"/>
      <c r="AY101" s="248"/>
      <c r="AZ101" s="248"/>
      <c r="BA101" s="248"/>
      <c r="BB101" s="248"/>
      <c r="BC101" s="248"/>
      <c r="BD101" s="248"/>
      <c r="BE101" s="248"/>
      <c r="BF101" s="248"/>
      <c r="BG101" s="248"/>
      <c r="BH101" s="248"/>
      <c r="BI101" s="248"/>
      <c r="BJ101" s="248"/>
      <c r="BK101" s="248"/>
      <c r="BL101" s="248"/>
      <c r="BM101" s="248"/>
    </row>
    <row r="102" spans="1:65" s="320" customFormat="1" ht="15.75" customHeight="1" x14ac:dyDescent="0.2">
      <c r="A102" s="261"/>
      <c r="B102" s="262"/>
      <c r="C102" s="280"/>
      <c r="D102" s="263"/>
      <c r="E102" s="263" t="s">
        <v>296</v>
      </c>
      <c r="F102" s="273" t="s">
        <v>20</v>
      </c>
      <c r="G102" s="274">
        <f>306.66+187.76-80.29+188.39+910.83-965</f>
        <v>548.34999999999991</v>
      </c>
      <c r="H102" s="248"/>
      <c r="I102" s="248"/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  <c r="AA102" s="248"/>
      <c r="AB102" s="248"/>
      <c r="AC102" s="248"/>
      <c r="AD102" s="248"/>
      <c r="AE102" s="248"/>
      <c r="AF102" s="248"/>
      <c r="AG102" s="248"/>
      <c r="AH102" s="248"/>
      <c r="AI102" s="248"/>
      <c r="AJ102" s="248"/>
      <c r="AK102" s="248"/>
      <c r="AL102" s="248"/>
      <c r="AM102" s="248"/>
      <c r="AN102" s="248"/>
      <c r="AO102" s="248"/>
      <c r="AP102" s="248"/>
      <c r="AQ102" s="248"/>
      <c r="AR102" s="248"/>
      <c r="AS102" s="248"/>
      <c r="AT102" s="248"/>
      <c r="AU102" s="248"/>
      <c r="AV102" s="248"/>
      <c r="AW102" s="248"/>
      <c r="AX102" s="248"/>
      <c r="AY102" s="248"/>
      <c r="AZ102" s="248"/>
      <c r="BA102" s="248"/>
      <c r="BB102" s="248"/>
      <c r="BC102" s="248"/>
      <c r="BD102" s="248"/>
      <c r="BE102" s="248"/>
      <c r="BF102" s="248"/>
      <c r="BG102" s="248"/>
      <c r="BH102" s="248"/>
      <c r="BI102" s="248"/>
      <c r="BJ102" s="248"/>
      <c r="BK102" s="248"/>
      <c r="BL102" s="248"/>
      <c r="BM102" s="248"/>
    </row>
    <row r="103" spans="1:65" s="320" customFormat="1" ht="15.75" customHeight="1" x14ac:dyDescent="0.2">
      <c r="A103" s="261"/>
      <c r="B103" s="262"/>
      <c r="C103" s="280"/>
      <c r="D103" s="263"/>
      <c r="E103" s="263" t="s">
        <v>308</v>
      </c>
      <c r="F103" s="273" t="s">
        <v>20</v>
      </c>
      <c r="G103" s="274">
        <f>1025.74+1278.94</f>
        <v>2304.6800000000003</v>
      </c>
      <c r="H103" s="248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C103" s="248"/>
      <c r="AD103" s="248"/>
      <c r="AE103" s="248"/>
      <c r="AF103" s="248"/>
      <c r="AG103" s="248"/>
      <c r="AH103" s="248"/>
      <c r="AI103" s="248"/>
      <c r="AJ103" s="248"/>
      <c r="AK103" s="248"/>
      <c r="AL103" s="248"/>
      <c r="AM103" s="248"/>
      <c r="AN103" s="248"/>
      <c r="AO103" s="248"/>
      <c r="AP103" s="248"/>
      <c r="AQ103" s="248"/>
      <c r="AR103" s="248"/>
      <c r="AS103" s="248"/>
      <c r="AT103" s="248"/>
      <c r="AU103" s="248"/>
      <c r="AV103" s="248"/>
      <c r="AW103" s="248"/>
      <c r="AX103" s="248"/>
      <c r="AY103" s="248"/>
      <c r="AZ103" s="248"/>
      <c r="BA103" s="248"/>
      <c r="BB103" s="248"/>
      <c r="BC103" s="248"/>
      <c r="BD103" s="248"/>
      <c r="BE103" s="248"/>
      <c r="BF103" s="248"/>
      <c r="BG103" s="248"/>
      <c r="BH103" s="248"/>
      <c r="BI103" s="248"/>
      <c r="BJ103" s="248"/>
      <c r="BK103" s="248"/>
      <c r="BL103" s="248"/>
      <c r="BM103" s="248"/>
    </row>
    <row r="104" spans="1:65" s="320" customFormat="1" ht="5.25" customHeight="1" x14ac:dyDescent="0.2">
      <c r="A104" s="261"/>
      <c r="B104" s="262"/>
      <c r="C104" s="280"/>
      <c r="D104" s="263"/>
      <c r="E104" s="263"/>
      <c r="F104" s="273"/>
      <c r="G104" s="274"/>
      <c r="H104" s="248"/>
      <c r="I104" s="248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48"/>
      <c r="AD104" s="248"/>
      <c r="AE104" s="248"/>
      <c r="AF104" s="248"/>
      <c r="AG104" s="248"/>
      <c r="AH104" s="248"/>
      <c r="AI104" s="248"/>
      <c r="AJ104" s="248"/>
      <c r="AK104" s="248"/>
      <c r="AL104" s="248"/>
      <c r="AM104" s="248"/>
      <c r="AN104" s="248"/>
      <c r="AO104" s="248"/>
      <c r="AP104" s="248"/>
      <c r="AQ104" s="248"/>
      <c r="AR104" s="248"/>
      <c r="AS104" s="248"/>
      <c r="AT104" s="248"/>
      <c r="AU104" s="248"/>
      <c r="AV104" s="248"/>
      <c r="AW104" s="248"/>
      <c r="AX104" s="248"/>
      <c r="AY104" s="248"/>
      <c r="AZ104" s="248"/>
      <c r="BA104" s="248"/>
      <c r="BB104" s="248"/>
      <c r="BC104" s="248"/>
      <c r="BD104" s="248"/>
      <c r="BE104" s="248"/>
      <c r="BF104" s="248"/>
      <c r="BG104" s="248"/>
      <c r="BH104" s="248"/>
      <c r="BI104" s="248"/>
      <c r="BJ104" s="248"/>
      <c r="BK104" s="248"/>
      <c r="BL104" s="248"/>
      <c r="BM104" s="248"/>
    </row>
    <row r="105" spans="1:65" s="320" customFormat="1" ht="15.75" customHeight="1" x14ac:dyDescent="0.2">
      <c r="A105" s="261"/>
      <c r="B105" s="322" t="s">
        <v>311</v>
      </c>
      <c r="C105" s="263" t="s">
        <v>304</v>
      </c>
      <c r="D105" s="263" t="s">
        <v>315</v>
      </c>
      <c r="E105" s="269" t="s">
        <v>20</v>
      </c>
      <c r="F105" s="270" t="s">
        <v>20</v>
      </c>
      <c r="G105" s="271">
        <f>SUM(G107)</f>
        <v>1449.93</v>
      </c>
      <c r="H105" s="248"/>
      <c r="I105" s="248"/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248"/>
      <c r="AI105" s="248"/>
      <c r="AJ105" s="248"/>
      <c r="AK105" s="248"/>
      <c r="AL105" s="248"/>
      <c r="AM105" s="248"/>
      <c r="AN105" s="248"/>
      <c r="AO105" s="248"/>
      <c r="AP105" s="248"/>
      <c r="AQ105" s="248"/>
      <c r="AR105" s="248"/>
      <c r="AS105" s="248"/>
      <c r="AT105" s="248"/>
      <c r="AU105" s="248"/>
      <c r="AV105" s="248"/>
      <c r="AW105" s="248"/>
      <c r="AX105" s="248"/>
      <c r="AY105" s="248"/>
      <c r="AZ105" s="248"/>
      <c r="BA105" s="248"/>
      <c r="BB105" s="248"/>
      <c r="BC105" s="248"/>
      <c r="BD105" s="248"/>
      <c r="BE105" s="248"/>
      <c r="BF105" s="248"/>
      <c r="BG105" s="248"/>
      <c r="BH105" s="248"/>
      <c r="BI105" s="248"/>
      <c r="BJ105" s="248"/>
      <c r="BK105" s="248"/>
      <c r="BL105" s="248"/>
      <c r="BM105" s="248"/>
    </row>
    <row r="106" spans="1:65" s="320" customFormat="1" ht="6" customHeight="1" x14ac:dyDescent="0.2">
      <c r="A106" s="261"/>
      <c r="B106" s="262"/>
      <c r="C106" s="280"/>
      <c r="D106" s="263"/>
      <c r="E106" s="263"/>
      <c r="F106" s="273"/>
      <c r="G106" s="274"/>
      <c r="H106" s="248"/>
      <c r="I106" s="248"/>
      <c r="J106" s="248"/>
      <c r="K106" s="248"/>
      <c r="L106" s="248"/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  <c r="Z106" s="248"/>
      <c r="AA106" s="248"/>
      <c r="AB106" s="248"/>
      <c r="AC106" s="248"/>
      <c r="AD106" s="248"/>
      <c r="AE106" s="248"/>
      <c r="AF106" s="248"/>
      <c r="AG106" s="248"/>
      <c r="AH106" s="248"/>
      <c r="AI106" s="248"/>
      <c r="AJ106" s="248"/>
      <c r="AK106" s="248"/>
      <c r="AL106" s="248"/>
      <c r="AM106" s="248"/>
      <c r="AN106" s="248"/>
      <c r="AO106" s="248"/>
      <c r="AP106" s="248"/>
      <c r="AQ106" s="248"/>
      <c r="AR106" s="248"/>
      <c r="AS106" s="248"/>
      <c r="AT106" s="248"/>
      <c r="AU106" s="248"/>
      <c r="AV106" s="248"/>
      <c r="AW106" s="248"/>
      <c r="AX106" s="248"/>
      <c r="AY106" s="248"/>
      <c r="AZ106" s="248"/>
      <c r="BA106" s="248"/>
      <c r="BB106" s="248"/>
      <c r="BC106" s="248"/>
      <c r="BD106" s="248"/>
      <c r="BE106" s="248"/>
      <c r="BF106" s="248"/>
      <c r="BG106" s="248"/>
      <c r="BH106" s="248"/>
      <c r="BI106" s="248"/>
      <c r="BJ106" s="248"/>
      <c r="BK106" s="248"/>
      <c r="BL106" s="248"/>
      <c r="BM106" s="248"/>
    </row>
    <row r="107" spans="1:65" s="320" customFormat="1" ht="15.75" customHeight="1" x14ac:dyDescent="0.2">
      <c r="A107" s="261"/>
      <c r="B107" s="262"/>
      <c r="C107" s="280"/>
      <c r="D107" s="263"/>
      <c r="E107" s="263"/>
      <c r="F107" s="273"/>
      <c r="G107" s="321">
        <f>SUM(G108)</f>
        <v>1449.93</v>
      </c>
      <c r="H107" s="248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248"/>
      <c r="AH107" s="248"/>
      <c r="AI107" s="248"/>
      <c r="AJ107" s="248"/>
      <c r="AK107" s="248"/>
      <c r="AL107" s="248"/>
      <c r="AM107" s="248"/>
      <c r="AN107" s="248"/>
      <c r="AO107" s="248"/>
      <c r="AP107" s="248"/>
      <c r="AQ107" s="248"/>
      <c r="AR107" s="248"/>
      <c r="AS107" s="248"/>
      <c r="AT107" s="248"/>
      <c r="AU107" s="248"/>
      <c r="AV107" s="248"/>
      <c r="AW107" s="248"/>
      <c r="AX107" s="248"/>
      <c r="AY107" s="248"/>
      <c r="AZ107" s="248"/>
      <c r="BA107" s="248"/>
      <c r="BB107" s="248"/>
      <c r="BC107" s="248"/>
      <c r="BD107" s="248"/>
      <c r="BE107" s="248"/>
      <c r="BF107" s="248"/>
      <c r="BG107" s="248"/>
      <c r="BH107" s="248"/>
      <c r="BI107" s="248"/>
      <c r="BJ107" s="248"/>
      <c r="BK107" s="248"/>
      <c r="BL107" s="248"/>
      <c r="BM107" s="248"/>
    </row>
    <row r="108" spans="1:65" s="320" customFormat="1" ht="15.75" customHeight="1" x14ac:dyDescent="0.2">
      <c r="A108" s="261"/>
      <c r="B108" s="262"/>
      <c r="C108" s="280"/>
      <c r="D108" s="263"/>
      <c r="E108" s="263" t="s">
        <v>312</v>
      </c>
      <c r="F108" s="273" t="s">
        <v>20</v>
      </c>
      <c r="G108" s="274">
        <f>709.34+740.59</f>
        <v>1449.93</v>
      </c>
      <c r="H108" s="248"/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  <c r="AA108" s="248"/>
      <c r="AB108" s="248"/>
      <c r="AC108" s="248"/>
      <c r="AD108" s="248"/>
      <c r="AE108" s="248"/>
      <c r="AF108" s="248"/>
      <c r="AG108" s="248"/>
      <c r="AH108" s="248"/>
      <c r="AI108" s="248"/>
      <c r="AJ108" s="248"/>
      <c r="AK108" s="248"/>
      <c r="AL108" s="248"/>
      <c r="AM108" s="248"/>
      <c r="AN108" s="248"/>
      <c r="AO108" s="248"/>
      <c r="AP108" s="248"/>
      <c r="AQ108" s="248"/>
      <c r="AR108" s="248"/>
      <c r="AS108" s="248"/>
      <c r="AT108" s="248"/>
      <c r="AU108" s="248"/>
      <c r="AV108" s="248"/>
      <c r="AW108" s="248"/>
      <c r="AX108" s="248"/>
      <c r="AY108" s="248"/>
      <c r="AZ108" s="248"/>
      <c r="BA108" s="248"/>
      <c r="BB108" s="248"/>
      <c r="BC108" s="248"/>
      <c r="BD108" s="248"/>
      <c r="BE108" s="248"/>
      <c r="BF108" s="248"/>
      <c r="BG108" s="248"/>
      <c r="BH108" s="248"/>
      <c r="BI108" s="248"/>
      <c r="BJ108" s="248"/>
      <c r="BK108" s="248"/>
      <c r="BL108" s="248"/>
      <c r="BM108" s="248"/>
    </row>
    <row r="109" spans="1:65" s="320" customFormat="1" ht="8.25" customHeight="1" x14ac:dyDescent="0.2">
      <c r="A109" s="261"/>
      <c r="B109" s="262"/>
      <c r="C109" s="280"/>
      <c r="D109" s="263"/>
      <c r="E109" s="263"/>
      <c r="F109" s="273"/>
      <c r="G109" s="274"/>
      <c r="H109" s="248"/>
      <c r="I109" s="248"/>
      <c r="J109" s="248"/>
      <c r="K109" s="248"/>
      <c r="L109" s="248"/>
      <c r="M109" s="248"/>
      <c r="N109" s="248"/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  <c r="Z109" s="248"/>
      <c r="AA109" s="248"/>
      <c r="AB109" s="248"/>
      <c r="AC109" s="248"/>
      <c r="AD109" s="248"/>
      <c r="AE109" s="248"/>
      <c r="AF109" s="248"/>
      <c r="AG109" s="248"/>
      <c r="AH109" s="248"/>
      <c r="AI109" s="248"/>
      <c r="AJ109" s="248"/>
      <c r="AK109" s="248"/>
      <c r="AL109" s="248"/>
      <c r="AM109" s="248"/>
      <c r="AN109" s="248"/>
      <c r="AO109" s="248"/>
      <c r="AP109" s="248"/>
      <c r="AQ109" s="248"/>
      <c r="AR109" s="248"/>
      <c r="AS109" s="248"/>
      <c r="AT109" s="248"/>
      <c r="AU109" s="248"/>
      <c r="AV109" s="248"/>
      <c r="AW109" s="248"/>
      <c r="AX109" s="248"/>
      <c r="AY109" s="248"/>
      <c r="AZ109" s="248"/>
      <c r="BA109" s="248"/>
      <c r="BB109" s="248"/>
      <c r="BC109" s="248"/>
      <c r="BD109" s="248"/>
      <c r="BE109" s="248"/>
      <c r="BF109" s="248"/>
      <c r="BG109" s="248"/>
      <c r="BH109" s="248"/>
      <c r="BI109" s="248"/>
      <c r="BJ109" s="248"/>
      <c r="BK109" s="248"/>
      <c r="BL109" s="248"/>
      <c r="BM109" s="248"/>
    </row>
    <row r="110" spans="1:65" s="320" customFormat="1" ht="15.75" customHeight="1" x14ac:dyDescent="0.2">
      <c r="A110" s="261"/>
      <c r="B110" s="322" t="s">
        <v>303</v>
      </c>
      <c r="C110" s="263" t="s">
        <v>304</v>
      </c>
      <c r="D110" s="263" t="s">
        <v>316</v>
      </c>
      <c r="E110" s="269" t="s">
        <v>20</v>
      </c>
      <c r="F110" s="270" t="s">
        <v>20</v>
      </c>
      <c r="G110" s="271">
        <f>SUM(G112)</f>
        <v>101991.67999999999</v>
      </c>
      <c r="H110" s="248"/>
      <c r="I110" s="248"/>
      <c r="J110" s="248"/>
      <c r="K110" s="248"/>
      <c r="L110" s="248"/>
      <c r="M110" s="248"/>
      <c r="N110" s="248"/>
      <c r="O110" s="248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/>
      <c r="Z110" s="248"/>
      <c r="AA110" s="248"/>
      <c r="AB110" s="248"/>
      <c r="AC110" s="248"/>
      <c r="AD110" s="248"/>
      <c r="AE110" s="248"/>
      <c r="AF110" s="248"/>
      <c r="AG110" s="248"/>
      <c r="AH110" s="248"/>
      <c r="AI110" s="248"/>
      <c r="AJ110" s="248"/>
      <c r="AK110" s="248"/>
      <c r="AL110" s="248"/>
      <c r="AM110" s="248"/>
      <c r="AN110" s="248"/>
      <c r="AO110" s="248"/>
      <c r="AP110" s="248"/>
      <c r="AQ110" s="248"/>
      <c r="AR110" s="248"/>
      <c r="AS110" s="248"/>
      <c r="AT110" s="248"/>
      <c r="AU110" s="248"/>
      <c r="AV110" s="248"/>
      <c r="AW110" s="248"/>
      <c r="AX110" s="248"/>
      <c r="AY110" s="248"/>
      <c r="AZ110" s="248"/>
      <c r="BA110" s="248"/>
      <c r="BB110" s="248"/>
      <c r="BC110" s="248"/>
      <c r="BD110" s="248"/>
      <c r="BE110" s="248"/>
      <c r="BF110" s="248"/>
      <c r="BG110" s="248"/>
      <c r="BH110" s="248"/>
      <c r="BI110" s="248"/>
      <c r="BJ110" s="248"/>
      <c r="BK110" s="248"/>
      <c r="BL110" s="248"/>
      <c r="BM110" s="248"/>
    </row>
    <row r="111" spans="1:65" s="320" customFormat="1" ht="6.75" customHeight="1" x14ac:dyDescent="0.2">
      <c r="A111" s="261"/>
      <c r="B111" s="262"/>
      <c r="C111" s="280"/>
      <c r="D111" s="263"/>
      <c r="E111" s="263"/>
      <c r="F111" s="273"/>
      <c r="G111" s="274"/>
      <c r="H111" s="248"/>
      <c r="I111" s="248"/>
      <c r="J111" s="248"/>
      <c r="K111" s="248"/>
      <c r="L111" s="248"/>
      <c r="M111" s="248"/>
      <c r="N111" s="248"/>
      <c r="O111" s="248"/>
      <c r="P111" s="248"/>
      <c r="Q111" s="248"/>
      <c r="R111" s="248"/>
      <c r="S111" s="248"/>
      <c r="T111" s="248"/>
      <c r="U111" s="248"/>
      <c r="V111" s="248"/>
      <c r="W111" s="248"/>
      <c r="X111" s="248"/>
      <c r="Y111" s="248"/>
      <c r="Z111" s="248"/>
      <c r="AA111" s="248"/>
      <c r="AB111" s="248"/>
      <c r="AC111" s="248"/>
      <c r="AD111" s="248"/>
      <c r="AE111" s="248"/>
      <c r="AF111" s="248"/>
      <c r="AG111" s="248"/>
      <c r="AH111" s="248"/>
      <c r="AI111" s="248"/>
      <c r="AJ111" s="248"/>
      <c r="AK111" s="248"/>
      <c r="AL111" s="248"/>
      <c r="AM111" s="248"/>
      <c r="AN111" s="248"/>
      <c r="AO111" s="248"/>
      <c r="AP111" s="248"/>
      <c r="AQ111" s="248"/>
      <c r="AR111" s="248"/>
      <c r="AS111" s="248"/>
      <c r="AT111" s="248"/>
      <c r="AU111" s="248"/>
      <c r="AV111" s="248"/>
      <c r="AW111" s="248"/>
      <c r="AX111" s="248"/>
      <c r="AY111" s="248"/>
      <c r="AZ111" s="248"/>
      <c r="BA111" s="248"/>
      <c r="BB111" s="248"/>
      <c r="BC111" s="248"/>
      <c r="BD111" s="248"/>
      <c r="BE111" s="248"/>
      <c r="BF111" s="248"/>
      <c r="BG111" s="248"/>
      <c r="BH111" s="248"/>
      <c r="BI111" s="248"/>
      <c r="BJ111" s="248"/>
      <c r="BK111" s="248"/>
      <c r="BL111" s="248"/>
      <c r="BM111" s="248"/>
    </row>
    <row r="112" spans="1:65" s="320" customFormat="1" ht="15.75" customHeight="1" x14ac:dyDescent="0.2">
      <c r="A112" s="261"/>
      <c r="B112" s="262"/>
      <c r="C112" s="280"/>
      <c r="D112" s="263"/>
      <c r="E112" s="263"/>
      <c r="F112" s="273"/>
      <c r="G112" s="321">
        <f>SUM(G113:G117)</f>
        <v>101991.67999999999</v>
      </c>
      <c r="H112" s="248"/>
      <c r="I112" s="248"/>
      <c r="J112" s="248"/>
      <c r="K112" s="248"/>
      <c r="L112" s="248"/>
      <c r="M112" s="248"/>
      <c r="N112" s="248"/>
      <c r="O112" s="248"/>
      <c r="P112" s="248"/>
      <c r="Q112" s="248"/>
      <c r="R112" s="248"/>
      <c r="S112" s="248"/>
      <c r="T112" s="248"/>
      <c r="U112" s="248"/>
      <c r="V112" s="248"/>
      <c r="W112" s="248"/>
      <c r="X112" s="248"/>
      <c r="Y112" s="248"/>
      <c r="Z112" s="248"/>
      <c r="AA112" s="248"/>
      <c r="AB112" s="248"/>
      <c r="AC112" s="248"/>
      <c r="AD112" s="248"/>
      <c r="AE112" s="248"/>
      <c r="AF112" s="248"/>
      <c r="AG112" s="248"/>
      <c r="AH112" s="248"/>
      <c r="AI112" s="248"/>
      <c r="AJ112" s="248"/>
      <c r="AK112" s="248"/>
      <c r="AL112" s="248"/>
      <c r="AM112" s="248"/>
      <c r="AN112" s="248"/>
      <c r="AO112" s="248"/>
      <c r="AP112" s="248"/>
      <c r="AQ112" s="248"/>
      <c r="AR112" s="248"/>
      <c r="AS112" s="248"/>
      <c r="AT112" s="248"/>
      <c r="AU112" s="248"/>
      <c r="AV112" s="248"/>
      <c r="AW112" s="248"/>
      <c r="AX112" s="248"/>
      <c r="AY112" s="248"/>
      <c r="AZ112" s="248"/>
      <c r="BA112" s="248"/>
      <c r="BB112" s="248"/>
      <c r="BC112" s="248"/>
      <c r="BD112" s="248"/>
      <c r="BE112" s="248"/>
      <c r="BF112" s="248"/>
      <c r="BG112" s="248"/>
      <c r="BH112" s="248"/>
      <c r="BI112" s="248"/>
      <c r="BJ112" s="248"/>
      <c r="BK112" s="248"/>
      <c r="BL112" s="248"/>
      <c r="BM112" s="248"/>
    </row>
    <row r="113" spans="1:65" s="320" customFormat="1" ht="15.75" customHeight="1" x14ac:dyDescent="0.2">
      <c r="A113" s="261"/>
      <c r="B113" s="262"/>
      <c r="C113" s="280"/>
      <c r="D113" s="263"/>
      <c r="E113" s="263" t="s">
        <v>306</v>
      </c>
      <c r="F113" s="273" t="s">
        <v>20</v>
      </c>
      <c r="G113" s="274">
        <f>1500+20459+7726.52+26885</f>
        <v>56570.520000000004</v>
      </c>
      <c r="H113" s="248"/>
      <c r="I113" s="248"/>
      <c r="J113" s="248"/>
      <c r="K113" s="248"/>
      <c r="L113" s="248"/>
      <c r="M113" s="248"/>
      <c r="N113" s="248"/>
      <c r="O113" s="248"/>
      <c r="P113" s="248"/>
      <c r="Q113" s="248"/>
      <c r="R113" s="248"/>
      <c r="S113" s="248"/>
      <c r="T113" s="248"/>
      <c r="U113" s="248"/>
      <c r="V113" s="248"/>
      <c r="W113" s="248"/>
      <c r="X113" s="248"/>
      <c r="Y113" s="248"/>
      <c r="Z113" s="248"/>
      <c r="AA113" s="248"/>
      <c r="AB113" s="248"/>
      <c r="AC113" s="248"/>
      <c r="AD113" s="248"/>
      <c r="AE113" s="248"/>
      <c r="AF113" s="248"/>
      <c r="AG113" s="248"/>
      <c r="AH113" s="248"/>
      <c r="AI113" s="248"/>
      <c r="AJ113" s="248"/>
      <c r="AK113" s="248"/>
      <c r="AL113" s="248"/>
      <c r="AM113" s="248"/>
      <c r="AN113" s="248"/>
      <c r="AO113" s="248"/>
      <c r="AP113" s="248"/>
      <c r="AQ113" s="248"/>
      <c r="AR113" s="248"/>
      <c r="AS113" s="248"/>
      <c r="AT113" s="248"/>
      <c r="AU113" s="248"/>
      <c r="AV113" s="248"/>
      <c r="AW113" s="248"/>
      <c r="AX113" s="248"/>
      <c r="AY113" s="248"/>
      <c r="AZ113" s="248"/>
      <c r="BA113" s="248"/>
      <c r="BB113" s="248"/>
      <c r="BC113" s="248"/>
      <c r="BD113" s="248"/>
      <c r="BE113" s="248"/>
      <c r="BF113" s="248"/>
      <c r="BG113" s="248"/>
      <c r="BH113" s="248"/>
      <c r="BI113" s="248"/>
      <c r="BJ113" s="248"/>
      <c r="BK113" s="248"/>
      <c r="BL113" s="248"/>
      <c r="BM113" s="248"/>
    </row>
    <row r="114" spans="1:65" s="320" customFormat="1" ht="15.75" customHeight="1" x14ac:dyDescent="0.2">
      <c r="A114" s="261"/>
      <c r="B114" s="262"/>
      <c r="C114" s="280"/>
      <c r="D114" s="263"/>
      <c r="E114" s="263" t="s">
        <v>291</v>
      </c>
      <c r="F114" s="273" t="s">
        <v>20</v>
      </c>
      <c r="G114" s="274">
        <f>167.03+150+75+580</f>
        <v>972.03</v>
      </c>
      <c r="H114" s="248"/>
      <c r="I114" s="248"/>
      <c r="J114" s="248"/>
      <c r="K114" s="248"/>
      <c r="L114" s="248"/>
      <c r="M114" s="248"/>
      <c r="N114" s="248"/>
      <c r="O114" s="248"/>
      <c r="P114" s="248"/>
      <c r="Q114" s="248"/>
      <c r="R114" s="248"/>
      <c r="S114" s="248"/>
      <c r="T114" s="248"/>
      <c r="U114" s="248"/>
      <c r="V114" s="248"/>
      <c r="W114" s="248"/>
      <c r="X114" s="248"/>
      <c r="Y114" s="248"/>
      <c r="Z114" s="248"/>
      <c r="AA114" s="248"/>
      <c r="AB114" s="248"/>
      <c r="AC114" s="248"/>
      <c r="AD114" s="248"/>
      <c r="AE114" s="248"/>
      <c r="AF114" s="248"/>
      <c r="AG114" s="248"/>
      <c r="AH114" s="248"/>
      <c r="AI114" s="248"/>
      <c r="AJ114" s="248"/>
      <c r="AK114" s="248"/>
      <c r="AL114" s="248"/>
      <c r="AM114" s="248"/>
      <c r="AN114" s="248"/>
      <c r="AO114" s="248"/>
      <c r="AP114" s="248"/>
      <c r="AQ114" s="248"/>
      <c r="AR114" s="248"/>
      <c r="AS114" s="248"/>
      <c r="AT114" s="248"/>
      <c r="AU114" s="248"/>
      <c r="AV114" s="248"/>
      <c r="AW114" s="248"/>
      <c r="AX114" s="248"/>
      <c r="AY114" s="248"/>
      <c r="AZ114" s="248"/>
      <c r="BA114" s="248"/>
      <c r="BB114" s="248"/>
      <c r="BC114" s="248"/>
      <c r="BD114" s="248"/>
      <c r="BE114" s="248"/>
      <c r="BF114" s="248"/>
      <c r="BG114" s="248"/>
      <c r="BH114" s="248"/>
      <c r="BI114" s="248"/>
      <c r="BJ114" s="248"/>
      <c r="BK114" s="248"/>
      <c r="BL114" s="248"/>
      <c r="BM114" s="248"/>
    </row>
    <row r="115" spans="1:65" s="320" customFormat="1" ht="15.75" customHeight="1" x14ac:dyDescent="0.2">
      <c r="A115" s="261"/>
      <c r="B115" s="262"/>
      <c r="C115" s="280"/>
      <c r="D115" s="263"/>
      <c r="E115" s="263" t="s">
        <v>307</v>
      </c>
      <c r="F115" s="273" t="s">
        <v>20</v>
      </c>
      <c r="G115" s="274">
        <f>13343.1+22918.28+12450.95-19756.38+12141.03+9388.68+2050-22875</f>
        <v>29660.660000000003</v>
      </c>
      <c r="H115" s="248"/>
      <c r="I115" s="248"/>
      <c r="J115" s="248"/>
      <c r="K115" s="248"/>
      <c r="L115" s="248"/>
      <c r="M115" s="248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48"/>
      <c r="Y115" s="248"/>
      <c r="Z115" s="248"/>
      <c r="AA115" s="248"/>
      <c r="AB115" s="248"/>
      <c r="AC115" s="248"/>
      <c r="AD115" s="248"/>
      <c r="AE115" s="248"/>
      <c r="AF115" s="248"/>
      <c r="AG115" s="248"/>
      <c r="AH115" s="248"/>
      <c r="AI115" s="248"/>
      <c r="AJ115" s="248"/>
      <c r="AK115" s="248"/>
      <c r="AL115" s="248"/>
      <c r="AM115" s="248"/>
      <c r="AN115" s="248"/>
      <c r="AO115" s="248"/>
      <c r="AP115" s="248"/>
      <c r="AQ115" s="248"/>
      <c r="AR115" s="248"/>
      <c r="AS115" s="248"/>
      <c r="AT115" s="248"/>
      <c r="AU115" s="248"/>
      <c r="AV115" s="248"/>
      <c r="AW115" s="248"/>
      <c r="AX115" s="248"/>
      <c r="AY115" s="248"/>
      <c r="AZ115" s="248"/>
      <c r="BA115" s="248"/>
      <c r="BB115" s="248"/>
      <c r="BC115" s="248"/>
      <c r="BD115" s="248"/>
      <c r="BE115" s="248"/>
      <c r="BF115" s="248"/>
      <c r="BG115" s="248"/>
      <c r="BH115" s="248"/>
      <c r="BI115" s="248"/>
      <c r="BJ115" s="248"/>
      <c r="BK115" s="248"/>
      <c r="BL115" s="248"/>
      <c r="BM115" s="248"/>
    </row>
    <row r="116" spans="1:65" s="320" customFormat="1" ht="15.75" customHeight="1" x14ac:dyDescent="0.2">
      <c r="A116" s="261"/>
      <c r="B116" s="262"/>
      <c r="C116" s="280"/>
      <c r="D116" s="263"/>
      <c r="E116" s="263" t="s">
        <v>296</v>
      </c>
      <c r="F116" s="273" t="s">
        <v>20</v>
      </c>
      <c r="G116" s="274">
        <f>4235+5331.27+3043.01-3894.55+2967.05+2266.79-6190</f>
        <v>7758.57</v>
      </c>
      <c r="H116" s="248"/>
      <c r="I116" s="248"/>
      <c r="J116" s="248"/>
      <c r="K116" s="248"/>
      <c r="L116" s="248"/>
      <c r="M116" s="248"/>
      <c r="N116" s="248"/>
      <c r="O116" s="248"/>
      <c r="P116" s="248"/>
      <c r="Q116" s="248"/>
      <c r="R116" s="248"/>
      <c r="S116" s="248"/>
      <c r="T116" s="248"/>
      <c r="U116" s="248"/>
      <c r="V116" s="248"/>
      <c r="W116" s="248"/>
      <c r="X116" s="248"/>
      <c r="Y116" s="248"/>
      <c r="Z116" s="248"/>
      <c r="AA116" s="248"/>
      <c r="AB116" s="248"/>
      <c r="AC116" s="248"/>
      <c r="AD116" s="248"/>
      <c r="AE116" s="248"/>
      <c r="AF116" s="248"/>
      <c r="AG116" s="248"/>
      <c r="AH116" s="248"/>
      <c r="AI116" s="248"/>
      <c r="AJ116" s="248"/>
      <c r="AK116" s="248"/>
      <c r="AL116" s="248"/>
      <c r="AM116" s="248"/>
      <c r="AN116" s="248"/>
      <c r="AO116" s="248"/>
      <c r="AP116" s="248"/>
      <c r="AQ116" s="248"/>
      <c r="AR116" s="248"/>
      <c r="AS116" s="248"/>
      <c r="AT116" s="248"/>
      <c r="AU116" s="248"/>
      <c r="AV116" s="248"/>
      <c r="AW116" s="248"/>
      <c r="AX116" s="248"/>
      <c r="AY116" s="248"/>
      <c r="AZ116" s="248"/>
      <c r="BA116" s="248"/>
      <c r="BB116" s="248"/>
      <c r="BC116" s="248"/>
      <c r="BD116" s="248"/>
      <c r="BE116" s="248"/>
      <c r="BF116" s="248"/>
      <c r="BG116" s="248"/>
      <c r="BH116" s="248"/>
      <c r="BI116" s="248"/>
      <c r="BJ116" s="248"/>
      <c r="BK116" s="248"/>
      <c r="BL116" s="248"/>
      <c r="BM116" s="248"/>
    </row>
    <row r="117" spans="1:65" s="320" customFormat="1" ht="15.75" customHeight="1" x14ac:dyDescent="0.2">
      <c r="A117" s="261"/>
      <c r="B117" s="262"/>
      <c r="C117" s="280"/>
      <c r="D117" s="263"/>
      <c r="E117" s="263" t="s">
        <v>308</v>
      </c>
      <c r="F117" s="273" t="s">
        <v>20</v>
      </c>
      <c r="G117" s="274">
        <f>3024.9+500+1905+1600</f>
        <v>7029.9</v>
      </c>
      <c r="H117" s="248"/>
      <c r="I117" s="248"/>
      <c r="J117" s="248"/>
      <c r="K117" s="248"/>
      <c r="L117" s="248"/>
      <c r="M117" s="248"/>
      <c r="N117" s="248"/>
      <c r="O117" s="248"/>
      <c r="P117" s="248"/>
      <c r="Q117" s="248"/>
      <c r="R117" s="248"/>
      <c r="S117" s="248"/>
      <c r="T117" s="248"/>
      <c r="U117" s="248"/>
      <c r="V117" s="248"/>
      <c r="W117" s="248"/>
      <c r="X117" s="248"/>
      <c r="Y117" s="248"/>
      <c r="Z117" s="248"/>
      <c r="AA117" s="248"/>
      <c r="AB117" s="248"/>
      <c r="AC117" s="248"/>
      <c r="AD117" s="248"/>
      <c r="AE117" s="248"/>
      <c r="AF117" s="248"/>
      <c r="AG117" s="248"/>
      <c r="AH117" s="248"/>
      <c r="AI117" s="248"/>
      <c r="AJ117" s="248"/>
      <c r="AK117" s="248"/>
      <c r="AL117" s="248"/>
      <c r="AM117" s="248"/>
      <c r="AN117" s="248"/>
      <c r="AO117" s="248"/>
      <c r="AP117" s="248"/>
      <c r="AQ117" s="248"/>
      <c r="AR117" s="248"/>
      <c r="AS117" s="248"/>
      <c r="AT117" s="248"/>
      <c r="AU117" s="248"/>
      <c r="AV117" s="248"/>
      <c r="AW117" s="248"/>
      <c r="AX117" s="248"/>
      <c r="AY117" s="248"/>
      <c r="AZ117" s="248"/>
      <c r="BA117" s="248"/>
      <c r="BB117" s="248"/>
      <c r="BC117" s="248"/>
      <c r="BD117" s="248"/>
      <c r="BE117" s="248"/>
      <c r="BF117" s="248"/>
      <c r="BG117" s="248"/>
      <c r="BH117" s="248"/>
      <c r="BI117" s="248"/>
      <c r="BJ117" s="248"/>
      <c r="BK117" s="248"/>
      <c r="BL117" s="248"/>
      <c r="BM117" s="248"/>
    </row>
    <row r="118" spans="1:65" s="320" customFormat="1" ht="7.5" customHeight="1" x14ac:dyDescent="0.2">
      <c r="A118" s="261"/>
      <c r="B118" s="262"/>
      <c r="C118" s="280"/>
      <c r="D118" s="263"/>
      <c r="E118" s="263"/>
      <c r="F118" s="273"/>
      <c r="G118" s="274"/>
      <c r="H118" s="248"/>
      <c r="I118" s="248"/>
      <c r="J118" s="248"/>
      <c r="K118" s="248"/>
      <c r="L118" s="248"/>
      <c r="M118" s="248"/>
      <c r="N118" s="248"/>
      <c r="O118" s="248"/>
      <c r="P118" s="248"/>
      <c r="Q118" s="248"/>
      <c r="R118" s="248"/>
      <c r="S118" s="248"/>
      <c r="T118" s="248"/>
      <c r="U118" s="248"/>
      <c r="V118" s="248"/>
      <c r="W118" s="248"/>
      <c r="X118" s="248"/>
      <c r="Y118" s="248"/>
      <c r="Z118" s="248"/>
      <c r="AA118" s="248"/>
      <c r="AB118" s="248"/>
      <c r="AC118" s="248"/>
      <c r="AD118" s="248"/>
      <c r="AE118" s="248"/>
      <c r="AF118" s="248"/>
      <c r="AG118" s="248"/>
      <c r="AH118" s="248"/>
      <c r="AI118" s="248"/>
      <c r="AJ118" s="248"/>
      <c r="AK118" s="248"/>
      <c r="AL118" s="248"/>
      <c r="AM118" s="248"/>
      <c r="AN118" s="248"/>
      <c r="AO118" s="248"/>
      <c r="AP118" s="248"/>
      <c r="AQ118" s="248"/>
      <c r="AR118" s="248"/>
      <c r="AS118" s="248"/>
      <c r="AT118" s="248"/>
      <c r="AU118" s="248"/>
      <c r="AV118" s="248"/>
      <c r="AW118" s="248"/>
      <c r="AX118" s="248"/>
      <c r="AY118" s="248"/>
      <c r="AZ118" s="248"/>
      <c r="BA118" s="248"/>
      <c r="BB118" s="248"/>
      <c r="BC118" s="248"/>
      <c r="BD118" s="248"/>
      <c r="BE118" s="248"/>
      <c r="BF118" s="248"/>
      <c r="BG118" s="248"/>
      <c r="BH118" s="248"/>
      <c r="BI118" s="248"/>
      <c r="BJ118" s="248"/>
      <c r="BK118" s="248"/>
      <c r="BL118" s="248"/>
      <c r="BM118" s="248"/>
    </row>
    <row r="119" spans="1:65" s="320" customFormat="1" ht="15.75" customHeight="1" x14ac:dyDescent="0.2">
      <c r="A119" s="261"/>
      <c r="B119" s="322" t="s">
        <v>311</v>
      </c>
      <c r="C119" s="263" t="s">
        <v>304</v>
      </c>
      <c r="D119" s="263" t="s">
        <v>316</v>
      </c>
      <c r="E119" s="269" t="s">
        <v>20</v>
      </c>
      <c r="F119" s="270" t="s">
        <v>20</v>
      </c>
      <c r="G119" s="271">
        <f>SUM(G121)</f>
        <v>9144.2800000000007</v>
      </c>
      <c r="H119" s="248"/>
      <c r="I119" s="248"/>
      <c r="J119" s="248"/>
      <c r="K119" s="248"/>
      <c r="L119" s="248"/>
      <c r="M119" s="248"/>
      <c r="N119" s="248"/>
      <c r="O119" s="248"/>
      <c r="P119" s="248"/>
      <c r="Q119" s="248"/>
      <c r="R119" s="248"/>
      <c r="S119" s="248"/>
      <c r="T119" s="248"/>
      <c r="U119" s="248"/>
      <c r="V119" s="248"/>
      <c r="W119" s="248"/>
      <c r="X119" s="248"/>
      <c r="Y119" s="248"/>
      <c r="Z119" s="248"/>
      <c r="AA119" s="248"/>
      <c r="AB119" s="248"/>
      <c r="AC119" s="248"/>
      <c r="AD119" s="248"/>
      <c r="AE119" s="248"/>
      <c r="AF119" s="248"/>
      <c r="AG119" s="248"/>
      <c r="AH119" s="248"/>
      <c r="AI119" s="248"/>
      <c r="AJ119" s="248"/>
      <c r="AK119" s="248"/>
      <c r="AL119" s="248"/>
      <c r="AM119" s="248"/>
      <c r="AN119" s="248"/>
      <c r="AO119" s="248"/>
      <c r="AP119" s="248"/>
      <c r="AQ119" s="248"/>
      <c r="AR119" s="248"/>
      <c r="AS119" s="248"/>
      <c r="AT119" s="248"/>
      <c r="AU119" s="248"/>
      <c r="AV119" s="248"/>
      <c r="AW119" s="248"/>
      <c r="AX119" s="248"/>
      <c r="AY119" s="248"/>
      <c r="AZ119" s="248"/>
      <c r="BA119" s="248"/>
      <c r="BB119" s="248"/>
      <c r="BC119" s="248"/>
      <c r="BD119" s="248"/>
      <c r="BE119" s="248"/>
      <c r="BF119" s="248"/>
      <c r="BG119" s="248"/>
      <c r="BH119" s="248"/>
      <c r="BI119" s="248"/>
      <c r="BJ119" s="248"/>
      <c r="BK119" s="248"/>
      <c r="BL119" s="248"/>
      <c r="BM119" s="248"/>
    </row>
    <row r="120" spans="1:65" s="320" customFormat="1" ht="7.5" customHeight="1" x14ac:dyDescent="0.2">
      <c r="A120" s="261"/>
      <c r="B120" s="262"/>
      <c r="C120" s="280"/>
      <c r="D120" s="263"/>
      <c r="E120" s="263"/>
      <c r="F120" s="273"/>
      <c r="G120" s="274"/>
      <c r="H120" s="248"/>
      <c r="I120" s="248"/>
      <c r="J120" s="248"/>
      <c r="K120" s="248"/>
      <c r="L120" s="248"/>
      <c r="M120" s="248"/>
      <c r="N120" s="248"/>
      <c r="O120" s="248"/>
      <c r="P120" s="248"/>
      <c r="Q120" s="248"/>
      <c r="R120" s="248"/>
      <c r="S120" s="248"/>
      <c r="T120" s="248"/>
      <c r="U120" s="248"/>
      <c r="V120" s="248"/>
      <c r="W120" s="248"/>
      <c r="X120" s="248"/>
      <c r="Y120" s="248"/>
      <c r="Z120" s="248"/>
      <c r="AA120" s="248"/>
      <c r="AB120" s="248"/>
      <c r="AC120" s="248"/>
      <c r="AD120" s="248"/>
      <c r="AE120" s="248"/>
      <c r="AF120" s="248"/>
      <c r="AG120" s="248"/>
      <c r="AH120" s="248"/>
      <c r="AI120" s="248"/>
      <c r="AJ120" s="248"/>
      <c r="AK120" s="248"/>
      <c r="AL120" s="248"/>
      <c r="AM120" s="248"/>
      <c r="AN120" s="248"/>
      <c r="AO120" s="248"/>
      <c r="AP120" s="248"/>
      <c r="AQ120" s="248"/>
      <c r="AR120" s="248"/>
      <c r="AS120" s="248"/>
      <c r="AT120" s="248"/>
      <c r="AU120" s="248"/>
      <c r="AV120" s="248"/>
      <c r="AW120" s="248"/>
      <c r="AX120" s="248"/>
      <c r="AY120" s="248"/>
      <c r="AZ120" s="248"/>
      <c r="BA120" s="248"/>
      <c r="BB120" s="248"/>
      <c r="BC120" s="248"/>
      <c r="BD120" s="248"/>
      <c r="BE120" s="248"/>
      <c r="BF120" s="248"/>
      <c r="BG120" s="248"/>
      <c r="BH120" s="248"/>
      <c r="BI120" s="248"/>
      <c r="BJ120" s="248"/>
      <c r="BK120" s="248"/>
      <c r="BL120" s="248"/>
      <c r="BM120" s="248"/>
    </row>
    <row r="121" spans="1:65" s="320" customFormat="1" ht="15.75" customHeight="1" x14ac:dyDescent="0.2">
      <c r="A121" s="261"/>
      <c r="B121" s="262"/>
      <c r="C121" s="280"/>
      <c r="D121" s="263"/>
      <c r="E121" s="263"/>
      <c r="F121" s="273"/>
      <c r="G121" s="321">
        <f>SUM(G122)</f>
        <v>9144.2800000000007</v>
      </c>
      <c r="H121" s="248"/>
      <c r="I121" s="248"/>
      <c r="J121" s="248"/>
      <c r="K121" s="248"/>
      <c r="L121" s="248"/>
      <c r="M121" s="248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48"/>
      <c r="Y121" s="248"/>
      <c r="Z121" s="248"/>
      <c r="AA121" s="248"/>
      <c r="AB121" s="248"/>
      <c r="AC121" s="248"/>
      <c r="AD121" s="248"/>
      <c r="AE121" s="248"/>
      <c r="AF121" s="248"/>
      <c r="AG121" s="248"/>
      <c r="AH121" s="248"/>
      <c r="AI121" s="248"/>
      <c r="AJ121" s="248"/>
      <c r="AK121" s="248"/>
      <c r="AL121" s="248"/>
      <c r="AM121" s="248"/>
      <c r="AN121" s="248"/>
      <c r="AO121" s="248"/>
      <c r="AP121" s="248"/>
      <c r="AQ121" s="248"/>
      <c r="AR121" s="248"/>
      <c r="AS121" s="248"/>
      <c r="AT121" s="248"/>
      <c r="AU121" s="248"/>
      <c r="AV121" s="248"/>
      <c r="AW121" s="248"/>
      <c r="AX121" s="248"/>
      <c r="AY121" s="248"/>
      <c r="AZ121" s="248"/>
      <c r="BA121" s="248"/>
      <c r="BB121" s="248"/>
      <c r="BC121" s="248"/>
      <c r="BD121" s="248"/>
      <c r="BE121" s="248"/>
      <c r="BF121" s="248"/>
      <c r="BG121" s="248"/>
      <c r="BH121" s="248"/>
      <c r="BI121" s="248"/>
      <c r="BJ121" s="248"/>
      <c r="BK121" s="248"/>
      <c r="BL121" s="248"/>
      <c r="BM121" s="248"/>
    </row>
    <row r="122" spans="1:65" s="320" customFormat="1" ht="15.75" customHeight="1" x14ac:dyDescent="0.2">
      <c r="A122" s="261"/>
      <c r="B122" s="262"/>
      <c r="C122" s="280"/>
      <c r="D122" s="263"/>
      <c r="E122" s="263" t="s">
        <v>312</v>
      </c>
      <c r="F122" s="273" t="s">
        <v>20</v>
      </c>
      <c r="G122" s="274">
        <f>4478.39+4665.89</f>
        <v>9144.2800000000007</v>
      </c>
      <c r="H122" s="248"/>
      <c r="I122" s="248"/>
      <c r="J122" s="248"/>
      <c r="K122" s="248"/>
      <c r="L122" s="248"/>
      <c r="M122" s="248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  <c r="Z122" s="248"/>
      <c r="AA122" s="248"/>
      <c r="AB122" s="248"/>
      <c r="AC122" s="248"/>
      <c r="AD122" s="248"/>
      <c r="AE122" s="248"/>
      <c r="AF122" s="248"/>
      <c r="AG122" s="248"/>
      <c r="AH122" s="248"/>
      <c r="AI122" s="248"/>
      <c r="AJ122" s="248"/>
      <c r="AK122" s="248"/>
      <c r="AL122" s="248"/>
      <c r="AM122" s="248"/>
      <c r="AN122" s="248"/>
      <c r="AO122" s="248"/>
      <c r="AP122" s="248"/>
      <c r="AQ122" s="248"/>
      <c r="AR122" s="248"/>
      <c r="AS122" s="248"/>
      <c r="AT122" s="248"/>
      <c r="AU122" s="248"/>
      <c r="AV122" s="248"/>
      <c r="AW122" s="248"/>
      <c r="AX122" s="248"/>
      <c r="AY122" s="248"/>
      <c r="AZ122" s="248"/>
      <c r="BA122" s="248"/>
      <c r="BB122" s="248"/>
      <c r="BC122" s="248"/>
      <c r="BD122" s="248"/>
      <c r="BE122" s="248"/>
      <c r="BF122" s="248"/>
      <c r="BG122" s="248"/>
      <c r="BH122" s="248"/>
      <c r="BI122" s="248"/>
      <c r="BJ122" s="248"/>
      <c r="BK122" s="248"/>
      <c r="BL122" s="248"/>
      <c r="BM122" s="248"/>
    </row>
    <row r="123" spans="1:65" s="320" customFormat="1" ht="8.25" customHeight="1" x14ac:dyDescent="0.2">
      <c r="A123" s="275"/>
      <c r="B123" s="276"/>
      <c r="C123" s="277"/>
      <c r="D123" s="264"/>
      <c r="E123" s="264"/>
      <c r="F123" s="266"/>
      <c r="G123" s="278"/>
      <c r="H123" s="248"/>
      <c r="I123" s="248"/>
      <c r="J123" s="248"/>
      <c r="K123" s="248"/>
      <c r="L123" s="248"/>
      <c r="M123" s="248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Z123" s="248"/>
      <c r="AA123" s="248"/>
      <c r="AB123" s="248"/>
      <c r="AC123" s="248"/>
      <c r="AD123" s="248"/>
      <c r="AE123" s="248"/>
      <c r="AF123" s="248"/>
      <c r="AG123" s="248"/>
      <c r="AH123" s="248"/>
      <c r="AI123" s="248"/>
      <c r="AJ123" s="248"/>
      <c r="AK123" s="248"/>
      <c r="AL123" s="248"/>
      <c r="AM123" s="248"/>
      <c r="AN123" s="248"/>
      <c r="AO123" s="248"/>
      <c r="AP123" s="248"/>
      <c r="AQ123" s="248"/>
      <c r="AR123" s="248"/>
      <c r="AS123" s="248"/>
      <c r="AT123" s="248"/>
      <c r="AU123" s="248"/>
      <c r="AV123" s="248"/>
      <c r="AW123" s="248"/>
      <c r="AX123" s="248"/>
      <c r="AY123" s="248"/>
      <c r="AZ123" s="248"/>
      <c r="BA123" s="248"/>
      <c r="BB123" s="248"/>
      <c r="BC123" s="248"/>
      <c r="BD123" s="248"/>
      <c r="BE123" s="248"/>
      <c r="BF123" s="248"/>
      <c r="BG123" s="248"/>
      <c r="BH123" s="248"/>
      <c r="BI123" s="248"/>
      <c r="BJ123" s="248"/>
      <c r="BK123" s="248"/>
      <c r="BL123" s="248"/>
      <c r="BM123" s="248"/>
    </row>
    <row r="124" spans="1:65" s="320" customFormat="1" ht="19.5" customHeight="1" x14ac:dyDescent="0.2">
      <c r="A124" s="261"/>
      <c r="B124" s="322" t="s">
        <v>303</v>
      </c>
      <c r="C124" s="263" t="s">
        <v>304</v>
      </c>
      <c r="D124" s="263" t="s">
        <v>317</v>
      </c>
      <c r="E124" s="264" t="s">
        <v>20</v>
      </c>
      <c r="F124" s="266" t="s">
        <v>20</v>
      </c>
      <c r="G124" s="265">
        <f>SUM(G126)</f>
        <v>15934.85</v>
      </c>
      <c r="H124" s="248"/>
      <c r="I124" s="248"/>
      <c r="J124" s="248"/>
      <c r="K124" s="248"/>
      <c r="L124" s="248"/>
      <c r="M124" s="248"/>
      <c r="N124" s="248"/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  <c r="AA124" s="248"/>
      <c r="AB124" s="248"/>
      <c r="AC124" s="248"/>
      <c r="AD124" s="248"/>
      <c r="AE124" s="248"/>
      <c r="AF124" s="248"/>
      <c r="AG124" s="248"/>
      <c r="AH124" s="248"/>
      <c r="AI124" s="248"/>
      <c r="AJ124" s="248"/>
      <c r="AK124" s="248"/>
      <c r="AL124" s="248"/>
      <c r="AM124" s="248"/>
      <c r="AN124" s="248"/>
      <c r="AO124" s="248"/>
      <c r="AP124" s="248"/>
      <c r="AQ124" s="248"/>
      <c r="AR124" s="248"/>
      <c r="AS124" s="248"/>
      <c r="AT124" s="248"/>
      <c r="AU124" s="248"/>
      <c r="AV124" s="248"/>
      <c r="AW124" s="248"/>
      <c r="AX124" s="248"/>
      <c r="AY124" s="248"/>
      <c r="AZ124" s="248"/>
      <c r="BA124" s="248"/>
      <c r="BB124" s="248"/>
      <c r="BC124" s="248"/>
      <c r="BD124" s="248"/>
      <c r="BE124" s="248"/>
      <c r="BF124" s="248"/>
      <c r="BG124" s="248"/>
      <c r="BH124" s="248"/>
      <c r="BI124" s="248"/>
      <c r="BJ124" s="248"/>
      <c r="BK124" s="248"/>
      <c r="BL124" s="248"/>
      <c r="BM124" s="248"/>
    </row>
    <row r="125" spans="1:65" s="320" customFormat="1" ht="6.75" customHeight="1" x14ac:dyDescent="0.2">
      <c r="A125" s="261"/>
      <c r="B125" s="262"/>
      <c r="C125" s="280"/>
      <c r="D125" s="263"/>
      <c r="E125" s="263"/>
      <c r="F125" s="273"/>
      <c r="G125" s="274"/>
      <c r="H125" s="248"/>
      <c r="I125" s="248"/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  <c r="Z125" s="248"/>
      <c r="AA125" s="248"/>
      <c r="AB125" s="248"/>
      <c r="AC125" s="248"/>
      <c r="AD125" s="248"/>
      <c r="AE125" s="248"/>
      <c r="AF125" s="248"/>
      <c r="AG125" s="248"/>
      <c r="AH125" s="248"/>
      <c r="AI125" s="248"/>
      <c r="AJ125" s="248"/>
      <c r="AK125" s="248"/>
      <c r="AL125" s="248"/>
      <c r="AM125" s="248"/>
      <c r="AN125" s="248"/>
      <c r="AO125" s="248"/>
      <c r="AP125" s="248"/>
      <c r="AQ125" s="248"/>
      <c r="AR125" s="248"/>
      <c r="AS125" s="248"/>
      <c r="AT125" s="248"/>
      <c r="AU125" s="248"/>
      <c r="AV125" s="248"/>
      <c r="AW125" s="248"/>
      <c r="AX125" s="248"/>
      <c r="AY125" s="248"/>
      <c r="AZ125" s="248"/>
      <c r="BA125" s="248"/>
      <c r="BB125" s="248"/>
      <c r="BC125" s="248"/>
      <c r="BD125" s="248"/>
      <c r="BE125" s="248"/>
      <c r="BF125" s="248"/>
      <c r="BG125" s="248"/>
      <c r="BH125" s="248"/>
      <c r="BI125" s="248"/>
      <c r="BJ125" s="248"/>
      <c r="BK125" s="248"/>
      <c r="BL125" s="248"/>
      <c r="BM125" s="248"/>
    </row>
    <row r="126" spans="1:65" s="320" customFormat="1" ht="15.75" customHeight="1" x14ac:dyDescent="0.2">
      <c r="A126" s="261"/>
      <c r="B126" s="262"/>
      <c r="C126" s="280"/>
      <c r="D126" s="263"/>
      <c r="E126" s="263"/>
      <c r="F126" s="273"/>
      <c r="G126" s="321">
        <f>SUM(G127:G131)</f>
        <v>15934.85</v>
      </c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Z126" s="248"/>
      <c r="AA126" s="248"/>
      <c r="AB126" s="248"/>
      <c r="AC126" s="248"/>
      <c r="AD126" s="248"/>
      <c r="AE126" s="248"/>
      <c r="AF126" s="248"/>
      <c r="AG126" s="248"/>
      <c r="AH126" s="248"/>
      <c r="AI126" s="248"/>
      <c r="AJ126" s="248"/>
      <c r="AK126" s="248"/>
      <c r="AL126" s="248"/>
      <c r="AM126" s="248"/>
      <c r="AN126" s="248"/>
      <c r="AO126" s="248"/>
      <c r="AP126" s="248"/>
      <c r="AQ126" s="248"/>
      <c r="AR126" s="248"/>
      <c r="AS126" s="248"/>
      <c r="AT126" s="248"/>
      <c r="AU126" s="248"/>
      <c r="AV126" s="248"/>
      <c r="AW126" s="248"/>
      <c r="AX126" s="248"/>
      <c r="AY126" s="248"/>
      <c r="AZ126" s="248"/>
      <c r="BA126" s="248"/>
      <c r="BB126" s="248"/>
      <c r="BC126" s="248"/>
      <c r="BD126" s="248"/>
      <c r="BE126" s="248"/>
      <c r="BF126" s="248"/>
      <c r="BG126" s="248"/>
      <c r="BH126" s="248"/>
      <c r="BI126" s="248"/>
      <c r="BJ126" s="248"/>
      <c r="BK126" s="248"/>
      <c r="BL126" s="248"/>
      <c r="BM126" s="248"/>
    </row>
    <row r="127" spans="1:65" s="320" customFormat="1" ht="15.75" customHeight="1" x14ac:dyDescent="0.2">
      <c r="A127" s="261"/>
      <c r="B127" s="262"/>
      <c r="C127" s="280"/>
      <c r="D127" s="263"/>
      <c r="E127" s="263" t="s">
        <v>306</v>
      </c>
      <c r="F127" s="273" t="s">
        <v>20</v>
      </c>
      <c r="G127" s="274">
        <f>3600</f>
        <v>3600</v>
      </c>
      <c r="H127" s="248"/>
      <c r="I127" s="248"/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Z127" s="248"/>
      <c r="AA127" s="248"/>
      <c r="AB127" s="248"/>
      <c r="AC127" s="248"/>
      <c r="AD127" s="248"/>
      <c r="AE127" s="248"/>
      <c r="AF127" s="248"/>
      <c r="AG127" s="248"/>
      <c r="AH127" s="248"/>
      <c r="AI127" s="248"/>
      <c r="AJ127" s="248"/>
      <c r="AK127" s="248"/>
      <c r="AL127" s="248"/>
      <c r="AM127" s="248"/>
      <c r="AN127" s="248"/>
      <c r="AO127" s="248"/>
      <c r="AP127" s="248"/>
      <c r="AQ127" s="248"/>
      <c r="AR127" s="248"/>
      <c r="AS127" s="248"/>
      <c r="AT127" s="248"/>
      <c r="AU127" s="248"/>
      <c r="AV127" s="248"/>
      <c r="AW127" s="248"/>
      <c r="AX127" s="248"/>
      <c r="AY127" s="248"/>
      <c r="AZ127" s="248"/>
      <c r="BA127" s="248"/>
      <c r="BB127" s="248"/>
      <c r="BC127" s="248"/>
      <c r="BD127" s="248"/>
      <c r="BE127" s="248"/>
      <c r="BF127" s="248"/>
      <c r="BG127" s="248"/>
      <c r="BH127" s="248"/>
      <c r="BI127" s="248"/>
      <c r="BJ127" s="248"/>
      <c r="BK127" s="248"/>
      <c r="BL127" s="248"/>
      <c r="BM127" s="248"/>
    </row>
    <row r="128" spans="1:65" s="320" customFormat="1" ht="15.75" customHeight="1" x14ac:dyDescent="0.2">
      <c r="A128" s="261"/>
      <c r="B128" s="262"/>
      <c r="C128" s="280"/>
      <c r="D128" s="263"/>
      <c r="E128" s="263" t="s">
        <v>291</v>
      </c>
      <c r="F128" s="273" t="s">
        <v>20</v>
      </c>
      <c r="G128" s="274">
        <f>35.28+6.28+40</f>
        <v>81.56</v>
      </c>
      <c r="H128" s="248"/>
      <c r="I128" s="248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  <c r="Z128" s="248"/>
      <c r="AA128" s="248"/>
      <c r="AB128" s="248"/>
      <c r="AC128" s="248"/>
      <c r="AD128" s="248"/>
      <c r="AE128" s="248"/>
      <c r="AF128" s="248"/>
      <c r="AG128" s="248"/>
      <c r="AH128" s="248"/>
      <c r="AI128" s="248"/>
      <c r="AJ128" s="248"/>
      <c r="AK128" s="248"/>
      <c r="AL128" s="248"/>
      <c r="AM128" s="248"/>
      <c r="AN128" s="248"/>
      <c r="AO128" s="248"/>
      <c r="AP128" s="248"/>
      <c r="AQ128" s="248"/>
      <c r="AR128" s="248"/>
      <c r="AS128" s="248"/>
      <c r="AT128" s="248"/>
      <c r="AU128" s="248"/>
      <c r="AV128" s="248"/>
      <c r="AW128" s="248"/>
      <c r="AX128" s="248"/>
      <c r="AY128" s="248"/>
      <c r="AZ128" s="248"/>
      <c r="BA128" s="248"/>
      <c r="BB128" s="248"/>
      <c r="BC128" s="248"/>
      <c r="BD128" s="248"/>
      <c r="BE128" s="248"/>
      <c r="BF128" s="248"/>
      <c r="BG128" s="248"/>
      <c r="BH128" s="248"/>
      <c r="BI128" s="248"/>
      <c r="BJ128" s="248"/>
      <c r="BK128" s="248"/>
      <c r="BL128" s="248"/>
      <c r="BM128" s="248"/>
    </row>
    <row r="129" spans="1:65" s="320" customFormat="1" ht="15.75" customHeight="1" x14ac:dyDescent="0.2">
      <c r="A129" s="261"/>
      <c r="B129" s="262"/>
      <c r="C129" s="280"/>
      <c r="D129" s="263"/>
      <c r="E129" s="263" t="s">
        <v>307</v>
      </c>
      <c r="F129" s="273" t="s">
        <v>20</v>
      </c>
      <c r="G129" s="274">
        <f>4177.13+1939.42-717+1944.54+4594.26-3290</f>
        <v>8648.35</v>
      </c>
      <c r="H129" s="248"/>
      <c r="I129" s="248"/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  <c r="Z129" s="248"/>
      <c r="AA129" s="248"/>
      <c r="AB129" s="248"/>
      <c r="AC129" s="248"/>
      <c r="AD129" s="248"/>
      <c r="AE129" s="248"/>
      <c r="AF129" s="248"/>
      <c r="AG129" s="248"/>
      <c r="AH129" s="248"/>
      <c r="AI129" s="248"/>
      <c r="AJ129" s="248"/>
      <c r="AK129" s="248"/>
      <c r="AL129" s="248"/>
      <c r="AM129" s="248"/>
      <c r="AN129" s="248"/>
      <c r="AO129" s="248"/>
      <c r="AP129" s="248"/>
      <c r="AQ129" s="248"/>
      <c r="AR129" s="248"/>
      <c r="AS129" s="248"/>
      <c r="AT129" s="248"/>
      <c r="AU129" s="248"/>
      <c r="AV129" s="248"/>
      <c r="AW129" s="248"/>
      <c r="AX129" s="248"/>
      <c r="AY129" s="248"/>
      <c r="AZ129" s="248"/>
      <c r="BA129" s="248"/>
      <c r="BB129" s="248"/>
      <c r="BC129" s="248"/>
      <c r="BD129" s="248"/>
      <c r="BE129" s="248"/>
      <c r="BF129" s="248"/>
      <c r="BG129" s="248"/>
      <c r="BH129" s="248"/>
      <c r="BI129" s="248"/>
      <c r="BJ129" s="248"/>
      <c r="BK129" s="248"/>
      <c r="BL129" s="248"/>
      <c r="BM129" s="248"/>
    </row>
    <row r="130" spans="1:65" s="320" customFormat="1" ht="15.75" customHeight="1" x14ac:dyDescent="0.2">
      <c r="A130" s="261"/>
      <c r="B130" s="262"/>
      <c r="C130" s="280"/>
      <c r="D130" s="263"/>
      <c r="E130" s="263" t="s">
        <v>296</v>
      </c>
      <c r="F130" s="273" t="s">
        <v>20</v>
      </c>
      <c r="G130" s="274">
        <f>1018.21+473.99+475.24+1160-1350</f>
        <v>1777.44</v>
      </c>
      <c r="H130" s="248"/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  <c r="AF130" s="248"/>
      <c r="AG130" s="248"/>
      <c r="AH130" s="248"/>
      <c r="AI130" s="248"/>
      <c r="AJ130" s="248"/>
      <c r="AK130" s="248"/>
      <c r="AL130" s="248"/>
      <c r="AM130" s="248"/>
      <c r="AN130" s="248"/>
      <c r="AO130" s="248"/>
      <c r="AP130" s="248"/>
      <c r="AQ130" s="248"/>
      <c r="AR130" s="248"/>
      <c r="AS130" s="248"/>
      <c r="AT130" s="248"/>
      <c r="AU130" s="248"/>
      <c r="AV130" s="248"/>
      <c r="AW130" s="248"/>
      <c r="AX130" s="248"/>
      <c r="AY130" s="248"/>
      <c r="AZ130" s="248"/>
      <c r="BA130" s="248"/>
      <c r="BB130" s="248"/>
      <c r="BC130" s="248"/>
      <c r="BD130" s="248"/>
      <c r="BE130" s="248"/>
      <c r="BF130" s="248"/>
      <c r="BG130" s="248"/>
      <c r="BH130" s="248"/>
      <c r="BI130" s="248"/>
      <c r="BJ130" s="248"/>
      <c r="BK130" s="248"/>
      <c r="BL130" s="248"/>
      <c r="BM130" s="248"/>
    </row>
    <row r="131" spans="1:65" s="320" customFormat="1" ht="15.75" customHeight="1" x14ac:dyDescent="0.2">
      <c r="A131" s="261"/>
      <c r="B131" s="262"/>
      <c r="C131" s="280"/>
      <c r="D131" s="263"/>
      <c r="E131" s="263" t="s">
        <v>308</v>
      </c>
      <c r="F131" s="273" t="s">
        <v>20</v>
      </c>
      <c r="G131" s="274">
        <f>681.72+145.78+1000</f>
        <v>1827.5</v>
      </c>
      <c r="H131" s="248"/>
      <c r="I131" s="248"/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  <c r="Z131" s="248"/>
      <c r="AA131" s="248"/>
      <c r="AB131" s="248"/>
      <c r="AC131" s="248"/>
      <c r="AD131" s="248"/>
      <c r="AE131" s="248"/>
      <c r="AF131" s="248"/>
      <c r="AG131" s="248"/>
      <c r="AH131" s="248"/>
      <c r="AI131" s="248"/>
      <c r="AJ131" s="248"/>
      <c r="AK131" s="248"/>
      <c r="AL131" s="248"/>
      <c r="AM131" s="248"/>
      <c r="AN131" s="248"/>
      <c r="AO131" s="248"/>
      <c r="AP131" s="248"/>
      <c r="AQ131" s="248"/>
      <c r="AR131" s="248"/>
      <c r="AS131" s="248"/>
      <c r="AT131" s="248"/>
      <c r="AU131" s="248"/>
      <c r="AV131" s="248"/>
      <c r="AW131" s="248"/>
      <c r="AX131" s="248"/>
      <c r="AY131" s="248"/>
      <c r="AZ131" s="248"/>
      <c r="BA131" s="248"/>
      <c r="BB131" s="248"/>
      <c r="BC131" s="248"/>
      <c r="BD131" s="248"/>
      <c r="BE131" s="248"/>
      <c r="BF131" s="248"/>
      <c r="BG131" s="248"/>
      <c r="BH131" s="248"/>
      <c r="BI131" s="248"/>
      <c r="BJ131" s="248"/>
      <c r="BK131" s="248"/>
      <c r="BL131" s="248"/>
      <c r="BM131" s="248"/>
    </row>
    <row r="132" spans="1:65" s="320" customFormat="1" ht="7.5" customHeight="1" x14ac:dyDescent="0.2">
      <c r="A132" s="275"/>
      <c r="B132" s="276"/>
      <c r="C132" s="277"/>
      <c r="D132" s="264"/>
      <c r="E132" s="264"/>
      <c r="F132" s="266"/>
      <c r="G132" s="278"/>
      <c r="H132" s="248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  <c r="AA132" s="248"/>
      <c r="AB132" s="248"/>
      <c r="AC132" s="248"/>
      <c r="AD132" s="248"/>
      <c r="AE132" s="248"/>
      <c r="AF132" s="248"/>
      <c r="AG132" s="248"/>
      <c r="AH132" s="248"/>
      <c r="AI132" s="248"/>
      <c r="AJ132" s="248"/>
      <c r="AK132" s="248"/>
      <c r="AL132" s="248"/>
      <c r="AM132" s="248"/>
      <c r="AN132" s="248"/>
      <c r="AO132" s="248"/>
      <c r="AP132" s="248"/>
      <c r="AQ132" s="248"/>
      <c r="AR132" s="248"/>
      <c r="AS132" s="248"/>
      <c r="AT132" s="248"/>
      <c r="AU132" s="248"/>
      <c r="AV132" s="248"/>
      <c r="AW132" s="248"/>
      <c r="AX132" s="248"/>
      <c r="AY132" s="248"/>
      <c r="AZ132" s="248"/>
      <c r="BA132" s="248"/>
      <c r="BB132" s="248"/>
      <c r="BC132" s="248"/>
      <c r="BD132" s="248"/>
      <c r="BE132" s="248"/>
      <c r="BF132" s="248"/>
      <c r="BG132" s="248"/>
      <c r="BH132" s="248"/>
      <c r="BI132" s="248"/>
      <c r="BJ132" s="248"/>
      <c r="BK132" s="248"/>
      <c r="BL132" s="248"/>
      <c r="BM132" s="248"/>
    </row>
    <row r="133" spans="1:65" s="320" customFormat="1" ht="15.75" customHeight="1" x14ac:dyDescent="0.2">
      <c r="A133" s="261"/>
      <c r="B133" s="322" t="s">
        <v>303</v>
      </c>
      <c r="C133" s="263" t="s">
        <v>318</v>
      </c>
      <c r="D133" s="263" t="s">
        <v>319</v>
      </c>
      <c r="E133" s="264" t="s">
        <v>20</v>
      </c>
      <c r="F133" s="266" t="s">
        <v>20</v>
      </c>
      <c r="G133" s="265">
        <f>SUM(G135)</f>
        <v>7147.67</v>
      </c>
      <c r="H133" s="248"/>
      <c r="I133" s="248"/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  <c r="Z133" s="248"/>
      <c r="AA133" s="248"/>
      <c r="AB133" s="248"/>
      <c r="AC133" s="248"/>
      <c r="AD133" s="248"/>
      <c r="AE133" s="248"/>
      <c r="AF133" s="248"/>
      <c r="AG133" s="248"/>
      <c r="AH133" s="248"/>
      <c r="AI133" s="248"/>
      <c r="AJ133" s="248"/>
      <c r="AK133" s="248"/>
      <c r="AL133" s="248"/>
      <c r="AM133" s="248"/>
      <c r="AN133" s="248"/>
      <c r="AO133" s="248"/>
      <c r="AP133" s="248"/>
      <c r="AQ133" s="248"/>
      <c r="AR133" s="248"/>
      <c r="AS133" s="248"/>
      <c r="AT133" s="248"/>
      <c r="AU133" s="248"/>
      <c r="AV133" s="248"/>
      <c r="AW133" s="248"/>
      <c r="AX133" s="248"/>
      <c r="AY133" s="248"/>
      <c r="AZ133" s="248"/>
      <c r="BA133" s="248"/>
      <c r="BB133" s="248"/>
      <c r="BC133" s="248"/>
      <c r="BD133" s="248"/>
      <c r="BE133" s="248"/>
      <c r="BF133" s="248"/>
      <c r="BG133" s="248"/>
      <c r="BH133" s="248"/>
      <c r="BI133" s="248"/>
      <c r="BJ133" s="248"/>
      <c r="BK133" s="248"/>
      <c r="BL133" s="248"/>
      <c r="BM133" s="248"/>
    </row>
    <row r="134" spans="1:65" s="320" customFormat="1" ht="5.25" customHeight="1" x14ac:dyDescent="0.2">
      <c r="A134" s="261"/>
      <c r="B134" s="262"/>
      <c r="C134" s="280"/>
      <c r="D134" s="263"/>
      <c r="E134" s="263"/>
      <c r="F134" s="273"/>
      <c r="G134" s="274"/>
      <c r="H134" s="248"/>
      <c r="I134" s="248"/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  <c r="Z134" s="248"/>
      <c r="AA134" s="248"/>
      <c r="AB134" s="248"/>
      <c r="AC134" s="248"/>
      <c r="AD134" s="248"/>
      <c r="AE134" s="248"/>
      <c r="AF134" s="248"/>
      <c r="AG134" s="248"/>
      <c r="AH134" s="248"/>
      <c r="AI134" s="248"/>
      <c r="AJ134" s="248"/>
      <c r="AK134" s="248"/>
      <c r="AL134" s="248"/>
      <c r="AM134" s="248"/>
      <c r="AN134" s="248"/>
      <c r="AO134" s="248"/>
      <c r="AP134" s="248"/>
      <c r="AQ134" s="248"/>
      <c r="AR134" s="248"/>
      <c r="AS134" s="248"/>
      <c r="AT134" s="248"/>
      <c r="AU134" s="248"/>
      <c r="AV134" s="248"/>
      <c r="AW134" s="248"/>
      <c r="AX134" s="248"/>
      <c r="AY134" s="248"/>
      <c r="AZ134" s="248"/>
      <c r="BA134" s="248"/>
      <c r="BB134" s="248"/>
      <c r="BC134" s="248"/>
      <c r="BD134" s="248"/>
      <c r="BE134" s="248"/>
      <c r="BF134" s="248"/>
      <c r="BG134" s="248"/>
      <c r="BH134" s="248"/>
      <c r="BI134" s="248"/>
      <c r="BJ134" s="248"/>
      <c r="BK134" s="248"/>
      <c r="BL134" s="248"/>
      <c r="BM134" s="248"/>
    </row>
    <row r="135" spans="1:65" s="320" customFormat="1" ht="15.75" customHeight="1" x14ac:dyDescent="0.2">
      <c r="A135" s="261"/>
      <c r="B135" s="262"/>
      <c r="C135" s="280"/>
      <c r="D135" s="263"/>
      <c r="E135" s="263"/>
      <c r="F135" s="273"/>
      <c r="G135" s="321">
        <f>SUM(G136:G138)</f>
        <v>7147.67</v>
      </c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  <c r="Z135" s="248"/>
      <c r="AA135" s="248"/>
      <c r="AB135" s="248"/>
      <c r="AC135" s="248"/>
      <c r="AD135" s="248"/>
      <c r="AE135" s="248"/>
      <c r="AF135" s="248"/>
      <c r="AG135" s="248"/>
      <c r="AH135" s="248"/>
      <c r="AI135" s="248"/>
      <c r="AJ135" s="248"/>
      <c r="AK135" s="248"/>
      <c r="AL135" s="248"/>
      <c r="AM135" s="248"/>
      <c r="AN135" s="248"/>
      <c r="AO135" s="248"/>
      <c r="AP135" s="248"/>
      <c r="AQ135" s="248"/>
      <c r="AR135" s="248"/>
      <c r="AS135" s="248"/>
      <c r="AT135" s="248"/>
      <c r="AU135" s="248"/>
      <c r="AV135" s="248"/>
      <c r="AW135" s="248"/>
      <c r="AX135" s="248"/>
      <c r="AY135" s="248"/>
      <c r="AZ135" s="248"/>
      <c r="BA135" s="248"/>
      <c r="BB135" s="248"/>
      <c r="BC135" s="248"/>
      <c r="BD135" s="248"/>
      <c r="BE135" s="248"/>
      <c r="BF135" s="248"/>
      <c r="BG135" s="248"/>
      <c r="BH135" s="248"/>
      <c r="BI135" s="248"/>
      <c r="BJ135" s="248"/>
      <c r="BK135" s="248"/>
      <c r="BL135" s="248"/>
      <c r="BM135" s="248"/>
    </row>
    <row r="136" spans="1:65" s="320" customFormat="1" ht="15.75" customHeight="1" x14ac:dyDescent="0.2">
      <c r="A136" s="261"/>
      <c r="B136" s="262"/>
      <c r="C136" s="280"/>
      <c r="D136" s="263"/>
      <c r="E136" s="263" t="s">
        <v>306</v>
      </c>
      <c r="F136" s="273" t="s">
        <v>20</v>
      </c>
      <c r="G136" s="274">
        <v>1147.67</v>
      </c>
      <c r="H136" s="248"/>
      <c r="I136" s="248"/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  <c r="Z136" s="248"/>
      <c r="AA136" s="248"/>
      <c r="AB136" s="248"/>
      <c r="AC136" s="248"/>
      <c r="AD136" s="248"/>
      <c r="AE136" s="248"/>
      <c r="AF136" s="248"/>
      <c r="AG136" s="248"/>
      <c r="AH136" s="248"/>
      <c r="AI136" s="248"/>
      <c r="AJ136" s="248"/>
      <c r="AK136" s="248"/>
      <c r="AL136" s="248"/>
      <c r="AM136" s="248"/>
      <c r="AN136" s="248"/>
      <c r="AO136" s="248"/>
      <c r="AP136" s="248"/>
      <c r="AQ136" s="248"/>
      <c r="AR136" s="248"/>
      <c r="AS136" s="248"/>
      <c r="AT136" s="248"/>
      <c r="AU136" s="248"/>
      <c r="AV136" s="248"/>
      <c r="AW136" s="248"/>
      <c r="AX136" s="248"/>
      <c r="AY136" s="248"/>
      <c r="AZ136" s="248"/>
      <c r="BA136" s="248"/>
      <c r="BB136" s="248"/>
      <c r="BC136" s="248"/>
      <c r="BD136" s="248"/>
      <c r="BE136" s="248"/>
      <c r="BF136" s="248"/>
      <c r="BG136" s="248"/>
      <c r="BH136" s="248"/>
      <c r="BI136" s="248"/>
      <c r="BJ136" s="248"/>
      <c r="BK136" s="248"/>
      <c r="BL136" s="248"/>
      <c r="BM136" s="248"/>
    </row>
    <row r="137" spans="1:65" s="320" customFormat="1" ht="15.75" customHeight="1" x14ac:dyDescent="0.2">
      <c r="A137" s="261"/>
      <c r="B137" s="262"/>
      <c r="C137" s="280"/>
      <c r="D137" s="263"/>
      <c r="E137" s="263" t="s">
        <v>291</v>
      </c>
      <c r="F137" s="273" t="s">
        <v>20</v>
      </c>
      <c r="G137" s="274">
        <v>1000</v>
      </c>
      <c r="H137" s="248"/>
      <c r="I137" s="248"/>
      <c r="J137" s="248"/>
      <c r="K137" s="248"/>
      <c r="L137" s="248"/>
      <c r="M137" s="248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248"/>
      <c r="Y137" s="248"/>
      <c r="Z137" s="248"/>
      <c r="AA137" s="248"/>
      <c r="AB137" s="248"/>
      <c r="AC137" s="248"/>
      <c r="AD137" s="248"/>
      <c r="AE137" s="248"/>
      <c r="AF137" s="248"/>
      <c r="AG137" s="248"/>
      <c r="AH137" s="248"/>
      <c r="AI137" s="248"/>
      <c r="AJ137" s="248"/>
      <c r="AK137" s="248"/>
      <c r="AL137" s="248"/>
      <c r="AM137" s="248"/>
      <c r="AN137" s="248"/>
      <c r="AO137" s="248"/>
      <c r="AP137" s="248"/>
      <c r="AQ137" s="248"/>
      <c r="AR137" s="248"/>
      <c r="AS137" s="248"/>
      <c r="AT137" s="248"/>
      <c r="AU137" s="248"/>
      <c r="AV137" s="248"/>
      <c r="AW137" s="248"/>
      <c r="AX137" s="248"/>
      <c r="AY137" s="248"/>
      <c r="AZ137" s="248"/>
      <c r="BA137" s="248"/>
      <c r="BB137" s="248"/>
      <c r="BC137" s="248"/>
      <c r="BD137" s="248"/>
      <c r="BE137" s="248"/>
      <c r="BF137" s="248"/>
      <c r="BG137" s="248"/>
      <c r="BH137" s="248"/>
      <c r="BI137" s="248"/>
      <c r="BJ137" s="248"/>
      <c r="BK137" s="248"/>
      <c r="BL137" s="248"/>
      <c r="BM137" s="248"/>
    </row>
    <row r="138" spans="1:65" s="320" customFormat="1" ht="15.75" customHeight="1" x14ac:dyDescent="0.2">
      <c r="A138" s="261"/>
      <c r="B138" s="262"/>
      <c r="C138" s="280"/>
      <c r="D138" s="263"/>
      <c r="E138" s="263" t="s">
        <v>308</v>
      </c>
      <c r="F138" s="273" t="s">
        <v>20</v>
      </c>
      <c r="G138" s="274">
        <v>5000</v>
      </c>
      <c r="H138" s="248"/>
      <c r="I138" s="248"/>
      <c r="J138" s="248"/>
      <c r="K138" s="248"/>
      <c r="L138" s="248"/>
      <c r="M138" s="248"/>
      <c r="N138" s="248"/>
      <c r="O138" s="248"/>
      <c r="P138" s="248"/>
      <c r="Q138" s="248"/>
      <c r="R138" s="248"/>
      <c r="S138" s="248"/>
      <c r="T138" s="248"/>
      <c r="U138" s="248"/>
      <c r="V138" s="248"/>
      <c r="W138" s="248"/>
      <c r="X138" s="248"/>
      <c r="Y138" s="248"/>
      <c r="Z138" s="248"/>
      <c r="AA138" s="248"/>
      <c r="AB138" s="248"/>
      <c r="AC138" s="248"/>
      <c r="AD138" s="248"/>
      <c r="AE138" s="248"/>
      <c r="AF138" s="248"/>
      <c r="AG138" s="248"/>
      <c r="AH138" s="248"/>
      <c r="AI138" s="248"/>
      <c r="AJ138" s="248"/>
      <c r="AK138" s="248"/>
      <c r="AL138" s="248"/>
      <c r="AM138" s="248"/>
      <c r="AN138" s="248"/>
      <c r="AO138" s="248"/>
      <c r="AP138" s="248"/>
      <c r="AQ138" s="248"/>
      <c r="AR138" s="248"/>
      <c r="AS138" s="248"/>
      <c r="AT138" s="248"/>
      <c r="AU138" s="248"/>
      <c r="AV138" s="248"/>
      <c r="AW138" s="248"/>
      <c r="AX138" s="248"/>
      <c r="AY138" s="248"/>
      <c r="AZ138" s="248"/>
      <c r="BA138" s="248"/>
      <c r="BB138" s="248"/>
      <c r="BC138" s="248"/>
      <c r="BD138" s="248"/>
      <c r="BE138" s="248"/>
      <c r="BF138" s="248"/>
      <c r="BG138" s="248"/>
      <c r="BH138" s="248"/>
      <c r="BI138" s="248"/>
      <c r="BJ138" s="248"/>
      <c r="BK138" s="248"/>
      <c r="BL138" s="248"/>
      <c r="BM138" s="248"/>
    </row>
    <row r="139" spans="1:65" s="320" customFormat="1" ht="7.5" customHeight="1" x14ac:dyDescent="0.2">
      <c r="A139" s="275"/>
      <c r="B139" s="276"/>
      <c r="C139" s="277"/>
      <c r="D139" s="264"/>
      <c r="E139" s="264"/>
      <c r="F139" s="266"/>
      <c r="G139" s="278"/>
      <c r="H139" s="248"/>
      <c r="I139" s="248"/>
      <c r="J139" s="248"/>
      <c r="K139" s="248"/>
      <c r="L139" s="248"/>
      <c r="M139" s="248"/>
      <c r="N139" s="248"/>
      <c r="O139" s="248"/>
      <c r="P139" s="248"/>
      <c r="Q139" s="248"/>
      <c r="R139" s="248"/>
      <c r="S139" s="248"/>
      <c r="T139" s="248"/>
      <c r="U139" s="248"/>
      <c r="V139" s="248"/>
      <c r="W139" s="248"/>
      <c r="X139" s="248"/>
      <c r="Y139" s="248"/>
      <c r="Z139" s="248"/>
      <c r="AA139" s="248"/>
      <c r="AB139" s="248"/>
      <c r="AC139" s="248"/>
      <c r="AD139" s="248"/>
      <c r="AE139" s="248"/>
      <c r="AF139" s="248"/>
      <c r="AG139" s="248"/>
      <c r="AH139" s="248"/>
      <c r="AI139" s="248"/>
      <c r="AJ139" s="248"/>
      <c r="AK139" s="248"/>
      <c r="AL139" s="248"/>
      <c r="AM139" s="248"/>
      <c r="AN139" s="248"/>
      <c r="AO139" s="248"/>
      <c r="AP139" s="248"/>
      <c r="AQ139" s="248"/>
      <c r="AR139" s="248"/>
      <c r="AS139" s="248"/>
      <c r="AT139" s="248"/>
      <c r="AU139" s="248"/>
      <c r="AV139" s="248"/>
      <c r="AW139" s="248"/>
      <c r="AX139" s="248"/>
      <c r="AY139" s="248"/>
      <c r="AZ139" s="248"/>
      <c r="BA139" s="248"/>
      <c r="BB139" s="248"/>
      <c r="BC139" s="248"/>
      <c r="BD139" s="248"/>
      <c r="BE139" s="248"/>
      <c r="BF139" s="248"/>
      <c r="BG139" s="248"/>
      <c r="BH139" s="248"/>
      <c r="BI139" s="248"/>
      <c r="BJ139" s="248"/>
      <c r="BK139" s="248"/>
      <c r="BL139" s="248"/>
      <c r="BM139" s="248"/>
    </row>
    <row r="140" spans="1:65" s="320" customFormat="1" ht="15.75" customHeight="1" x14ac:dyDescent="0.2">
      <c r="A140" s="261"/>
      <c r="B140" s="262"/>
      <c r="C140" s="263"/>
      <c r="D140" s="263"/>
      <c r="E140" s="264" t="s">
        <v>37</v>
      </c>
      <c r="F140" s="265">
        <f>6242.96+5773.4+1431.89+1201.64+991.36+1111.52+78.39+980.67+837.97</f>
        <v>18649.8</v>
      </c>
      <c r="G140" s="266" t="s">
        <v>20</v>
      </c>
      <c r="H140" s="248"/>
      <c r="I140" s="248"/>
      <c r="J140" s="248"/>
      <c r="K140" s="248"/>
      <c r="L140" s="248"/>
      <c r="M140" s="248"/>
      <c r="N140" s="248"/>
      <c r="O140" s="248"/>
      <c r="P140" s="248"/>
      <c r="Q140" s="248"/>
      <c r="R140" s="248"/>
      <c r="S140" s="248"/>
      <c r="T140" s="248"/>
      <c r="U140" s="248"/>
      <c r="V140" s="248"/>
      <c r="W140" s="248"/>
      <c r="X140" s="248"/>
      <c r="Y140" s="248"/>
      <c r="Z140" s="248"/>
      <c r="AA140" s="248"/>
      <c r="AB140" s="248"/>
      <c r="AC140" s="248"/>
      <c r="AD140" s="248"/>
      <c r="AE140" s="248"/>
      <c r="AF140" s="248"/>
      <c r="AG140" s="248"/>
      <c r="AH140" s="248"/>
      <c r="AI140" s="248"/>
      <c r="AJ140" s="248"/>
      <c r="AK140" s="248"/>
      <c r="AL140" s="248"/>
      <c r="AM140" s="248"/>
      <c r="AN140" s="248"/>
      <c r="AO140" s="248"/>
      <c r="AP140" s="248"/>
      <c r="AQ140" s="248"/>
      <c r="AR140" s="248"/>
      <c r="AS140" s="248"/>
      <c r="AT140" s="248"/>
      <c r="AU140" s="248"/>
      <c r="AV140" s="248"/>
      <c r="AW140" s="248"/>
      <c r="AX140" s="248"/>
      <c r="AY140" s="248"/>
      <c r="AZ140" s="248"/>
      <c r="BA140" s="248"/>
      <c r="BB140" s="248"/>
      <c r="BC140" s="248"/>
      <c r="BD140" s="248"/>
      <c r="BE140" s="248"/>
      <c r="BF140" s="248"/>
      <c r="BG140" s="248"/>
      <c r="BH140" s="248"/>
      <c r="BI140" s="248"/>
      <c r="BJ140" s="248"/>
      <c r="BK140" s="248"/>
      <c r="BL140" s="248"/>
      <c r="BM140" s="248"/>
    </row>
    <row r="141" spans="1:65" s="320" customFormat="1" ht="24" customHeight="1" x14ac:dyDescent="0.2">
      <c r="A141" s="267" t="s">
        <v>263</v>
      </c>
      <c r="B141" s="279" t="s">
        <v>320</v>
      </c>
      <c r="C141" s="263" t="s">
        <v>321</v>
      </c>
      <c r="D141" s="263" t="s">
        <v>322</v>
      </c>
      <c r="E141" s="269" t="s">
        <v>20</v>
      </c>
      <c r="F141" s="270" t="s">
        <v>20</v>
      </c>
      <c r="G141" s="271">
        <f>SUM(G143)</f>
        <v>18649.8</v>
      </c>
      <c r="H141" s="248"/>
      <c r="I141" s="248"/>
      <c r="J141" s="248"/>
      <c r="K141" s="248"/>
      <c r="L141" s="248"/>
      <c r="M141" s="248"/>
      <c r="N141" s="248"/>
      <c r="O141" s="248"/>
      <c r="P141" s="248"/>
      <c r="Q141" s="248"/>
      <c r="R141" s="248"/>
      <c r="S141" s="248"/>
      <c r="T141" s="248"/>
      <c r="U141" s="248"/>
      <c r="V141" s="248"/>
      <c r="W141" s="248"/>
      <c r="X141" s="248"/>
      <c r="Y141" s="248"/>
      <c r="Z141" s="248"/>
      <c r="AA141" s="248"/>
      <c r="AB141" s="248"/>
      <c r="AC141" s="248"/>
      <c r="AD141" s="248"/>
      <c r="AE141" s="248"/>
      <c r="AF141" s="248"/>
      <c r="AG141" s="248"/>
      <c r="AH141" s="248"/>
      <c r="AI141" s="248"/>
      <c r="AJ141" s="248"/>
      <c r="AK141" s="248"/>
      <c r="AL141" s="248"/>
      <c r="AM141" s="248"/>
      <c r="AN141" s="248"/>
      <c r="AO141" s="248"/>
      <c r="AP141" s="248"/>
      <c r="AQ141" s="248"/>
      <c r="AR141" s="248"/>
      <c r="AS141" s="248"/>
      <c r="AT141" s="248"/>
      <c r="AU141" s="248"/>
      <c r="AV141" s="248"/>
      <c r="AW141" s="248"/>
      <c r="AX141" s="248"/>
      <c r="AY141" s="248"/>
      <c r="AZ141" s="248"/>
      <c r="BA141" s="248"/>
      <c r="BB141" s="248"/>
      <c r="BC141" s="248"/>
      <c r="BD141" s="248"/>
      <c r="BE141" s="248"/>
      <c r="BF141" s="248"/>
      <c r="BG141" s="248"/>
      <c r="BH141" s="248"/>
      <c r="BI141" s="248"/>
      <c r="BJ141" s="248"/>
      <c r="BK141" s="248"/>
      <c r="BL141" s="248"/>
      <c r="BM141" s="248"/>
    </row>
    <row r="142" spans="1:65" s="320" customFormat="1" ht="6.75" customHeight="1" x14ac:dyDescent="0.2">
      <c r="A142" s="261"/>
      <c r="B142" s="272"/>
      <c r="C142" s="263"/>
      <c r="D142" s="263"/>
      <c r="E142" s="263"/>
      <c r="F142" s="273"/>
      <c r="G142" s="321"/>
      <c r="H142" s="248"/>
      <c r="I142" s="248"/>
      <c r="J142" s="248"/>
      <c r="K142" s="248"/>
      <c r="L142" s="248"/>
      <c r="M142" s="248"/>
      <c r="N142" s="248"/>
      <c r="O142" s="248"/>
      <c r="P142" s="248"/>
      <c r="Q142" s="248"/>
      <c r="R142" s="248"/>
      <c r="S142" s="248"/>
      <c r="T142" s="248"/>
      <c r="U142" s="248"/>
      <c r="V142" s="248"/>
      <c r="W142" s="248"/>
      <c r="X142" s="248"/>
      <c r="Y142" s="248"/>
      <c r="Z142" s="248"/>
      <c r="AA142" s="248"/>
      <c r="AB142" s="248"/>
      <c r="AC142" s="248"/>
      <c r="AD142" s="248"/>
      <c r="AE142" s="248"/>
      <c r="AF142" s="248"/>
      <c r="AG142" s="248"/>
      <c r="AH142" s="248"/>
      <c r="AI142" s="248"/>
      <c r="AJ142" s="248"/>
      <c r="AK142" s="248"/>
      <c r="AL142" s="248"/>
      <c r="AM142" s="248"/>
      <c r="AN142" s="248"/>
      <c r="AO142" s="248"/>
      <c r="AP142" s="248"/>
      <c r="AQ142" s="248"/>
      <c r="AR142" s="248"/>
      <c r="AS142" s="248"/>
      <c r="AT142" s="248"/>
      <c r="AU142" s="248"/>
      <c r="AV142" s="248"/>
      <c r="AW142" s="248"/>
      <c r="AX142" s="248"/>
      <c r="AY142" s="248"/>
      <c r="AZ142" s="248"/>
      <c r="BA142" s="248"/>
      <c r="BB142" s="248"/>
      <c r="BC142" s="248"/>
      <c r="BD142" s="248"/>
      <c r="BE142" s="248"/>
      <c r="BF142" s="248"/>
      <c r="BG142" s="248"/>
      <c r="BH142" s="248"/>
      <c r="BI142" s="248"/>
      <c r="BJ142" s="248"/>
      <c r="BK142" s="248"/>
      <c r="BL142" s="248"/>
      <c r="BM142" s="248"/>
    </row>
    <row r="143" spans="1:65" s="320" customFormat="1" ht="15.75" customHeight="1" x14ac:dyDescent="0.2">
      <c r="A143" s="261"/>
      <c r="B143" s="322" t="s">
        <v>88</v>
      </c>
      <c r="C143" s="263"/>
      <c r="D143" s="263"/>
      <c r="E143" s="263"/>
      <c r="F143" s="273"/>
      <c r="G143" s="321">
        <f>SUM(G144:G145)</f>
        <v>18649.8</v>
      </c>
      <c r="H143" s="248"/>
      <c r="I143" s="248"/>
      <c r="J143" s="248"/>
      <c r="K143" s="248"/>
      <c r="L143" s="248"/>
      <c r="M143" s="248"/>
      <c r="N143" s="248"/>
      <c r="O143" s="248"/>
      <c r="P143" s="248"/>
      <c r="Q143" s="248"/>
      <c r="R143" s="248"/>
      <c r="S143" s="248"/>
      <c r="T143" s="248"/>
      <c r="U143" s="248"/>
      <c r="V143" s="248"/>
      <c r="W143" s="248"/>
      <c r="X143" s="248"/>
      <c r="Y143" s="248"/>
      <c r="Z143" s="248"/>
      <c r="AA143" s="248"/>
      <c r="AB143" s="248"/>
      <c r="AC143" s="248"/>
      <c r="AD143" s="248"/>
      <c r="AE143" s="248"/>
      <c r="AF143" s="248"/>
      <c r="AG143" s="248"/>
      <c r="AH143" s="248"/>
      <c r="AI143" s="248"/>
      <c r="AJ143" s="248"/>
      <c r="AK143" s="248"/>
      <c r="AL143" s="248"/>
      <c r="AM143" s="248"/>
      <c r="AN143" s="248"/>
      <c r="AO143" s="248"/>
      <c r="AP143" s="248"/>
      <c r="AQ143" s="248"/>
      <c r="AR143" s="248"/>
      <c r="AS143" s="248"/>
      <c r="AT143" s="248"/>
      <c r="AU143" s="248"/>
      <c r="AV143" s="248"/>
      <c r="AW143" s="248"/>
      <c r="AX143" s="248"/>
      <c r="AY143" s="248"/>
      <c r="AZ143" s="248"/>
      <c r="BA143" s="248"/>
      <c r="BB143" s="248"/>
      <c r="BC143" s="248"/>
      <c r="BD143" s="248"/>
      <c r="BE143" s="248"/>
      <c r="BF143" s="248"/>
      <c r="BG143" s="248"/>
      <c r="BH143" s="248"/>
      <c r="BI143" s="248"/>
      <c r="BJ143" s="248"/>
      <c r="BK143" s="248"/>
      <c r="BL143" s="248"/>
      <c r="BM143" s="248"/>
    </row>
    <row r="144" spans="1:65" s="320" customFormat="1" ht="15.75" customHeight="1" x14ac:dyDescent="0.2">
      <c r="A144" s="261"/>
      <c r="B144" s="262"/>
      <c r="C144" s="280"/>
      <c r="D144" s="263"/>
      <c r="E144" s="263" t="s">
        <v>295</v>
      </c>
      <c r="F144" s="273" t="s">
        <v>20</v>
      </c>
      <c r="G144" s="274">
        <f>1004.38+11240.6+828.62+994.57+819.68+700.41</f>
        <v>15588.26</v>
      </c>
      <c r="H144" s="248"/>
      <c r="I144" s="248"/>
      <c r="J144" s="248"/>
      <c r="K144" s="248"/>
      <c r="L144" s="248"/>
      <c r="M144" s="248"/>
      <c r="N144" s="248"/>
      <c r="O144" s="248"/>
      <c r="P144" s="248"/>
      <c r="Q144" s="248"/>
      <c r="R144" s="248"/>
      <c r="S144" s="248"/>
      <c r="T144" s="248"/>
      <c r="U144" s="248"/>
      <c r="V144" s="248"/>
      <c r="W144" s="248"/>
      <c r="X144" s="248"/>
      <c r="Y144" s="248"/>
      <c r="Z144" s="248"/>
      <c r="AA144" s="248"/>
      <c r="AB144" s="248"/>
      <c r="AC144" s="248"/>
      <c r="AD144" s="248"/>
      <c r="AE144" s="248"/>
      <c r="AF144" s="248"/>
      <c r="AG144" s="248"/>
      <c r="AH144" s="248"/>
      <c r="AI144" s="248"/>
      <c r="AJ144" s="248"/>
      <c r="AK144" s="248"/>
      <c r="AL144" s="248"/>
      <c r="AM144" s="248"/>
      <c r="AN144" s="248"/>
      <c r="AO144" s="248"/>
      <c r="AP144" s="248"/>
      <c r="AQ144" s="248"/>
      <c r="AR144" s="248"/>
      <c r="AS144" s="248"/>
      <c r="AT144" s="248"/>
      <c r="AU144" s="248"/>
      <c r="AV144" s="248"/>
      <c r="AW144" s="248"/>
      <c r="AX144" s="248"/>
      <c r="AY144" s="248"/>
      <c r="AZ144" s="248"/>
      <c r="BA144" s="248"/>
      <c r="BB144" s="248"/>
      <c r="BC144" s="248"/>
      <c r="BD144" s="248"/>
      <c r="BE144" s="248"/>
      <c r="BF144" s="248"/>
      <c r="BG144" s="248"/>
      <c r="BH144" s="248"/>
      <c r="BI144" s="248"/>
      <c r="BJ144" s="248"/>
      <c r="BK144" s="248"/>
      <c r="BL144" s="248"/>
      <c r="BM144" s="248"/>
    </row>
    <row r="145" spans="1:65" s="320" customFormat="1" ht="15.75" customHeight="1" x14ac:dyDescent="0.2">
      <c r="A145" s="261"/>
      <c r="B145" s="262"/>
      <c r="C145" s="280"/>
      <c r="D145" s="263"/>
      <c r="E145" s="263" t="s">
        <v>296</v>
      </c>
      <c r="F145" s="273" t="s">
        <v>20</v>
      </c>
      <c r="G145" s="274">
        <f>197.26+2207.65+162.74+195.34+160.99+137.56</f>
        <v>3061.5399999999995</v>
      </c>
      <c r="H145" s="248"/>
      <c r="I145" s="248"/>
      <c r="J145" s="248"/>
      <c r="K145" s="248"/>
      <c r="L145" s="248"/>
      <c r="M145" s="248"/>
      <c r="N145" s="248"/>
      <c r="O145" s="248"/>
      <c r="P145" s="248"/>
      <c r="Q145" s="248"/>
      <c r="R145" s="248"/>
      <c r="S145" s="248"/>
      <c r="T145" s="248"/>
      <c r="U145" s="248"/>
      <c r="V145" s="248"/>
      <c r="W145" s="248"/>
      <c r="X145" s="248"/>
      <c r="Y145" s="248"/>
      <c r="Z145" s="248"/>
      <c r="AA145" s="248"/>
      <c r="AB145" s="248"/>
      <c r="AC145" s="248"/>
      <c r="AD145" s="248"/>
      <c r="AE145" s="248"/>
      <c r="AF145" s="248"/>
      <c r="AG145" s="248"/>
      <c r="AH145" s="248"/>
      <c r="AI145" s="248"/>
      <c r="AJ145" s="248"/>
      <c r="AK145" s="248"/>
      <c r="AL145" s="248"/>
      <c r="AM145" s="248"/>
      <c r="AN145" s="248"/>
      <c r="AO145" s="248"/>
      <c r="AP145" s="248"/>
      <c r="AQ145" s="248"/>
      <c r="AR145" s="248"/>
      <c r="AS145" s="248"/>
      <c r="AT145" s="248"/>
      <c r="AU145" s="248"/>
      <c r="AV145" s="248"/>
      <c r="AW145" s="248"/>
      <c r="AX145" s="248"/>
      <c r="AY145" s="248"/>
      <c r="AZ145" s="248"/>
      <c r="BA145" s="248"/>
      <c r="BB145" s="248"/>
      <c r="BC145" s="248"/>
      <c r="BD145" s="248"/>
      <c r="BE145" s="248"/>
      <c r="BF145" s="248"/>
      <c r="BG145" s="248"/>
      <c r="BH145" s="248"/>
      <c r="BI145" s="248"/>
      <c r="BJ145" s="248"/>
      <c r="BK145" s="248"/>
      <c r="BL145" s="248"/>
      <c r="BM145" s="248"/>
    </row>
    <row r="146" spans="1:65" s="320" customFormat="1" ht="6.75" customHeight="1" x14ac:dyDescent="0.2">
      <c r="A146" s="275"/>
      <c r="B146" s="276"/>
      <c r="C146" s="277"/>
      <c r="D146" s="264"/>
      <c r="E146" s="264"/>
      <c r="F146" s="266"/>
      <c r="G146" s="278"/>
      <c r="H146" s="248"/>
      <c r="I146" s="248"/>
      <c r="J146" s="248"/>
      <c r="K146" s="248"/>
      <c r="L146" s="248"/>
      <c r="M146" s="248"/>
      <c r="N146" s="248"/>
      <c r="O146" s="248"/>
      <c r="P146" s="248"/>
      <c r="Q146" s="248"/>
      <c r="R146" s="248"/>
      <c r="S146" s="248"/>
      <c r="T146" s="248"/>
      <c r="U146" s="248"/>
      <c r="V146" s="248"/>
      <c r="W146" s="248"/>
      <c r="X146" s="248"/>
      <c r="Y146" s="248"/>
      <c r="Z146" s="248"/>
      <c r="AA146" s="248"/>
      <c r="AB146" s="248"/>
      <c r="AC146" s="248"/>
      <c r="AD146" s="248"/>
      <c r="AE146" s="248"/>
      <c r="AF146" s="248"/>
      <c r="AG146" s="248"/>
      <c r="AH146" s="248"/>
      <c r="AI146" s="248"/>
      <c r="AJ146" s="248"/>
      <c r="AK146" s="248"/>
      <c r="AL146" s="248"/>
      <c r="AM146" s="248"/>
      <c r="AN146" s="248"/>
      <c r="AO146" s="248"/>
      <c r="AP146" s="248"/>
      <c r="AQ146" s="248"/>
      <c r="AR146" s="248"/>
      <c r="AS146" s="248"/>
      <c r="AT146" s="248"/>
      <c r="AU146" s="248"/>
      <c r="AV146" s="248"/>
      <c r="AW146" s="248"/>
      <c r="AX146" s="248"/>
      <c r="AY146" s="248"/>
      <c r="AZ146" s="248"/>
      <c r="BA146" s="248"/>
      <c r="BB146" s="248"/>
      <c r="BC146" s="248"/>
      <c r="BD146" s="248"/>
      <c r="BE146" s="248"/>
      <c r="BF146" s="248"/>
      <c r="BG146" s="248"/>
      <c r="BH146" s="248"/>
      <c r="BI146" s="248"/>
      <c r="BJ146" s="248"/>
      <c r="BK146" s="248"/>
      <c r="BL146" s="248"/>
      <c r="BM146" s="248"/>
    </row>
    <row r="147" spans="1:65" s="320" customFormat="1" ht="15.75" customHeight="1" x14ac:dyDescent="0.2">
      <c r="A147" s="261"/>
      <c r="B147" s="262"/>
      <c r="C147" s="263"/>
      <c r="D147" s="263"/>
      <c r="E147" s="264" t="s">
        <v>37</v>
      </c>
      <c r="F147" s="265">
        <f>193360+150000+300000+1504+122160+1824+289960+50000+4384+2816+100000+171240+484680+100000+26320+704+183000+30000+752+656</f>
        <v>2213360</v>
      </c>
      <c r="G147" s="266" t="s">
        <v>20</v>
      </c>
      <c r="H147" s="248"/>
      <c r="I147" s="248"/>
      <c r="J147" s="248"/>
      <c r="K147" s="248"/>
      <c r="L147" s="248"/>
      <c r="M147" s="248"/>
      <c r="N147" s="248"/>
      <c r="O147" s="248"/>
      <c r="P147" s="248"/>
      <c r="Q147" s="248"/>
      <c r="R147" s="248"/>
      <c r="S147" s="248"/>
      <c r="T147" s="248"/>
      <c r="U147" s="248"/>
      <c r="V147" s="248"/>
      <c r="W147" s="248"/>
      <c r="X147" s="248"/>
      <c r="Y147" s="248"/>
      <c r="Z147" s="248"/>
      <c r="AA147" s="248"/>
      <c r="AB147" s="248"/>
      <c r="AC147" s="248"/>
      <c r="AD147" s="248"/>
      <c r="AE147" s="248"/>
      <c r="AF147" s="248"/>
      <c r="AG147" s="248"/>
      <c r="AH147" s="248"/>
      <c r="AI147" s="248"/>
      <c r="AJ147" s="248"/>
      <c r="AK147" s="248"/>
      <c r="AL147" s="248"/>
      <c r="AM147" s="248"/>
      <c r="AN147" s="248"/>
      <c r="AO147" s="248"/>
      <c r="AP147" s="248"/>
      <c r="AQ147" s="248"/>
      <c r="AR147" s="248"/>
      <c r="AS147" s="248"/>
      <c r="AT147" s="248"/>
      <c r="AU147" s="248"/>
      <c r="AV147" s="248"/>
      <c r="AW147" s="248"/>
      <c r="AX147" s="248"/>
      <c r="AY147" s="248"/>
      <c r="AZ147" s="248"/>
      <c r="BA147" s="248"/>
      <c r="BB147" s="248"/>
      <c r="BC147" s="248"/>
      <c r="BD147" s="248"/>
      <c r="BE147" s="248"/>
      <c r="BF147" s="248"/>
      <c r="BG147" s="248"/>
      <c r="BH147" s="248"/>
      <c r="BI147" s="248"/>
      <c r="BJ147" s="248"/>
      <c r="BK147" s="248"/>
      <c r="BL147" s="248"/>
      <c r="BM147" s="248"/>
    </row>
    <row r="148" spans="1:65" s="320" customFormat="1" ht="25.5" customHeight="1" x14ac:dyDescent="0.2">
      <c r="A148" s="267" t="s">
        <v>264</v>
      </c>
      <c r="B148" s="268" t="s">
        <v>323</v>
      </c>
      <c r="C148" s="263" t="s">
        <v>324</v>
      </c>
      <c r="D148" s="263" t="s">
        <v>325</v>
      </c>
      <c r="E148" s="269" t="s">
        <v>20</v>
      </c>
      <c r="F148" s="270" t="s">
        <v>20</v>
      </c>
      <c r="G148" s="271">
        <f>SUM(G150)</f>
        <v>2213360</v>
      </c>
      <c r="H148" s="248"/>
      <c r="I148" s="248"/>
      <c r="J148" s="248"/>
      <c r="K148" s="248"/>
      <c r="L148" s="248"/>
      <c r="M148" s="248"/>
      <c r="N148" s="248"/>
      <c r="O148" s="248"/>
      <c r="P148" s="248"/>
      <c r="Q148" s="248"/>
      <c r="R148" s="248"/>
      <c r="S148" s="248"/>
      <c r="T148" s="248"/>
      <c r="U148" s="248"/>
      <c r="V148" s="248"/>
      <c r="W148" s="248"/>
      <c r="X148" s="248"/>
      <c r="Y148" s="248"/>
      <c r="Z148" s="248"/>
      <c r="AA148" s="248"/>
      <c r="AB148" s="248"/>
      <c r="AC148" s="248"/>
      <c r="AD148" s="248"/>
      <c r="AE148" s="248"/>
      <c r="AF148" s="248"/>
      <c r="AG148" s="248"/>
      <c r="AH148" s="248"/>
      <c r="AI148" s="248"/>
      <c r="AJ148" s="248"/>
      <c r="AK148" s="248"/>
      <c r="AL148" s="248"/>
      <c r="AM148" s="248"/>
      <c r="AN148" s="248"/>
      <c r="AO148" s="248"/>
      <c r="AP148" s="248"/>
      <c r="AQ148" s="248"/>
      <c r="AR148" s="248"/>
      <c r="AS148" s="248"/>
      <c r="AT148" s="248"/>
      <c r="AU148" s="248"/>
      <c r="AV148" s="248"/>
      <c r="AW148" s="248"/>
      <c r="AX148" s="248"/>
      <c r="AY148" s="248"/>
      <c r="AZ148" s="248"/>
      <c r="BA148" s="248"/>
      <c r="BB148" s="248"/>
      <c r="BC148" s="248"/>
      <c r="BD148" s="248"/>
      <c r="BE148" s="248"/>
      <c r="BF148" s="248"/>
      <c r="BG148" s="248"/>
      <c r="BH148" s="248"/>
      <c r="BI148" s="248"/>
      <c r="BJ148" s="248"/>
      <c r="BK148" s="248"/>
      <c r="BL148" s="248"/>
      <c r="BM148" s="248"/>
    </row>
    <row r="149" spans="1:65" s="320" customFormat="1" ht="10.5" customHeight="1" x14ac:dyDescent="0.2">
      <c r="A149" s="261"/>
      <c r="B149" s="272"/>
      <c r="C149" s="263"/>
      <c r="D149" s="263"/>
      <c r="E149" s="263"/>
      <c r="F149" s="273"/>
      <c r="G149" s="321"/>
      <c r="H149" s="248"/>
      <c r="I149" s="248"/>
      <c r="J149" s="248"/>
      <c r="K149" s="248"/>
      <c r="L149" s="248"/>
      <c r="M149" s="248"/>
      <c r="N149" s="248"/>
      <c r="O149" s="248"/>
      <c r="P149" s="248"/>
      <c r="Q149" s="248"/>
      <c r="R149" s="248"/>
      <c r="S149" s="248"/>
      <c r="T149" s="248"/>
      <c r="U149" s="248"/>
      <c r="V149" s="248"/>
      <c r="W149" s="248"/>
      <c r="X149" s="248"/>
      <c r="Y149" s="248"/>
      <c r="Z149" s="248"/>
      <c r="AA149" s="248"/>
      <c r="AB149" s="248"/>
      <c r="AC149" s="248"/>
      <c r="AD149" s="248"/>
      <c r="AE149" s="248"/>
      <c r="AF149" s="248"/>
      <c r="AG149" s="248"/>
      <c r="AH149" s="248"/>
      <c r="AI149" s="248"/>
      <c r="AJ149" s="248"/>
      <c r="AK149" s="248"/>
      <c r="AL149" s="248"/>
      <c r="AM149" s="248"/>
      <c r="AN149" s="248"/>
      <c r="AO149" s="248"/>
      <c r="AP149" s="248"/>
      <c r="AQ149" s="248"/>
      <c r="AR149" s="248"/>
      <c r="AS149" s="248"/>
      <c r="AT149" s="248"/>
      <c r="AU149" s="248"/>
      <c r="AV149" s="248"/>
      <c r="AW149" s="248"/>
      <c r="AX149" s="248"/>
      <c r="AY149" s="248"/>
      <c r="AZ149" s="248"/>
      <c r="BA149" s="248"/>
      <c r="BB149" s="248"/>
      <c r="BC149" s="248"/>
      <c r="BD149" s="248"/>
      <c r="BE149" s="248"/>
      <c r="BF149" s="248"/>
      <c r="BG149" s="248"/>
      <c r="BH149" s="248"/>
      <c r="BI149" s="248"/>
      <c r="BJ149" s="248"/>
      <c r="BK149" s="248"/>
      <c r="BL149" s="248"/>
      <c r="BM149" s="248"/>
    </row>
    <row r="150" spans="1:65" s="320" customFormat="1" ht="15.75" customHeight="1" x14ac:dyDescent="0.2">
      <c r="A150" s="261"/>
      <c r="B150" s="322" t="s">
        <v>80</v>
      </c>
      <c r="C150" s="263"/>
      <c r="D150" s="263"/>
      <c r="E150" s="263"/>
      <c r="F150" s="273"/>
      <c r="G150" s="321">
        <f>SUM(G151:G153)</f>
        <v>2213360</v>
      </c>
      <c r="H150" s="248"/>
      <c r="I150" s="248"/>
      <c r="J150" s="248"/>
      <c r="K150" s="248"/>
      <c r="L150" s="248"/>
      <c r="M150" s="248"/>
      <c r="N150" s="248"/>
      <c r="O150" s="248"/>
      <c r="P150" s="248"/>
      <c r="Q150" s="248"/>
      <c r="R150" s="248"/>
      <c r="S150" s="248"/>
      <c r="T150" s="248"/>
      <c r="U150" s="248"/>
      <c r="V150" s="248"/>
      <c r="W150" s="248"/>
      <c r="X150" s="248"/>
      <c r="Y150" s="248"/>
      <c r="Z150" s="248"/>
      <c r="AA150" s="248"/>
      <c r="AB150" s="248"/>
      <c r="AC150" s="248"/>
      <c r="AD150" s="248"/>
      <c r="AE150" s="248"/>
      <c r="AF150" s="248"/>
      <c r="AG150" s="248"/>
      <c r="AH150" s="248"/>
      <c r="AI150" s="248"/>
      <c r="AJ150" s="248"/>
      <c r="AK150" s="248"/>
      <c r="AL150" s="248"/>
      <c r="AM150" s="248"/>
      <c r="AN150" s="248"/>
      <c r="AO150" s="248"/>
      <c r="AP150" s="248"/>
      <c r="AQ150" s="248"/>
      <c r="AR150" s="248"/>
      <c r="AS150" s="248"/>
      <c r="AT150" s="248"/>
      <c r="AU150" s="248"/>
      <c r="AV150" s="248"/>
      <c r="AW150" s="248"/>
      <c r="AX150" s="248"/>
      <c r="AY150" s="248"/>
      <c r="AZ150" s="248"/>
      <c r="BA150" s="248"/>
      <c r="BB150" s="248"/>
      <c r="BC150" s="248"/>
      <c r="BD150" s="248"/>
      <c r="BE150" s="248"/>
      <c r="BF150" s="248"/>
      <c r="BG150" s="248"/>
      <c r="BH150" s="248"/>
      <c r="BI150" s="248"/>
      <c r="BJ150" s="248"/>
      <c r="BK150" s="248"/>
      <c r="BL150" s="248"/>
      <c r="BM150" s="248"/>
    </row>
    <row r="151" spans="1:65" s="320" customFormat="1" ht="15.75" customHeight="1" x14ac:dyDescent="0.2">
      <c r="A151" s="261"/>
      <c r="B151" s="262"/>
      <c r="C151" s="280"/>
      <c r="D151" s="263"/>
      <c r="E151" s="263" t="s">
        <v>326</v>
      </c>
      <c r="F151" s="273" t="s">
        <v>20</v>
      </c>
      <c r="G151" s="274">
        <f>1055480+50000+100000+655920+126320+30000+183000</f>
        <v>2200720</v>
      </c>
      <c r="H151" s="248"/>
      <c r="I151" s="248"/>
      <c r="J151" s="248"/>
      <c r="K151" s="248"/>
      <c r="L151" s="248"/>
      <c r="M151" s="248"/>
      <c r="N151" s="248"/>
      <c r="O151" s="248"/>
      <c r="P151" s="248"/>
      <c r="Q151" s="248"/>
      <c r="R151" s="248"/>
      <c r="S151" s="248"/>
      <c r="T151" s="248"/>
      <c r="U151" s="248"/>
      <c r="V151" s="248"/>
      <c r="W151" s="248"/>
      <c r="X151" s="248"/>
      <c r="Y151" s="248"/>
      <c r="Z151" s="248"/>
      <c r="AA151" s="248"/>
      <c r="AB151" s="248"/>
      <c r="AC151" s="248"/>
      <c r="AD151" s="248"/>
      <c r="AE151" s="248"/>
      <c r="AF151" s="248"/>
      <c r="AG151" s="248"/>
      <c r="AH151" s="248"/>
      <c r="AI151" s="248"/>
      <c r="AJ151" s="248"/>
      <c r="AK151" s="248"/>
      <c r="AL151" s="248"/>
      <c r="AM151" s="248"/>
      <c r="AN151" s="248"/>
      <c r="AO151" s="248"/>
      <c r="AP151" s="248"/>
      <c r="AQ151" s="248"/>
      <c r="AR151" s="248"/>
      <c r="AS151" s="248"/>
      <c r="AT151" s="248"/>
      <c r="AU151" s="248"/>
      <c r="AV151" s="248"/>
      <c r="AW151" s="248"/>
      <c r="AX151" s="248"/>
      <c r="AY151" s="248"/>
      <c r="AZ151" s="248"/>
      <c r="BA151" s="248"/>
      <c r="BB151" s="248"/>
      <c r="BC151" s="248"/>
      <c r="BD151" s="248"/>
      <c r="BE151" s="248"/>
      <c r="BF151" s="248"/>
      <c r="BG151" s="248"/>
      <c r="BH151" s="248"/>
      <c r="BI151" s="248"/>
      <c r="BJ151" s="248"/>
      <c r="BK151" s="248"/>
      <c r="BL151" s="248"/>
      <c r="BM151" s="248"/>
    </row>
    <row r="152" spans="1:65" s="320" customFormat="1" ht="15.75" customHeight="1" x14ac:dyDescent="0.2">
      <c r="A152" s="261"/>
      <c r="B152" s="262"/>
      <c r="C152" s="280"/>
      <c r="D152" s="263"/>
      <c r="E152" s="263" t="s">
        <v>295</v>
      </c>
      <c r="F152" s="273" t="s">
        <v>20</v>
      </c>
      <c r="G152" s="281">
        <f>2774+3656+2348+587+628+547</f>
        <v>10540</v>
      </c>
      <c r="H152" s="248"/>
      <c r="I152" s="248"/>
      <c r="J152" s="248"/>
      <c r="K152" s="248"/>
      <c r="L152" s="248"/>
      <c r="M152" s="248"/>
      <c r="N152" s="248"/>
      <c r="O152" s="248"/>
      <c r="P152" s="248"/>
      <c r="Q152" s="248"/>
      <c r="R152" s="248"/>
      <c r="S152" s="248"/>
      <c r="T152" s="248"/>
      <c r="U152" s="248"/>
      <c r="V152" s="248"/>
      <c r="W152" s="248"/>
      <c r="X152" s="248"/>
      <c r="Y152" s="248"/>
      <c r="Z152" s="248"/>
      <c r="AA152" s="248"/>
      <c r="AB152" s="248"/>
      <c r="AC152" s="248"/>
      <c r="AD152" s="248"/>
      <c r="AE152" s="248"/>
      <c r="AF152" s="248"/>
      <c r="AG152" s="248"/>
      <c r="AH152" s="248"/>
      <c r="AI152" s="248"/>
      <c r="AJ152" s="248"/>
      <c r="AK152" s="248"/>
      <c r="AL152" s="248"/>
      <c r="AM152" s="248"/>
      <c r="AN152" s="248"/>
      <c r="AO152" s="248"/>
      <c r="AP152" s="248"/>
      <c r="AQ152" s="248"/>
      <c r="AR152" s="248"/>
      <c r="AS152" s="248"/>
      <c r="AT152" s="248"/>
      <c r="AU152" s="248"/>
      <c r="AV152" s="248"/>
      <c r="AW152" s="248"/>
      <c r="AX152" s="248"/>
      <c r="AY152" s="248"/>
      <c r="AZ152" s="248"/>
      <c r="BA152" s="248"/>
      <c r="BB152" s="248"/>
      <c r="BC152" s="248"/>
      <c r="BD152" s="248"/>
      <c r="BE152" s="248"/>
      <c r="BF152" s="248"/>
      <c r="BG152" s="248"/>
      <c r="BH152" s="248"/>
      <c r="BI152" s="248"/>
      <c r="BJ152" s="248"/>
      <c r="BK152" s="248"/>
      <c r="BL152" s="248"/>
      <c r="BM152" s="248"/>
    </row>
    <row r="153" spans="1:65" s="320" customFormat="1" ht="15.75" customHeight="1" x14ac:dyDescent="0.2">
      <c r="A153" s="261"/>
      <c r="B153" s="262"/>
      <c r="C153" s="280"/>
      <c r="D153" s="263"/>
      <c r="E153" s="263" t="s">
        <v>296</v>
      </c>
      <c r="F153" s="273" t="s">
        <v>20</v>
      </c>
      <c r="G153" s="274">
        <f>485+69+728+468+117+124+109</f>
        <v>2100</v>
      </c>
      <c r="H153" s="248"/>
      <c r="I153" s="248"/>
      <c r="J153" s="248"/>
      <c r="K153" s="248"/>
      <c r="L153" s="248"/>
      <c r="M153" s="248"/>
      <c r="N153" s="248"/>
      <c r="O153" s="248"/>
      <c r="P153" s="248"/>
      <c r="Q153" s="248"/>
      <c r="R153" s="248"/>
      <c r="S153" s="248"/>
      <c r="T153" s="248"/>
      <c r="U153" s="248"/>
      <c r="V153" s="248"/>
      <c r="W153" s="248"/>
      <c r="X153" s="248"/>
      <c r="Y153" s="248"/>
      <c r="Z153" s="248"/>
      <c r="AA153" s="248"/>
      <c r="AB153" s="248"/>
      <c r="AC153" s="248"/>
      <c r="AD153" s="248"/>
      <c r="AE153" s="248"/>
      <c r="AF153" s="248"/>
      <c r="AG153" s="248"/>
      <c r="AH153" s="248"/>
      <c r="AI153" s="248"/>
      <c r="AJ153" s="248"/>
      <c r="AK153" s="248"/>
      <c r="AL153" s="248"/>
      <c r="AM153" s="248"/>
      <c r="AN153" s="248"/>
      <c r="AO153" s="248"/>
      <c r="AP153" s="248"/>
      <c r="AQ153" s="248"/>
      <c r="AR153" s="248"/>
      <c r="AS153" s="248"/>
      <c r="AT153" s="248"/>
      <c r="AU153" s="248"/>
      <c r="AV153" s="248"/>
      <c r="AW153" s="248"/>
      <c r="AX153" s="248"/>
      <c r="AY153" s="248"/>
      <c r="AZ153" s="248"/>
      <c r="BA153" s="248"/>
      <c r="BB153" s="248"/>
      <c r="BC153" s="248"/>
      <c r="BD153" s="248"/>
      <c r="BE153" s="248"/>
      <c r="BF153" s="248"/>
      <c r="BG153" s="248"/>
      <c r="BH153" s="248"/>
      <c r="BI153" s="248"/>
      <c r="BJ153" s="248"/>
      <c r="BK153" s="248"/>
      <c r="BL153" s="248"/>
      <c r="BM153" s="248"/>
    </row>
    <row r="154" spans="1:65" s="320" customFormat="1" ht="11.25" customHeight="1" x14ac:dyDescent="0.2">
      <c r="A154" s="275"/>
      <c r="B154" s="276"/>
      <c r="C154" s="277"/>
      <c r="D154" s="264"/>
      <c r="E154" s="264"/>
      <c r="F154" s="266"/>
      <c r="G154" s="278"/>
      <c r="H154" s="248"/>
      <c r="I154" s="248"/>
      <c r="J154" s="248"/>
      <c r="K154" s="248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48"/>
      <c r="W154" s="248"/>
      <c r="X154" s="248"/>
      <c r="Y154" s="248"/>
      <c r="Z154" s="248"/>
      <c r="AA154" s="248"/>
      <c r="AB154" s="248"/>
      <c r="AC154" s="248"/>
      <c r="AD154" s="248"/>
      <c r="AE154" s="248"/>
      <c r="AF154" s="248"/>
      <c r="AG154" s="248"/>
      <c r="AH154" s="248"/>
      <c r="AI154" s="248"/>
      <c r="AJ154" s="248"/>
      <c r="AK154" s="248"/>
      <c r="AL154" s="248"/>
      <c r="AM154" s="248"/>
      <c r="AN154" s="248"/>
      <c r="AO154" s="248"/>
      <c r="AP154" s="248"/>
      <c r="AQ154" s="248"/>
      <c r="AR154" s="248"/>
      <c r="AS154" s="248"/>
      <c r="AT154" s="248"/>
      <c r="AU154" s="248"/>
      <c r="AV154" s="248"/>
      <c r="AW154" s="248"/>
      <c r="AX154" s="248"/>
      <c r="AY154" s="248"/>
      <c r="AZ154" s="248"/>
      <c r="BA154" s="248"/>
      <c r="BB154" s="248"/>
      <c r="BC154" s="248"/>
      <c r="BD154" s="248"/>
      <c r="BE154" s="248"/>
      <c r="BF154" s="248"/>
      <c r="BG154" s="248"/>
      <c r="BH154" s="248"/>
      <c r="BI154" s="248"/>
      <c r="BJ154" s="248"/>
      <c r="BK154" s="248"/>
      <c r="BL154" s="248"/>
      <c r="BM154" s="248"/>
    </row>
    <row r="155" spans="1:65" s="320" customFormat="1" ht="15.75" customHeight="1" x14ac:dyDescent="0.2">
      <c r="A155" s="261"/>
      <c r="B155" s="262"/>
      <c r="C155" s="263"/>
      <c r="D155" s="263"/>
      <c r="E155" s="264" t="s">
        <v>37</v>
      </c>
      <c r="F155" s="265">
        <f>195780+264660+288000+244500+215100+228420+243810+234330</f>
        <v>1914600</v>
      </c>
      <c r="G155" s="266" t="s">
        <v>20</v>
      </c>
      <c r="H155" s="248"/>
      <c r="I155" s="248"/>
      <c r="J155" s="248"/>
      <c r="K155" s="248"/>
      <c r="L155" s="248"/>
      <c r="M155" s="248"/>
      <c r="N155" s="248"/>
      <c r="O155" s="248"/>
      <c r="P155" s="248"/>
      <c r="Q155" s="248"/>
      <c r="R155" s="248"/>
      <c r="S155" s="248"/>
      <c r="T155" s="248"/>
      <c r="U155" s="248"/>
      <c r="V155" s="248"/>
      <c r="W155" s="248"/>
      <c r="X155" s="248"/>
      <c r="Y155" s="248"/>
      <c r="Z155" s="248"/>
      <c r="AA155" s="248"/>
      <c r="AB155" s="248"/>
      <c r="AC155" s="248"/>
      <c r="AD155" s="248"/>
      <c r="AE155" s="248"/>
      <c r="AF155" s="248"/>
      <c r="AG155" s="248"/>
      <c r="AH155" s="248"/>
      <c r="AI155" s="248"/>
      <c r="AJ155" s="248"/>
      <c r="AK155" s="248"/>
      <c r="AL155" s="248"/>
      <c r="AM155" s="248"/>
      <c r="AN155" s="248"/>
      <c r="AO155" s="248"/>
      <c r="AP155" s="248"/>
      <c r="AQ155" s="248"/>
      <c r="AR155" s="248"/>
      <c r="AS155" s="248"/>
      <c r="AT155" s="248"/>
      <c r="AU155" s="248"/>
      <c r="AV155" s="248"/>
      <c r="AW155" s="248"/>
      <c r="AX155" s="248"/>
      <c r="AY155" s="248"/>
      <c r="AZ155" s="248"/>
      <c r="BA155" s="248"/>
      <c r="BB155" s="248"/>
      <c r="BC155" s="248"/>
      <c r="BD155" s="248"/>
      <c r="BE155" s="248"/>
      <c r="BF155" s="248"/>
      <c r="BG155" s="248"/>
      <c r="BH155" s="248"/>
      <c r="BI155" s="248"/>
      <c r="BJ155" s="248"/>
      <c r="BK155" s="248"/>
      <c r="BL155" s="248"/>
      <c r="BM155" s="248"/>
    </row>
    <row r="156" spans="1:65" s="320" customFormat="1" ht="23.25" customHeight="1" x14ac:dyDescent="0.2">
      <c r="A156" s="267" t="s">
        <v>266</v>
      </c>
      <c r="B156" s="268" t="s">
        <v>327</v>
      </c>
      <c r="C156" s="263" t="s">
        <v>324</v>
      </c>
      <c r="D156" s="263" t="s">
        <v>325</v>
      </c>
      <c r="E156" s="269" t="s">
        <v>20</v>
      </c>
      <c r="F156" s="270" t="s">
        <v>20</v>
      </c>
      <c r="G156" s="271">
        <f>SUM(G158,G161,G166)</f>
        <v>1914599.9999999995</v>
      </c>
      <c r="H156" s="248"/>
      <c r="I156" s="248"/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48"/>
      <c r="Y156" s="248"/>
      <c r="Z156" s="248"/>
      <c r="AA156" s="248"/>
      <c r="AB156" s="248"/>
      <c r="AC156" s="248"/>
      <c r="AD156" s="248"/>
      <c r="AE156" s="248"/>
      <c r="AF156" s="248"/>
      <c r="AG156" s="248"/>
      <c r="AH156" s="248"/>
      <c r="AI156" s="248"/>
      <c r="AJ156" s="248"/>
      <c r="AK156" s="248"/>
      <c r="AL156" s="248"/>
      <c r="AM156" s="248"/>
      <c r="AN156" s="248"/>
      <c r="AO156" s="248"/>
      <c r="AP156" s="248"/>
      <c r="AQ156" s="248"/>
      <c r="AR156" s="248"/>
      <c r="AS156" s="248"/>
      <c r="AT156" s="248"/>
      <c r="AU156" s="248"/>
      <c r="AV156" s="248"/>
      <c r="AW156" s="248"/>
      <c r="AX156" s="248"/>
      <c r="AY156" s="248"/>
      <c r="AZ156" s="248"/>
      <c r="BA156" s="248"/>
      <c r="BB156" s="248"/>
      <c r="BC156" s="248"/>
      <c r="BD156" s="248"/>
      <c r="BE156" s="248"/>
      <c r="BF156" s="248"/>
      <c r="BG156" s="248"/>
      <c r="BH156" s="248"/>
      <c r="BI156" s="248"/>
      <c r="BJ156" s="248"/>
      <c r="BK156" s="248"/>
      <c r="BL156" s="248"/>
      <c r="BM156" s="248"/>
    </row>
    <row r="157" spans="1:65" s="320" customFormat="1" ht="9.75" customHeight="1" x14ac:dyDescent="0.2">
      <c r="A157" s="261"/>
      <c r="B157" s="272"/>
      <c r="C157" s="263"/>
      <c r="D157" s="263"/>
      <c r="E157" s="263"/>
      <c r="F157" s="273"/>
      <c r="G157" s="321"/>
      <c r="H157" s="248"/>
      <c r="I157" s="248"/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48"/>
      <c r="Y157" s="248"/>
      <c r="Z157" s="248"/>
      <c r="AA157" s="248"/>
      <c r="AB157" s="248"/>
      <c r="AC157" s="248"/>
      <c r="AD157" s="248"/>
      <c r="AE157" s="248"/>
      <c r="AF157" s="248"/>
      <c r="AG157" s="248"/>
      <c r="AH157" s="248"/>
      <c r="AI157" s="248"/>
      <c r="AJ157" s="248"/>
      <c r="AK157" s="248"/>
      <c r="AL157" s="248"/>
      <c r="AM157" s="248"/>
      <c r="AN157" s="248"/>
      <c r="AO157" s="248"/>
      <c r="AP157" s="248"/>
      <c r="AQ157" s="248"/>
      <c r="AR157" s="248"/>
      <c r="AS157" s="248"/>
      <c r="AT157" s="248"/>
      <c r="AU157" s="248"/>
      <c r="AV157" s="248"/>
      <c r="AW157" s="248"/>
      <c r="AX157" s="248"/>
      <c r="AY157" s="248"/>
      <c r="AZ157" s="248"/>
      <c r="BA157" s="248"/>
      <c r="BB157" s="248"/>
      <c r="BC157" s="248"/>
      <c r="BD157" s="248"/>
      <c r="BE157" s="248"/>
      <c r="BF157" s="248"/>
      <c r="BG157" s="248"/>
      <c r="BH157" s="248"/>
      <c r="BI157" s="248"/>
      <c r="BJ157" s="248"/>
      <c r="BK157" s="248"/>
      <c r="BL157" s="248"/>
      <c r="BM157" s="248"/>
    </row>
    <row r="158" spans="1:65" s="320" customFormat="1" ht="25.5" customHeight="1" x14ac:dyDescent="0.2">
      <c r="A158" s="261"/>
      <c r="B158" s="323" t="s">
        <v>328</v>
      </c>
      <c r="C158" s="263"/>
      <c r="D158" s="263"/>
      <c r="E158" s="263"/>
      <c r="F158" s="273"/>
      <c r="G158" s="321">
        <f>SUM(G159:G159)</f>
        <v>1698363.9199999997</v>
      </c>
      <c r="H158" s="248"/>
      <c r="I158" s="248"/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8"/>
      <c r="U158" s="248"/>
      <c r="V158" s="248"/>
      <c r="W158" s="248"/>
      <c r="X158" s="248"/>
      <c r="Y158" s="248"/>
      <c r="Z158" s="248"/>
      <c r="AA158" s="248"/>
      <c r="AB158" s="248"/>
      <c r="AC158" s="248"/>
      <c r="AD158" s="248"/>
      <c r="AE158" s="248"/>
      <c r="AF158" s="248"/>
      <c r="AG158" s="248"/>
      <c r="AH158" s="248"/>
      <c r="AI158" s="248"/>
      <c r="AJ158" s="248"/>
      <c r="AK158" s="248"/>
      <c r="AL158" s="248"/>
      <c r="AM158" s="248"/>
      <c r="AN158" s="248"/>
      <c r="AO158" s="248"/>
      <c r="AP158" s="248"/>
      <c r="AQ158" s="248"/>
      <c r="AR158" s="248"/>
      <c r="AS158" s="248"/>
      <c r="AT158" s="248"/>
      <c r="AU158" s="248"/>
      <c r="AV158" s="248"/>
      <c r="AW158" s="248"/>
      <c r="AX158" s="248"/>
      <c r="AY158" s="248"/>
      <c r="AZ158" s="248"/>
      <c r="BA158" s="248"/>
      <c r="BB158" s="248"/>
      <c r="BC158" s="248"/>
      <c r="BD158" s="248"/>
      <c r="BE158" s="248"/>
      <c r="BF158" s="248"/>
      <c r="BG158" s="248"/>
      <c r="BH158" s="248"/>
      <c r="BI158" s="248"/>
      <c r="BJ158" s="248"/>
      <c r="BK158" s="248"/>
      <c r="BL158" s="248"/>
      <c r="BM158" s="248"/>
    </row>
    <row r="159" spans="1:65" s="320" customFormat="1" ht="15.75" customHeight="1" x14ac:dyDescent="0.2">
      <c r="A159" s="261"/>
      <c r="B159" s="262"/>
      <c r="C159" s="280"/>
      <c r="D159" s="263"/>
      <c r="E159" s="263" t="s">
        <v>291</v>
      </c>
      <c r="F159" s="273" t="s">
        <v>20</v>
      </c>
      <c r="G159" s="274">
        <f>288000+431742.16-40114.41+244500-23763.41-31053.45-20867.56-30006.56+443520+243810-41732.85+234330</f>
        <v>1698363.9199999997</v>
      </c>
      <c r="H159" s="248"/>
      <c r="I159" s="248"/>
      <c r="J159" s="248"/>
      <c r="K159" s="248"/>
      <c r="L159" s="248"/>
      <c r="M159" s="248"/>
      <c r="N159" s="248"/>
      <c r="O159" s="248"/>
      <c r="P159" s="248"/>
      <c r="Q159" s="248"/>
      <c r="R159" s="248"/>
      <c r="S159" s="248"/>
      <c r="T159" s="248"/>
      <c r="U159" s="248"/>
      <c r="V159" s="248"/>
      <c r="W159" s="248"/>
      <c r="X159" s="248"/>
      <c r="Y159" s="248"/>
      <c r="Z159" s="248"/>
      <c r="AA159" s="248"/>
      <c r="AB159" s="248"/>
      <c r="AC159" s="248"/>
      <c r="AD159" s="248"/>
      <c r="AE159" s="248"/>
      <c r="AF159" s="248"/>
      <c r="AG159" s="248"/>
      <c r="AH159" s="248"/>
      <c r="AI159" s="248"/>
      <c r="AJ159" s="248"/>
      <c r="AK159" s="248"/>
      <c r="AL159" s="248"/>
      <c r="AM159" s="248"/>
      <c r="AN159" s="248"/>
      <c r="AO159" s="248"/>
      <c r="AP159" s="248"/>
      <c r="AQ159" s="248"/>
      <c r="AR159" s="248"/>
      <c r="AS159" s="248"/>
      <c r="AT159" s="248"/>
      <c r="AU159" s="248"/>
      <c r="AV159" s="248"/>
      <c r="AW159" s="248"/>
      <c r="AX159" s="248"/>
      <c r="AY159" s="248"/>
      <c r="AZ159" s="248"/>
      <c r="BA159" s="248"/>
      <c r="BB159" s="248"/>
      <c r="BC159" s="248"/>
      <c r="BD159" s="248"/>
      <c r="BE159" s="248"/>
      <c r="BF159" s="248"/>
      <c r="BG159" s="248"/>
      <c r="BH159" s="248"/>
      <c r="BI159" s="248"/>
      <c r="BJ159" s="248"/>
      <c r="BK159" s="248"/>
      <c r="BL159" s="248"/>
      <c r="BM159" s="248"/>
    </row>
    <row r="160" spans="1:65" s="320" customFormat="1" ht="7.5" customHeight="1" x14ac:dyDescent="0.2">
      <c r="A160" s="275"/>
      <c r="B160" s="276"/>
      <c r="C160" s="277"/>
      <c r="D160" s="264"/>
      <c r="E160" s="264"/>
      <c r="F160" s="266"/>
      <c r="G160" s="278"/>
      <c r="H160" s="248"/>
      <c r="I160" s="248"/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/>
      <c r="X160" s="248"/>
      <c r="Y160" s="248"/>
      <c r="Z160" s="248"/>
      <c r="AA160" s="248"/>
      <c r="AB160" s="248"/>
      <c r="AC160" s="248"/>
      <c r="AD160" s="248"/>
      <c r="AE160" s="248"/>
      <c r="AF160" s="248"/>
      <c r="AG160" s="248"/>
      <c r="AH160" s="248"/>
      <c r="AI160" s="248"/>
      <c r="AJ160" s="248"/>
      <c r="AK160" s="248"/>
      <c r="AL160" s="248"/>
      <c r="AM160" s="248"/>
      <c r="AN160" s="248"/>
      <c r="AO160" s="248"/>
      <c r="AP160" s="248"/>
      <c r="AQ160" s="248"/>
      <c r="AR160" s="248"/>
      <c r="AS160" s="248"/>
      <c r="AT160" s="248"/>
      <c r="AU160" s="248"/>
      <c r="AV160" s="248"/>
      <c r="AW160" s="248"/>
      <c r="AX160" s="248"/>
      <c r="AY160" s="248"/>
      <c r="AZ160" s="248"/>
      <c r="BA160" s="248"/>
      <c r="BB160" s="248"/>
      <c r="BC160" s="248"/>
      <c r="BD160" s="248"/>
      <c r="BE160" s="248"/>
      <c r="BF160" s="248"/>
      <c r="BG160" s="248"/>
      <c r="BH160" s="248"/>
      <c r="BI160" s="248"/>
      <c r="BJ160" s="248"/>
      <c r="BK160" s="248"/>
      <c r="BL160" s="248"/>
      <c r="BM160" s="248"/>
    </row>
    <row r="161" spans="1:65" s="320" customFormat="1" ht="19.5" customHeight="1" x14ac:dyDescent="0.2">
      <c r="A161" s="261"/>
      <c r="B161" s="322" t="s">
        <v>329</v>
      </c>
      <c r="C161" s="263"/>
      <c r="D161" s="263"/>
      <c r="E161" s="263"/>
      <c r="F161" s="273"/>
      <c r="G161" s="321">
        <f>SUM(G162:G164)</f>
        <v>215922.38999999998</v>
      </c>
      <c r="H161" s="248"/>
      <c r="I161" s="248"/>
      <c r="J161" s="248"/>
      <c r="K161" s="248"/>
      <c r="L161" s="248"/>
      <c r="M161" s="248"/>
      <c r="N161" s="248"/>
      <c r="O161" s="248"/>
      <c r="P161" s="248"/>
      <c r="Q161" s="248"/>
      <c r="R161" s="248"/>
      <c r="S161" s="248"/>
      <c r="T161" s="248"/>
      <c r="U161" s="248"/>
      <c r="V161" s="248"/>
      <c r="W161" s="248"/>
      <c r="X161" s="248"/>
      <c r="Y161" s="248"/>
      <c r="Z161" s="248"/>
      <c r="AA161" s="248"/>
      <c r="AB161" s="248"/>
      <c r="AC161" s="248"/>
      <c r="AD161" s="248"/>
      <c r="AE161" s="248"/>
      <c r="AF161" s="248"/>
      <c r="AG161" s="248"/>
      <c r="AH161" s="248"/>
      <c r="AI161" s="248"/>
      <c r="AJ161" s="248"/>
      <c r="AK161" s="248"/>
      <c r="AL161" s="248"/>
      <c r="AM161" s="248"/>
      <c r="AN161" s="248"/>
      <c r="AO161" s="248"/>
      <c r="AP161" s="248"/>
      <c r="AQ161" s="248"/>
      <c r="AR161" s="248"/>
      <c r="AS161" s="248"/>
      <c r="AT161" s="248"/>
      <c r="AU161" s="248"/>
      <c r="AV161" s="248"/>
      <c r="AW161" s="248"/>
      <c r="AX161" s="248"/>
      <c r="AY161" s="248"/>
      <c r="AZ161" s="248"/>
      <c r="BA161" s="248"/>
      <c r="BB161" s="248"/>
      <c r="BC161" s="248"/>
      <c r="BD161" s="248"/>
      <c r="BE161" s="248"/>
      <c r="BF161" s="248"/>
      <c r="BG161" s="248"/>
      <c r="BH161" s="248"/>
      <c r="BI161" s="248"/>
      <c r="BJ161" s="248"/>
      <c r="BK161" s="248"/>
      <c r="BL161" s="248"/>
      <c r="BM161" s="248"/>
    </row>
    <row r="162" spans="1:65" s="320" customFormat="1" ht="15.75" customHeight="1" x14ac:dyDescent="0.2">
      <c r="A162" s="261"/>
      <c r="B162" s="322"/>
      <c r="C162" s="280"/>
      <c r="D162" s="263"/>
      <c r="E162" s="263" t="s">
        <v>306</v>
      </c>
      <c r="F162" s="273" t="s">
        <v>20</v>
      </c>
      <c r="G162" s="274">
        <v>386.17</v>
      </c>
      <c r="H162" s="248"/>
      <c r="I162" s="248"/>
      <c r="J162" s="248"/>
      <c r="K162" s="248"/>
      <c r="L162" s="248"/>
      <c r="M162" s="248"/>
      <c r="N162" s="248"/>
      <c r="O162" s="248"/>
      <c r="P162" s="248"/>
      <c r="Q162" s="248"/>
      <c r="R162" s="248"/>
      <c r="S162" s="248"/>
      <c r="T162" s="248"/>
      <c r="U162" s="248"/>
      <c r="V162" s="248"/>
      <c r="W162" s="248"/>
      <c r="X162" s="248"/>
      <c r="Y162" s="248"/>
      <c r="Z162" s="248"/>
      <c r="AA162" s="248"/>
      <c r="AB162" s="248"/>
      <c r="AC162" s="248"/>
      <c r="AD162" s="248"/>
      <c r="AE162" s="248"/>
      <c r="AF162" s="248"/>
      <c r="AG162" s="248"/>
      <c r="AH162" s="248"/>
      <c r="AI162" s="248"/>
      <c r="AJ162" s="248"/>
      <c r="AK162" s="248"/>
      <c r="AL162" s="248"/>
      <c r="AM162" s="248"/>
      <c r="AN162" s="248"/>
      <c r="AO162" s="248"/>
      <c r="AP162" s="248"/>
      <c r="AQ162" s="248"/>
      <c r="AR162" s="248"/>
      <c r="AS162" s="248"/>
      <c r="AT162" s="248"/>
      <c r="AU162" s="248"/>
      <c r="AV162" s="248"/>
      <c r="AW162" s="248"/>
      <c r="AX162" s="248"/>
      <c r="AY162" s="248"/>
      <c r="AZ162" s="248"/>
      <c r="BA162" s="248"/>
      <c r="BB162" s="248"/>
      <c r="BC162" s="248"/>
      <c r="BD162" s="248"/>
      <c r="BE162" s="248"/>
      <c r="BF162" s="248"/>
      <c r="BG162" s="248"/>
      <c r="BH162" s="248"/>
      <c r="BI162" s="248"/>
      <c r="BJ162" s="248"/>
      <c r="BK162" s="248"/>
      <c r="BL162" s="248"/>
      <c r="BM162" s="248"/>
    </row>
    <row r="163" spans="1:65" s="320" customFormat="1" ht="15.75" customHeight="1" x14ac:dyDescent="0.2">
      <c r="A163" s="261"/>
      <c r="B163" s="262"/>
      <c r="C163" s="280"/>
      <c r="D163" s="263"/>
      <c r="E163" s="263" t="s">
        <v>291</v>
      </c>
      <c r="F163" s="273" t="s">
        <v>20</v>
      </c>
      <c r="G163" s="274">
        <f>2056.23+12473.87+3535.72+7349.78+3282.57+3054.8+3151.89</f>
        <v>34904.86</v>
      </c>
      <c r="H163" s="248"/>
      <c r="I163" s="248"/>
      <c r="J163" s="248"/>
      <c r="K163" s="248"/>
      <c r="L163" s="248"/>
      <c r="M163" s="248"/>
      <c r="N163" s="248"/>
      <c r="O163" s="248"/>
      <c r="P163" s="248"/>
      <c r="Q163" s="248"/>
      <c r="R163" s="248"/>
      <c r="S163" s="248"/>
      <c r="T163" s="248"/>
      <c r="U163" s="248"/>
      <c r="V163" s="248"/>
      <c r="W163" s="248"/>
      <c r="X163" s="248"/>
      <c r="Y163" s="248"/>
      <c r="Z163" s="248"/>
      <c r="AA163" s="248"/>
      <c r="AB163" s="248"/>
      <c r="AC163" s="248"/>
      <c r="AD163" s="248"/>
      <c r="AE163" s="248"/>
      <c r="AF163" s="248"/>
      <c r="AG163" s="248"/>
      <c r="AH163" s="248"/>
      <c r="AI163" s="248"/>
      <c r="AJ163" s="248"/>
      <c r="AK163" s="248"/>
      <c r="AL163" s="248"/>
      <c r="AM163" s="248"/>
      <c r="AN163" s="248"/>
      <c r="AO163" s="248"/>
      <c r="AP163" s="248"/>
      <c r="AQ163" s="248"/>
      <c r="AR163" s="248"/>
      <c r="AS163" s="248"/>
      <c r="AT163" s="248"/>
      <c r="AU163" s="248"/>
      <c r="AV163" s="248"/>
      <c r="AW163" s="248"/>
      <c r="AX163" s="248"/>
      <c r="AY163" s="248"/>
      <c r="AZ163" s="248"/>
      <c r="BA163" s="248"/>
      <c r="BB163" s="248"/>
      <c r="BC163" s="248"/>
      <c r="BD163" s="248"/>
      <c r="BE163" s="248"/>
      <c r="BF163" s="248"/>
      <c r="BG163" s="248"/>
      <c r="BH163" s="248"/>
      <c r="BI163" s="248"/>
      <c r="BJ163" s="248"/>
      <c r="BK163" s="248"/>
      <c r="BL163" s="248"/>
      <c r="BM163" s="248"/>
    </row>
    <row r="164" spans="1:65" s="320" customFormat="1" ht="15.75" customHeight="1" x14ac:dyDescent="0.2">
      <c r="A164" s="261"/>
      <c r="B164" s="262"/>
      <c r="C164" s="280"/>
      <c r="D164" s="263"/>
      <c r="E164" s="263" t="s">
        <v>308</v>
      </c>
      <c r="F164" s="273" t="s">
        <v>20</v>
      </c>
      <c r="G164" s="274">
        <f>26641.61+27326.85+19841.52+23703.67+17584.99+26951.76+38580.96</f>
        <v>180631.36</v>
      </c>
      <c r="H164" s="248"/>
      <c r="I164" s="248"/>
      <c r="J164" s="248"/>
      <c r="K164" s="248"/>
      <c r="L164" s="248"/>
      <c r="M164" s="248"/>
      <c r="N164" s="248"/>
      <c r="O164" s="248"/>
      <c r="P164" s="248"/>
      <c r="Q164" s="248"/>
      <c r="R164" s="248"/>
      <c r="S164" s="248"/>
      <c r="T164" s="248"/>
      <c r="U164" s="248"/>
      <c r="V164" s="248"/>
      <c r="W164" s="248"/>
      <c r="X164" s="248"/>
      <c r="Y164" s="248"/>
      <c r="Z164" s="248"/>
      <c r="AA164" s="248"/>
      <c r="AB164" s="248"/>
      <c r="AC164" s="248"/>
      <c r="AD164" s="248"/>
      <c r="AE164" s="248"/>
      <c r="AF164" s="248"/>
      <c r="AG164" s="248"/>
      <c r="AH164" s="248"/>
      <c r="AI164" s="248"/>
      <c r="AJ164" s="248"/>
      <c r="AK164" s="248"/>
      <c r="AL164" s="248"/>
      <c r="AM164" s="248"/>
      <c r="AN164" s="248"/>
      <c r="AO164" s="248"/>
      <c r="AP164" s="248"/>
      <c r="AQ164" s="248"/>
      <c r="AR164" s="248"/>
      <c r="AS164" s="248"/>
      <c r="AT164" s="248"/>
      <c r="AU164" s="248"/>
      <c r="AV164" s="248"/>
      <c r="AW164" s="248"/>
      <c r="AX164" s="248"/>
      <c r="AY164" s="248"/>
      <c r="AZ164" s="248"/>
      <c r="BA164" s="248"/>
      <c r="BB164" s="248"/>
      <c r="BC164" s="248"/>
      <c r="BD164" s="248"/>
      <c r="BE164" s="248"/>
      <c r="BF164" s="248"/>
      <c r="BG164" s="248"/>
      <c r="BH164" s="248"/>
      <c r="BI164" s="248"/>
      <c r="BJ164" s="248"/>
      <c r="BK164" s="248"/>
      <c r="BL164" s="248"/>
      <c r="BM164" s="248"/>
    </row>
    <row r="165" spans="1:65" s="320" customFormat="1" ht="15.75" customHeight="1" x14ac:dyDescent="0.2">
      <c r="A165" s="261"/>
      <c r="B165" s="262"/>
      <c r="C165" s="280"/>
      <c r="D165" s="263"/>
      <c r="E165" s="263"/>
      <c r="F165" s="273"/>
      <c r="G165" s="274"/>
      <c r="H165" s="248"/>
      <c r="I165" s="248"/>
      <c r="J165" s="248"/>
      <c r="K165" s="248"/>
      <c r="L165" s="248"/>
      <c r="M165" s="248"/>
      <c r="N165" s="248"/>
      <c r="O165" s="248"/>
      <c r="P165" s="248"/>
      <c r="Q165" s="248"/>
      <c r="R165" s="248"/>
      <c r="S165" s="248"/>
      <c r="T165" s="248"/>
      <c r="U165" s="248"/>
      <c r="V165" s="248"/>
      <c r="W165" s="248"/>
      <c r="X165" s="248"/>
      <c r="Y165" s="248"/>
      <c r="Z165" s="248"/>
      <c r="AA165" s="248"/>
      <c r="AB165" s="248"/>
      <c r="AC165" s="248"/>
      <c r="AD165" s="248"/>
      <c r="AE165" s="248"/>
      <c r="AF165" s="248"/>
      <c r="AG165" s="248"/>
      <c r="AH165" s="248"/>
      <c r="AI165" s="248"/>
      <c r="AJ165" s="248"/>
      <c r="AK165" s="248"/>
      <c r="AL165" s="248"/>
      <c r="AM165" s="248"/>
      <c r="AN165" s="248"/>
      <c r="AO165" s="248"/>
      <c r="AP165" s="248"/>
      <c r="AQ165" s="248"/>
      <c r="AR165" s="248"/>
      <c r="AS165" s="248"/>
      <c r="AT165" s="248"/>
      <c r="AU165" s="248"/>
      <c r="AV165" s="248"/>
      <c r="AW165" s="248"/>
      <c r="AX165" s="248"/>
      <c r="AY165" s="248"/>
      <c r="AZ165" s="248"/>
      <c r="BA165" s="248"/>
      <c r="BB165" s="248"/>
      <c r="BC165" s="248"/>
      <c r="BD165" s="248"/>
      <c r="BE165" s="248"/>
      <c r="BF165" s="248"/>
      <c r="BG165" s="248"/>
      <c r="BH165" s="248"/>
      <c r="BI165" s="248"/>
      <c r="BJ165" s="248"/>
      <c r="BK165" s="248"/>
      <c r="BL165" s="248"/>
      <c r="BM165" s="248"/>
    </row>
    <row r="166" spans="1:65" s="320" customFormat="1" ht="25.5" customHeight="1" x14ac:dyDescent="0.2">
      <c r="A166" s="261"/>
      <c r="B166" s="323" t="s">
        <v>102</v>
      </c>
      <c r="C166" s="263"/>
      <c r="D166" s="263"/>
      <c r="E166" s="263"/>
      <c r="F166" s="273"/>
      <c r="G166" s="321">
        <f>SUM(G167:G167)</f>
        <v>313.69</v>
      </c>
      <c r="H166" s="248"/>
      <c r="I166" s="248"/>
      <c r="J166" s="248"/>
      <c r="K166" s="248"/>
      <c r="L166" s="248"/>
      <c r="M166" s="248"/>
      <c r="N166" s="248"/>
      <c r="O166" s="248"/>
      <c r="P166" s="248"/>
      <c r="Q166" s="248"/>
      <c r="R166" s="248"/>
      <c r="S166" s="248"/>
      <c r="T166" s="248"/>
      <c r="U166" s="248"/>
      <c r="V166" s="248"/>
      <c r="W166" s="248"/>
      <c r="X166" s="248"/>
      <c r="Y166" s="248"/>
      <c r="Z166" s="248"/>
      <c r="AA166" s="248"/>
      <c r="AB166" s="248"/>
      <c r="AC166" s="248"/>
      <c r="AD166" s="248"/>
      <c r="AE166" s="248"/>
      <c r="AF166" s="248"/>
      <c r="AG166" s="248"/>
      <c r="AH166" s="248"/>
      <c r="AI166" s="248"/>
      <c r="AJ166" s="248"/>
      <c r="AK166" s="248"/>
      <c r="AL166" s="248"/>
      <c r="AM166" s="248"/>
      <c r="AN166" s="248"/>
      <c r="AO166" s="248"/>
      <c r="AP166" s="248"/>
      <c r="AQ166" s="248"/>
      <c r="AR166" s="248"/>
      <c r="AS166" s="248"/>
      <c r="AT166" s="248"/>
      <c r="AU166" s="248"/>
      <c r="AV166" s="248"/>
      <c r="AW166" s="248"/>
      <c r="AX166" s="248"/>
      <c r="AY166" s="248"/>
      <c r="AZ166" s="248"/>
      <c r="BA166" s="248"/>
      <c r="BB166" s="248"/>
      <c r="BC166" s="248"/>
      <c r="BD166" s="248"/>
      <c r="BE166" s="248"/>
      <c r="BF166" s="248"/>
      <c r="BG166" s="248"/>
      <c r="BH166" s="248"/>
      <c r="BI166" s="248"/>
      <c r="BJ166" s="248"/>
      <c r="BK166" s="248"/>
      <c r="BL166" s="248"/>
      <c r="BM166" s="248"/>
    </row>
    <row r="167" spans="1:65" s="320" customFormat="1" ht="15.75" customHeight="1" x14ac:dyDescent="0.2">
      <c r="A167" s="261"/>
      <c r="B167" s="262"/>
      <c r="C167" s="280"/>
      <c r="D167" s="263"/>
      <c r="E167" s="263" t="s">
        <v>306</v>
      </c>
      <c r="F167" s="273" t="s">
        <v>20</v>
      </c>
      <c r="G167" s="274">
        <v>313.69</v>
      </c>
      <c r="H167" s="248"/>
      <c r="I167" s="248"/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48"/>
      <c r="Y167" s="248"/>
      <c r="Z167" s="248"/>
      <c r="AA167" s="248"/>
      <c r="AB167" s="248"/>
      <c r="AC167" s="248"/>
      <c r="AD167" s="248"/>
      <c r="AE167" s="248"/>
      <c r="AF167" s="248"/>
      <c r="AG167" s="248"/>
      <c r="AH167" s="248"/>
      <c r="AI167" s="248"/>
      <c r="AJ167" s="248"/>
      <c r="AK167" s="248"/>
      <c r="AL167" s="248"/>
      <c r="AM167" s="248"/>
      <c r="AN167" s="248"/>
      <c r="AO167" s="248"/>
      <c r="AP167" s="248"/>
      <c r="AQ167" s="248"/>
      <c r="AR167" s="248"/>
      <c r="AS167" s="248"/>
      <c r="AT167" s="248"/>
      <c r="AU167" s="248"/>
      <c r="AV167" s="248"/>
      <c r="AW167" s="248"/>
      <c r="AX167" s="248"/>
      <c r="AY167" s="248"/>
      <c r="AZ167" s="248"/>
      <c r="BA167" s="248"/>
      <c r="BB167" s="248"/>
      <c r="BC167" s="248"/>
      <c r="BD167" s="248"/>
      <c r="BE167" s="248"/>
      <c r="BF167" s="248"/>
      <c r="BG167" s="248"/>
      <c r="BH167" s="248"/>
      <c r="BI167" s="248"/>
      <c r="BJ167" s="248"/>
      <c r="BK167" s="248"/>
      <c r="BL167" s="248"/>
      <c r="BM167" s="248"/>
    </row>
    <row r="168" spans="1:65" s="320" customFormat="1" ht="7.5" customHeight="1" x14ac:dyDescent="0.2">
      <c r="A168" s="275"/>
      <c r="B168" s="276"/>
      <c r="C168" s="277"/>
      <c r="D168" s="264"/>
      <c r="E168" s="264"/>
      <c r="F168" s="266"/>
      <c r="G168" s="278"/>
      <c r="H168" s="248"/>
      <c r="I168" s="248"/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  <c r="T168" s="248"/>
      <c r="U168" s="248"/>
      <c r="V168" s="248"/>
      <c r="W168" s="248"/>
      <c r="X168" s="248"/>
      <c r="Y168" s="248"/>
      <c r="Z168" s="248"/>
      <c r="AA168" s="248"/>
      <c r="AB168" s="248"/>
      <c r="AC168" s="248"/>
      <c r="AD168" s="248"/>
      <c r="AE168" s="248"/>
      <c r="AF168" s="248"/>
      <c r="AG168" s="248"/>
      <c r="AH168" s="248"/>
      <c r="AI168" s="248"/>
      <c r="AJ168" s="248"/>
      <c r="AK168" s="248"/>
      <c r="AL168" s="248"/>
      <c r="AM168" s="248"/>
      <c r="AN168" s="248"/>
      <c r="AO168" s="248"/>
      <c r="AP168" s="248"/>
      <c r="AQ168" s="248"/>
      <c r="AR168" s="248"/>
      <c r="AS168" s="248"/>
      <c r="AT168" s="248"/>
      <c r="AU168" s="248"/>
      <c r="AV168" s="248"/>
      <c r="AW168" s="248"/>
      <c r="AX168" s="248"/>
      <c r="AY168" s="248"/>
      <c r="AZ168" s="248"/>
      <c r="BA168" s="248"/>
      <c r="BB168" s="248"/>
      <c r="BC168" s="248"/>
      <c r="BD168" s="248"/>
      <c r="BE168" s="248"/>
      <c r="BF168" s="248"/>
      <c r="BG168" s="248"/>
      <c r="BH168" s="248"/>
      <c r="BI168" s="248"/>
      <c r="BJ168" s="248"/>
      <c r="BK168" s="248"/>
      <c r="BL168" s="248"/>
      <c r="BM168" s="248"/>
    </row>
    <row r="169" spans="1:65" s="320" customFormat="1" ht="15.75" customHeight="1" x14ac:dyDescent="0.2">
      <c r="A169" s="261"/>
      <c r="B169" s="262"/>
      <c r="C169" s="263"/>
      <c r="D169" s="263"/>
      <c r="E169" s="264" t="s">
        <v>37</v>
      </c>
      <c r="F169" s="265">
        <v>295.87</v>
      </c>
      <c r="G169" s="266" t="s">
        <v>20</v>
      </c>
      <c r="H169" s="248"/>
      <c r="I169" s="248"/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48"/>
      <c r="Y169" s="248"/>
      <c r="Z169" s="248"/>
      <c r="AA169" s="248"/>
      <c r="AB169" s="248"/>
      <c r="AC169" s="248"/>
      <c r="AD169" s="248"/>
      <c r="AE169" s="248"/>
      <c r="AF169" s="248"/>
      <c r="AG169" s="248"/>
      <c r="AH169" s="248"/>
      <c r="AI169" s="248"/>
      <c r="AJ169" s="248"/>
      <c r="AK169" s="248"/>
      <c r="AL169" s="248"/>
      <c r="AM169" s="248"/>
      <c r="AN169" s="248"/>
      <c r="AO169" s="248"/>
      <c r="AP169" s="248"/>
      <c r="AQ169" s="248"/>
      <c r="AR169" s="248"/>
      <c r="AS169" s="248"/>
      <c r="AT169" s="248"/>
      <c r="AU169" s="248"/>
      <c r="AV169" s="248"/>
      <c r="AW169" s="248"/>
      <c r="AX169" s="248"/>
      <c r="AY169" s="248"/>
      <c r="AZ169" s="248"/>
      <c r="BA169" s="248"/>
      <c r="BB169" s="248"/>
      <c r="BC169" s="248"/>
      <c r="BD169" s="248"/>
      <c r="BE169" s="248"/>
      <c r="BF169" s="248"/>
      <c r="BG169" s="248"/>
      <c r="BH169" s="248"/>
      <c r="BI169" s="248"/>
      <c r="BJ169" s="248"/>
      <c r="BK169" s="248"/>
      <c r="BL169" s="248"/>
      <c r="BM169" s="248"/>
    </row>
    <row r="170" spans="1:65" s="320" customFormat="1" ht="24" customHeight="1" x14ac:dyDescent="0.2">
      <c r="A170" s="267" t="s">
        <v>268</v>
      </c>
      <c r="B170" s="268" t="s">
        <v>330</v>
      </c>
      <c r="C170" s="263" t="s">
        <v>331</v>
      </c>
      <c r="D170" s="263" t="s">
        <v>332</v>
      </c>
      <c r="E170" s="269" t="s">
        <v>20</v>
      </c>
      <c r="F170" s="270" t="s">
        <v>20</v>
      </c>
      <c r="G170" s="271">
        <f>SUM(G172)</f>
        <v>295.87</v>
      </c>
      <c r="H170" s="248"/>
      <c r="I170" s="248"/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8"/>
      <c r="U170" s="248"/>
      <c r="V170" s="248"/>
      <c r="W170" s="248"/>
      <c r="X170" s="248"/>
      <c r="Y170" s="248"/>
      <c r="Z170" s="248"/>
      <c r="AA170" s="248"/>
      <c r="AB170" s="248"/>
      <c r="AC170" s="248"/>
      <c r="AD170" s="248"/>
      <c r="AE170" s="248"/>
      <c r="AF170" s="248"/>
      <c r="AG170" s="248"/>
      <c r="AH170" s="248"/>
      <c r="AI170" s="248"/>
      <c r="AJ170" s="248"/>
      <c r="AK170" s="248"/>
      <c r="AL170" s="248"/>
      <c r="AM170" s="248"/>
      <c r="AN170" s="248"/>
      <c r="AO170" s="248"/>
      <c r="AP170" s="248"/>
      <c r="AQ170" s="248"/>
      <c r="AR170" s="248"/>
      <c r="AS170" s="248"/>
      <c r="AT170" s="248"/>
      <c r="AU170" s="248"/>
      <c r="AV170" s="248"/>
      <c r="AW170" s="248"/>
      <c r="AX170" s="248"/>
      <c r="AY170" s="248"/>
      <c r="AZ170" s="248"/>
      <c r="BA170" s="248"/>
      <c r="BB170" s="248"/>
      <c r="BC170" s="248"/>
      <c r="BD170" s="248"/>
      <c r="BE170" s="248"/>
      <c r="BF170" s="248"/>
      <c r="BG170" s="248"/>
      <c r="BH170" s="248"/>
      <c r="BI170" s="248"/>
      <c r="BJ170" s="248"/>
      <c r="BK170" s="248"/>
      <c r="BL170" s="248"/>
      <c r="BM170" s="248"/>
    </row>
    <row r="171" spans="1:65" s="320" customFormat="1" ht="9" customHeight="1" x14ac:dyDescent="0.2">
      <c r="A171" s="261"/>
      <c r="B171" s="272"/>
      <c r="C171" s="263"/>
      <c r="D171" s="263"/>
      <c r="E171" s="263"/>
      <c r="F171" s="273"/>
      <c r="G171" s="321"/>
      <c r="H171" s="248"/>
      <c r="I171" s="248"/>
      <c r="J171" s="248"/>
      <c r="K171" s="248"/>
      <c r="L171" s="248"/>
      <c r="M171" s="248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  <c r="Z171" s="248"/>
      <c r="AA171" s="248"/>
      <c r="AB171" s="248"/>
      <c r="AC171" s="248"/>
      <c r="AD171" s="248"/>
      <c r="AE171" s="248"/>
      <c r="AF171" s="248"/>
      <c r="AG171" s="248"/>
      <c r="AH171" s="248"/>
      <c r="AI171" s="248"/>
      <c r="AJ171" s="248"/>
      <c r="AK171" s="248"/>
      <c r="AL171" s="248"/>
      <c r="AM171" s="248"/>
      <c r="AN171" s="248"/>
      <c r="AO171" s="248"/>
      <c r="AP171" s="248"/>
      <c r="AQ171" s="248"/>
      <c r="AR171" s="248"/>
      <c r="AS171" s="248"/>
      <c r="AT171" s="248"/>
      <c r="AU171" s="248"/>
      <c r="AV171" s="248"/>
      <c r="AW171" s="248"/>
      <c r="AX171" s="248"/>
      <c r="AY171" s="248"/>
      <c r="AZ171" s="248"/>
      <c r="BA171" s="248"/>
      <c r="BB171" s="248"/>
      <c r="BC171" s="248"/>
      <c r="BD171" s="248"/>
      <c r="BE171" s="248"/>
      <c r="BF171" s="248"/>
      <c r="BG171" s="248"/>
      <c r="BH171" s="248"/>
      <c r="BI171" s="248"/>
      <c r="BJ171" s="248"/>
      <c r="BK171" s="248"/>
      <c r="BL171" s="248"/>
      <c r="BM171" s="248"/>
    </row>
    <row r="172" spans="1:65" s="320" customFormat="1" ht="15.75" customHeight="1" x14ac:dyDescent="0.2">
      <c r="A172" s="261"/>
      <c r="B172" s="323" t="s">
        <v>333</v>
      </c>
      <c r="C172" s="263"/>
      <c r="D172" s="263"/>
      <c r="E172" s="263"/>
      <c r="F172" s="273"/>
      <c r="G172" s="321">
        <f>SUM(G173:G173)</f>
        <v>295.87</v>
      </c>
      <c r="H172" s="248"/>
      <c r="I172" s="248"/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  <c r="T172" s="248"/>
      <c r="U172" s="248"/>
      <c r="V172" s="248"/>
      <c r="W172" s="248"/>
      <c r="X172" s="248"/>
      <c r="Y172" s="248"/>
      <c r="Z172" s="248"/>
      <c r="AA172" s="248"/>
      <c r="AB172" s="248"/>
      <c r="AC172" s="248"/>
      <c r="AD172" s="248"/>
      <c r="AE172" s="248"/>
      <c r="AF172" s="248"/>
      <c r="AG172" s="248"/>
      <c r="AH172" s="248"/>
      <c r="AI172" s="248"/>
      <c r="AJ172" s="248"/>
      <c r="AK172" s="248"/>
      <c r="AL172" s="248"/>
      <c r="AM172" s="248"/>
      <c r="AN172" s="248"/>
      <c r="AO172" s="248"/>
      <c r="AP172" s="248"/>
      <c r="AQ172" s="248"/>
      <c r="AR172" s="248"/>
      <c r="AS172" s="248"/>
      <c r="AT172" s="248"/>
      <c r="AU172" s="248"/>
      <c r="AV172" s="248"/>
      <c r="AW172" s="248"/>
      <c r="AX172" s="248"/>
      <c r="AY172" s="248"/>
      <c r="AZ172" s="248"/>
      <c r="BA172" s="248"/>
      <c r="BB172" s="248"/>
      <c r="BC172" s="248"/>
      <c r="BD172" s="248"/>
      <c r="BE172" s="248"/>
      <c r="BF172" s="248"/>
      <c r="BG172" s="248"/>
      <c r="BH172" s="248"/>
      <c r="BI172" s="248"/>
      <c r="BJ172" s="248"/>
      <c r="BK172" s="248"/>
      <c r="BL172" s="248"/>
      <c r="BM172" s="248"/>
    </row>
    <row r="173" spans="1:65" s="320" customFormat="1" ht="15.75" customHeight="1" x14ac:dyDescent="0.2">
      <c r="A173" s="261"/>
      <c r="B173" s="262"/>
      <c r="C173" s="263"/>
      <c r="D173" s="263"/>
      <c r="E173" s="263" t="s">
        <v>306</v>
      </c>
      <c r="F173" s="273" t="s">
        <v>20</v>
      </c>
      <c r="G173" s="274">
        <v>295.87</v>
      </c>
      <c r="H173" s="248"/>
      <c r="I173" s="248"/>
      <c r="J173" s="248"/>
      <c r="K173" s="248"/>
      <c r="L173" s="248"/>
      <c r="M173" s="248"/>
      <c r="N173" s="248"/>
      <c r="O173" s="248"/>
      <c r="P173" s="248"/>
      <c r="Q173" s="248"/>
      <c r="R173" s="248"/>
      <c r="S173" s="248"/>
      <c r="T173" s="248"/>
      <c r="U173" s="248"/>
      <c r="V173" s="248"/>
      <c r="W173" s="248"/>
      <c r="X173" s="248"/>
      <c r="Y173" s="248"/>
      <c r="Z173" s="248"/>
      <c r="AA173" s="248"/>
      <c r="AB173" s="248"/>
      <c r="AC173" s="248"/>
      <c r="AD173" s="248"/>
      <c r="AE173" s="248"/>
      <c r="AF173" s="248"/>
      <c r="AG173" s="248"/>
      <c r="AH173" s="248"/>
      <c r="AI173" s="248"/>
      <c r="AJ173" s="248"/>
      <c r="AK173" s="248"/>
      <c r="AL173" s="248"/>
      <c r="AM173" s="248"/>
      <c r="AN173" s="248"/>
      <c r="AO173" s="248"/>
      <c r="AP173" s="248"/>
      <c r="AQ173" s="248"/>
      <c r="AR173" s="248"/>
      <c r="AS173" s="248"/>
      <c r="AT173" s="248"/>
      <c r="AU173" s="248"/>
      <c r="AV173" s="248"/>
      <c r="AW173" s="248"/>
      <c r="AX173" s="248"/>
      <c r="AY173" s="248"/>
      <c r="AZ173" s="248"/>
      <c r="BA173" s="248"/>
      <c r="BB173" s="248"/>
      <c r="BC173" s="248"/>
      <c r="BD173" s="248"/>
      <c r="BE173" s="248"/>
      <c r="BF173" s="248"/>
      <c r="BG173" s="248"/>
      <c r="BH173" s="248"/>
      <c r="BI173" s="248"/>
      <c r="BJ173" s="248"/>
      <c r="BK173" s="248"/>
      <c r="BL173" s="248"/>
      <c r="BM173" s="248"/>
    </row>
    <row r="174" spans="1:65" s="320" customFormat="1" ht="15.75" customHeight="1" x14ac:dyDescent="0.2">
      <c r="A174" s="275"/>
      <c r="B174" s="276"/>
      <c r="C174" s="277"/>
      <c r="D174" s="264"/>
      <c r="E174" s="264"/>
      <c r="F174" s="266"/>
      <c r="G174" s="278"/>
      <c r="H174" s="248"/>
      <c r="I174" s="248"/>
      <c r="J174" s="248"/>
      <c r="K174" s="248"/>
      <c r="L174" s="248"/>
      <c r="M174" s="248"/>
      <c r="N174" s="248"/>
      <c r="O174" s="248"/>
      <c r="P174" s="248"/>
      <c r="Q174" s="248"/>
      <c r="R174" s="248"/>
      <c r="S174" s="248"/>
      <c r="T174" s="248"/>
      <c r="U174" s="248"/>
      <c r="V174" s="248"/>
      <c r="W174" s="248"/>
      <c r="X174" s="248"/>
      <c r="Y174" s="248"/>
      <c r="Z174" s="248"/>
      <c r="AA174" s="248"/>
      <c r="AB174" s="248"/>
      <c r="AC174" s="248"/>
      <c r="AD174" s="248"/>
      <c r="AE174" s="248"/>
      <c r="AF174" s="248"/>
      <c r="AG174" s="248"/>
      <c r="AH174" s="248"/>
      <c r="AI174" s="248"/>
      <c r="AJ174" s="248"/>
      <c r="AK174" s="248"/>
      <c r="AL174" s="248"/>
      <c r="AM174" s="248"/>
      <c r="AN174" s="248"/>
      <c r="AO174" s="248"/>
      <c r="AP174" s="248"/>
      <c r="AQ174" s="248"/>
      <c r="AR174" s="248"/>
      <c r="AS174" s="248"/>
      <c r="AT174" s="248"/>
      <c r="AU174" s="248"/>
      <c r="AV174" s="248"/>
      <c r="AW174" s="248"/>
      <c r="AX174" s="248"/>
      <c r="AY174" s="248"/>
      <c r="AZ174" s="248"/>
      <c r="BA174" s="248"/>
      <c r="BB174" s="248"/>
      <c r="BC174" s="248"/>
      <c r="BD174" s="248"/>
      <c r="BE174" s="248"/>
      <c r="BF174" s="248"/>
      <c r="BG174" s="248"/>
      <c r="BH174" s="248"/>
      <c r="BI174" s="248"/>
      <c r="BJ174" s="248"/>
      <c r="BK174" s="248"/>
      <c r="BL174" s="248"/>
      <c r="BM174" s="248"/>
    </row>
    <row r="175" spans="1:65" s="320" customFormat="1" ht="15.75" customHeight="1" x14ac:dyDescent="0.2">
      <c r="A175" s="261"/>
      <c r="B175" s="262"/>
      <c r="C175" s="263"/>
      <c r="D175" s="263"/>
      <c r="E175" s="264" t="s">
        <v>37</v>
      </c>
      <c r="F175" s="265">
        <f>1050+1200</f>
        <v>2250</v>
      </c>
      <c r="G175" s="266" t="s">
        <v>20</v>
      </c>
      <c r="H175" s="248"/>
      <c r="I175" s="248"/>
      <c r="J175" s="248"/>
      <c r="K175" s="248"/>
      <c r="L175" s="248"/>
      <c r="M175" s="248"/>
      <c r="N175" s="248"/>
      <c r="O175" s="248"/>
      <c r="P175" s="248"/>
      <c r="Q175" s="248"/>
      <c r="R175" s="248"/>
      <c r="S175" s="248"/>
      <c r="T175" s="248"/>
      <c r="U175" s="248"/>
      <c r="V175" s="248"/>
      <c r="W175" s="248"/>
      <c r="X175" s="248"/>
      <c r="Y175" s="248"/>
      <c r="Z175" s="248"/>
      <c r="AA175" s="248"/>
      <c r="AB175" s="248"/>
      <c r="AC175" s="248"/>
      <c r="AD175" s="248"/>
      <c r="AE175" s="248"/>
      <c r="AF175" s="248"/>
      <c r="AG175" s="248"/>
      <c r="AH175" s="248"/>
      <c r="AI175" s="248"/>
      <c r="AJ175" s="248"/>
      <c r="AK175" s="248"/>
      <c r="AL175" s="248"/>
      <c r="AM175" s="248"/>
      <c r="AN175" s="248"/>
      <c r="AO175" s="248"/>
      <c r="AP175" s="248"/>
      <c r="AQ175" s="248"/>
      <c r="AR175" s="248"/>
      <c r="AS175" s="248"/>
      <c r="AT175" s="248"/>
      <c r="AU175" s="248"/>
      <c r="AV175" s="248"/>
      <c r="AW175" s="248"/>
      <c r="AX175" s="248"/>
      <c r="AY175" s="248"/>
      <c r="AZ175" s="248"/>
      <c r="BA175" s="248"/>
      <c r="BB175" s="248"/>
      <c r="BC175" s="248"/>
      <c r="BD175" s="248"/>
      <c r="BE175" s="248"/>
      <c r="BF175" s="248"/>
      <c r="BG175" s="248"/>
      <c r="BH175" s="248"/>
      <c r="BI175" s="248"/>
      <c r="BJ175" s="248"/>
      <c r="BK175" s="248"/>
      <c r="BL175" s="248"/>
      <c r="BM175" s="248"/>
    </row>
    <row r="176" spans="1:65" s="320" customFormat="1" ht="39" customHeight="1" x14ac:dyDescent="0.2">
      <c r="A176" s="267" t="s">
        <v>270</v>
      </c>
      <c r="B176" s="268" t="s">
        <v>334</v>
      </c>
      <c r="C176" s="263" t="s">
        <v>298</v>
      </c>
      <c r="D176" s="263" t="s">
        <v>335</v>
      </c>
      <c r="E176" s="269" t="s">
        <v>20</v>
      </c>
      <c r="F176" s="270" t="s">
        <v>20</v>
      </c>
      <c r="G176" s="271">
        <f>SUM(G178)</f>
        <v>2250</v>
      </c>
      <c r="H176" s="248"/>
      <c r="I176" s="248"/>
      <c r="J176" s="248"/>
      <c r="K176" s="248"/>
      <c r="L176" s="248"/>
      <c r="M176" s="248"/>
      <c r="N176" s="248"/>
      <c r="O176" s="248"/>
      <c r="P176" s="248"/>
      <c r="Q176" s="248"/>
      <c r="R176" s="248"/>
      <c r="S176" s="248"/>
      <c r="T176" s="248"/>
      <c r="U176" s="248"/>
      <c r="V176" s="248"/>
      <c r="W176" s="248"/>
      <c r="X176" s="248"/>
      <c r="Y176" s="248"/>
      <c r="Z176" s="248"/>
      <c r="AA176" s="248"/>
      <c r="AB176" s="248"/>
      <c r="AC176" s="248"/>
      <c r="AD176" s="248"/>
      <c r="AE176" s="248"/>
      <c r="AF176" s="248"/>
      <c r="AG176" s="248"/>
      <c r="AH176" s="248"/>
      <c r="AI176" s="248"/>
      <c r="AJ176" s="248"/>
      <c r="AK176" s="248"/>
      <c r="AL176" s="248"/>
      <c r="AM176" s="248"/>
      <c r="AN176" s="248"/>
      <c r="AO176" s="248"/>
      <c r="AP176" s="248"/>
      <c r="AQ176" s="248"/>
      <c r="AR176" s="248"/>
      <c r="AS176" s="248"/>
      <c r="AT176" s="248"/>
      <c r="AU176" s="248"/>
      <c r="AV176" s="248"/>
      <c r="AW176" s="248"/>
      <c r="AX176" s="248"/>
      <c r="AY176" s="248"/>
      <c r="AZ176" s="248"/>
      <c r="BA176" s="248"/>
      <c r="BB176" s="248"/>
      <c r="BC176" s="248"/>
      <c r="BD176" s="248"/>
      <c r="BE176" s="248"/>
      <c r="BF176" s="248"/>
      <c r="BG176" s="248"/>
      <c r="BH176" s="248"/>
      <c r="BI176" s="248"/>
      <c r="BJ176" s="248"/>
      <c r="BK176" s="248"/>
      <c r="BL176" s="248"/>
      <c r="BM176" s="248"/>
    </row>
    <row r="177" spans="1:65" s="320" customFormat="1" ht="9.75" customHeight="1" x14ac:dyDescent="0.2">
      <c r="A177" s="261"/>
      <c r="B177" s="262"/>
      <c r="C177" s="280"/>
      <c r="D177" s="263"/>
      <c r="E177" s="263"/>
      <c r="F177" s="273"/>
      <c r="G177" s="274"/>
      <c r="H177" s="248"/>
      <c r="I177" s="248"/>
      <c r="J177" s="248"/>
      <c r="K177" s="248"/>
      <c r="L177" s="248"/>
      <c r="M177" s="248"/>
      <c r="N177" s="248"/>
      <c r="O177" s="248"/>
      <c r="P177" s="248"/>
      <c r="Q177" s="248"/>
      <c r="R177" s="248"/>
      <c r="S177" s="248"/>
      <c r="T177" s="248"/>
      <c r="U177" s="248"/>
      <c r="V177" s="248"/>
      <c r="W177" s="248"/>
      <c r="X177" s="248"/>
      <c r="Y177" s="248"/>
      <c r="Z177" s="248"/>
      <c r="AA177" s="248"/>
      <c r="AB177" s="248"/>
      <c r="AC177" s="248"/>
      <c r="AD177" s="248"/>
      <c r="AE177" s="248"/>
      <c r="AF177" s="248"/>
      <c r="AG177" s="248"/>
      <c r="AH177" s="248"/>
      <c r="AI177" s="248"/>
      <c r="AJ177" s="248"/>
      <c r="AK177" s="248"/>
      <c r="AL177" s="248"/>
      <c r="AM177" s="248"/>
      <c r="AN177" s="248"/>
      <c r="AO177" s="248"/>
      <c r="AP177" s="248"/>
      <c r="AQ177" s="248"/>
      <c r="AR177" s="248"/>
      <c r="AS177" s="248"/>
      <c r="AT177" s="248"/>
      <c r="AU177" s="248"/>
      <c r="AV177" s="248"/>
      <c r="AW177" s="248"/>
      <c r="AX177" s="248"/>
      <c r="AY177" s="248"/>
      <c r="AZ177" s="248"/>
      <c r="BA177" s="248"/>
      <c r="BB177" s="248"/>
      <c r="BC177" s="248"/>
      <c r="BD177" s="248"/>
      <c r="BE177" s="248"/>
      <c r="BF177" s="248"/>
      <c r="BG177" s="248"/>
      <c r="BH177" s="248"/>
      <c r="BI177" s="248"/>
      <c r="BJ177" s="248"/>
      <c r="BK177" s="248"/>
      <c r="BL177" s="248"/>
      <c r="BM177" s="248"/>
    </row>
    <row r="178" spans="1:65" s="320" customFormat="1" ht="26.25" customHeight="1" x14ac:dyDescent="0.2">
      <c r="A178" s="261"/>
      <c r="B178" s="323" t="s">
        <v>336</v>
      </c>
      <c r="C178" s="263"/>
      <c r="D178" s="263"/>
      <c r="E178" s="263"/>
      <c r="F178" s="273"/>
      <c r="G178" s="321">
        <f>SUM(G179:G182)</f>
        <v>2250</v>
      </c>
      <c r="H178" s="248"/>
      <c r="I178" s="248"/>
      <c r="J178" s="248"/>
      <c r="K178" s="248"/>
      <c r="L178" s="248"/>
      <c r="M178" s="248"/>
      <c r="N178" s="248"/>
      <c r="O178" s="248"/>
      <c r="P178" s="248"/>
      <c r="Q178" s="248"/>
      <c r="R178" s="248"/>
      <c r="S178" s="248"/>
      <c r="T178" s="248"/>
      <c r="U178" s="248"/>
      <c r="V178" s="248"/>
      <c r="W178" s="248"/>
      <c r="X178" s="248"/>
      <c r="Y178" s="248"/>
      <c r="Z178" s="248"/>
      <c r="AA178" s="248"/>
      <c r="AB178" s="248"/>
      <c r="AC178" s="248"/>
      <c r="AD178" s="248"/>
      <c r="AE178" s="248"/>
      <c r="AF178" s="248"/>
      <c r="AG178" s="248"/>
      <c r="AH178" s="248"/>
      <c r="AI178" s="248"/>
      <c r="AJ178" s="248"/>
      <c r="AK178" s="248"/>
      <c r="AL178" s="248"/>
      <c r="AM178" s="248"/>
      <c r="AN178" s="248"/>
      <c r="AO178" s="248"/>
      <c r="AP178" s="248"/>
      <c r="AQ178" s="248"/>
      <c r="AR178" s="248"/>
      <c r="AS178" s="248"/>
      <c r="AT178" s="248"/>
      <c r="AU178" s="248"/>
      <c r="AV178" s="248"/>
      <c r="AW178" s="248"/>
      <c r="AX178" s="248"/>
      <c r="AY178" s="248"/>
      <c r="AZ178" s="248"/>
      <c r="BA178" s="248"/>
      <c r="BB178" s="248"/>
      <c r="BC178" s="248"/>
      <c r="BD178" s="248"/>
      <c r="BE178" s="248"/>
      <c r="BF178" s="248"/>
      <c r="BG178" s="248"/>
      <c r="BH178" s="248"/>
      <c r="BI178" s="248"/>
      <c r="BJ178" s="248"/>
      <c r="BK178" s="248"/>
      <c r="BL178" s="248"/>
      <c r="BM178" s="248"/>
    </row>
    <row r="179" spans="1:65" s="320" customFormat="1" ht="15.75" customHeight="1" x14ac:dyDescent="0.2">
      <c r="A179" s="261"/>
      <c r="B179" s="262"/>
      <c r="C179" s="263"/>
      <c r="D179" s="263"/>
      <c r="E179" s="263" t="s">
        <v>306</v>
      </c>
      <c r="F179" s="273" t="s">
        <v>20</v>
      </c>
      <c r="G179" s="274">
        <v>1050</v>
      </c>
      <c r="H179" s="248"/>
      <c r="I179" s="248"/>
      <c r="J179" s="248"/>
      <c r="K179" s="248"/>
      <c r="L179" s="248"/>
      <c r="M179" s="248"/>
      <c r="N179" s="248"/>
      <c r="O179" s="248"/>
      <c r="P179" s="248"/>
      <c r="Q179" s="248"/>
      <c r="R179" s="248"/>
      <c r="S179" s="248"/>
      <c r="T179" s="248"/>
      <c r="U179" s="248"/>
      <c r="V179" s="248"/>
      <c r="W179" s="248"/>
      <c r="X179" s="248"/>
      <c r="Y179" s="248"/>
      <c r="Z179" s="248"/>
      <c r="AA179" s="248"/>
      <c r="AB179" s="248"/>
      <c r="AC179" s="248"/>
      <c r="AD179" s="248"/>
      <c r="AE179" s="248"/>
      <c r="AF179" s="248"/>
      <c r="AG179" s="248"/>
      <c r="AH179" s="248"/>
      <c r="AI179" s="248"/>
      <c r="AJ179" s="248"/>
      <c r="AK179" s="248"/>
      <c r="AL179" s="248"/>
      <c r="AM179" s="248"/>
      <c r="AN179" s="248"/>
      <c r="AO179" s="248"/>
      <c r="AP179" s="248"/>
      <c r="AQ179" s="248"/>
      <c r="AR179" s="248"/>
      <c r="AS179" s="248"/>
      <c r="AT179" s="248"/>
      <c r="AU179" s="248"/>
      <c r="AV179" s="248"/>
      <c r="AW179" s="248"/>
      <c r="AX179" s="248"/>
      <c r="AY179" s="248"/>
      <c r="AZ179" s="248"/>
      <c r="BA179" s="248"/>
      <c r="BB179" s="248"/>
      <c r="BC179" s="248"/>
      <c r="BD179" s="248"/>
      <c r="BE179" s="248"/>
      <c r="BF179" s="248"/>
      <c r="BG179" s="248"/>
      <c r="BH179" s="248"/>
      <c r="BI179" s="248"/>
      <c r="BJ179" s="248"/>
      <c r="BK179" s="248"/>
      <c r="BL179" s="248"/>
      <c r="BM179" s="248"/>
    </row>
    <row r="180" spans="1:65" s="320" customFormat="1" ht="15.75" customHeight="1" x14ac:dyDescent="0.2">
      <c r="A180" s="261"/>
      <c r="B180" s="262"/>
      <c r="C180" s="280"/>
      <c r="D180" s="263"/>
      <c r="E180" s="263" t="s">
        <v>291</v>
      </c>
      <c r="F180" s="273" t="s">
        <v>20</v>
      </c>
      <c r="G180" s="274">
        <v>730</v>
      </c>
      <c r="H180" s="248"/>
      <c r="I180" s="248"/>
      <c r="J180" s="248"/>
      <c r="K180" s="248"/>
      <c r="L180" s="248"/>
      <c r="M180" s="248"/>
      <c r="N180" s="248"/>
      <c r="O180" s="248"/>
      <c r="P180" s="248"/>
      <c r="Q180" s="248"/>
      <c r="R180" s="248"/>
      <c r="S180" s="248"/>
      <c r="T180" s="248"/>
      <c r="U180" s="248"/>
      <c r="V180" s="248"/>
      <c r="W180" s="248"/>
      <c r="X180" s="248"/>
      <c r="Y180" s="248"/>
      <c r="Z180" s="248"/>
      <c r="AA180" s="248"/>
      <c r="AB180" s="248"/>
      <c r="AC180" s="248"/>
      <c r="AD180" s="248"/>
      <c r="AE180" s="248"/>
      <c r="AF180" s="248"/>
      <c r="AG180" s="248"/>
      <c r="AH180" s="248"/>
      <c r="AI180" s="248"/>
      <c r="AJ180" s="248"/>
      <c r="AK180" s="248"/>
      <c r="AL180" s="248"/>
      <c r="AM180" s="248"/>
      <c r="AN180" s="248"/>
      <c r="AO180" s="248"/>
      <c r="AP180" s="248"/>
      <c r="AQ180" s="248"/>
      <c r="AR180" s="248"/>
      <c r="AS180" s="248"/>
      <c r="AT180" s="248"/>
      <c r="AU180" s="248"/>
      <c r="AV180" s="248"/>
      <c r="AW180" s="248"/>
      <c r="AX180" s="248"/>
      <c r="AY180" s="248"/>
      <c r="AZ180" s="248"/>
      <c r="BA180" s="248"/>
      <c r="BB180" s="248"/>
      <c r="BC180" s="248"/>
      <c r="BD180" s="248"/>
      <c r="BE180" s="248"/>
      <c r="BF180" s="248"/>
      <c r="BG180" s="248"/>
      <c r="BH180" s="248"/>
      <c r="BI180" s="248"/>
      <c r="BJ180" s="248"/>
      <c r="BK180" s="248"/>
      <c r="BL180" s="248"/>
      <c r="BM180" s="248"/>
    </row>
    <row r="181" spans="1:65" s="320" customFormat="1" ht="15.75" customHeight="1" x14ac:dyDescent="0.2">
      <c r="A181" s="261"/>
      <c r="B181" s="262"/>
      <c r="C181" s="280"/>
      <c r="D181" s="263"/>
      <c r="E181" s="263" t="s">
        <v>295</v>
      </c>
      <c r="F181" s="273" t="s">
        <v>20</v>
      </c>
      <c r="G181" s="274">
        <v>340</v>
      </c>
      <c r="H181" s="248"/>
      <c r="I181" s="248"/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Z181" s="248"/>
      <c r="AA181" s="248"/>
      <c r="AB181" s="248"/>
      <c r="AC181" s="248"/>
      <c r="AD181" s="248"/>
      <c r="AE181" s="248"/>
      <c r="AF181" s="248"/>
      <c r="AG181" s="248"/>
      <c r="AH181" s="248"/>
      <c r="AI181" s="248"/>
      <c r="AJ181" s="248"/>
      <c r="AK181" s="248"/>
      <c r="AL181" s="248"/>
      <c r="AM181" s="248"/>
      <c r="AN181" s="248"/>
      <c r="AO181" s="248"/>
      <c r="AP181" s="248"/>
      <c r="AQ181" s="248"/>
      <c r="AR181" s="248"/>
      <c r="AS181" s="248"/>
      <c r="AT181" s="248"/>
      <c r="AU181" s="248"/>
      <c r="AV181" s="248"/>
      <c r="AW181" s="248"/>
      <c r="AX181" s="248"/>
      <c r="AY181" s="248"/>
      <c r="AZ181" s="248"/>
      <c r="BA181" s="248"/>
      <c r="BB181" s="248"/>
      <c r="BC181" s="248"/>
      <c r="BD181" s="248"/>
      <c r="BE181" s="248"/>
      <c r="BF181" s="248"/>
      <c r="BG181" s="248"/>
      <c r="BH181" s="248"/>
      <c r="BI181" s="248"/>
      <c r="BJ181" s="248"/>
      <c r="BK181" s="248"/>
      <c r="BL181" s="248"/>
      <c r="BM181" s="248"/>
    </row>
    <row r="182" spans="1:65" s="320" customFormat="1" ht="15.75" customHeight="1" x14ac:dyDescent="0.2">
      <c r="A182" s="261"/>
      <c r="B182" s="262"/>
      <c r="C182" s="280"/>
      <c r="D182" s="263"/>
      <c r="E182" s="263" t="s">
        <v>296</v>
      </c>
      <c r="F182" s="273" t="s">
        <v>20</v>
      </c>
      <c r="G182" s="274">
        <v>130</v>
      </c>
      <c r="H182" s="248"/>
      <c r="I182" s="248"/>
      <c r="J182" s="248"/>
      <c r="K182" s="248"/>
      <c r="L182" s="248"/>
      <c r="M182" s="248"/>
      <c r="N182" s="248"/>
      <c r="O182" s="248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  <c r="Z182" s="248"/>
      <c r="AA182" s="248"/>
      <c r="AB182" s="248"/>
      <c r="AC182" s="248"/>
      <c r="AD182" s="248"/>
      <c r="AE182" s="248"/>
      <c r="AF182" s="248"/>
      <c r="AG182" s="248"/>
      <c r="AH182" s="248"/>
      <c r="AI182" s="248"/>
      <c r="AJ182" s="248"/>
      <c r="AK182" s="248"/>
      <c r="AL182" s="248"/>
      <c r="AM182" s="248"/>
      <c r="AN182" s="248"/>
      <c r="AO182" s="248"/>
      <c r="AP182" s="248"/>
      <c r="AQ182" s="248"/>
      <c r="AR182" s="248"/>
      <c r="AS182" s="248"/>
      <c r="AT182" s="248"/>
      <c r="AU182" s="248"/>
      <c r="AV182" s="248"/>
      <c r="AW182" s="248"/>
      <c r="AX182" s="248"/>
      <c r="AY182" s="248"/>
      <c r="AZ182" s="248"/>
      <c r="BA182" s="248"/>
      <c r="BB182" s="248"/>
      <c r="BC182" s="248"/>
      <c r="BD182" s="248"/>
      <c r="BE182" s="248"/>
      <c r="BF182" s="248"/>
      <c r="BG182" s="248"/>
      <c r="BH182" s="248"/>
      <c r="BI182" s="248"/>
      <c r="BJ182" s="248"/>
      <c r="BK182" s="248"/>
      <c r="BL182" s="248"/>
      <c r="BM182" s="248"/>
    </row>
    <row r="183" spans="1:65" s="320" customFormat="1" ht="15.75" customHeight="1" x14ac:dyDescent="0.2">
      <c r="A183" s="275"/>
      <c r="B183" s="276"/>
      <c r="C183" s="277"/>
      <c r="D183" s="264"/>
      <c r="E183" s="264"/>
      <c r="F183" s="266"/>
      <c r="G183" s="278"/>
      <c r="H183" s="248"/>
      <c r="I183" s="248"/>
      <c r="J183" s="248"/>
      <c r="K183" s="248"/>
      <c r="L183" s="248"/>
      <c r="M183" s="248"/>
      <c r="N183" s="248"/>
      <c r="O183" s="248"/>
      <c r="P183" s="248"/>
      <c r="Q183" s="248"/>
      <c r="R183" s="248"/>
      <c r="S183" s="248"/>
      <c r="T183" s="248"/>
      <c r="U183" s="248"/>
      <c r="V183" s="248"/>
      <c r="W183" s="248"/>
      <c r="X183" s="248"/>
      <c r="Y183" s="248"/>
      <c r="Z183" s="248"/>
      <c r="AA183" s="248"/>
      <c r="AB183" s="248"/>
      <c r="AC183" s="248"/>
      <c r="AD183" s="248"/>
      <c r="AE183" s="248"/>
      <c r="AF183" s="248"/>
      <c r="AG183" s="248"/>
      <c r="AH183" s="248"/>
      <c r="AI183" s="248"/>
      <c r="AJ183" s="248"/>
      <c r="AK183" s="248"/>
      <c r="AL183" s="248"/>
      <c r="AM183" s="248"/>
      <c r="AN183" s="248"/>
      <c r="AO183" s="248"/>
      <c r="AP183" s="248"/>
      <c r="AQ183" s="248"/>
      <c r="AR183" s="248"/>
      <c r="AS183" s="248"/>
      <c r="AT183" s="248"/>
      <c r="AU183" s="248"/>
      <c r="AV183" s="248"/>
      <c r="AW183" s="248"/>
      <c r="AX183" s="248"/>
      <c r="AY183" s="248"/>
      <c r="AZ183" s="248"/>
      <c r="BA183" s="248"/>
      <c r="BB183" s="248"/>
      <c r="BC183" s="248"/>
      <c r="BD183" s="248"/>
      <c r="BE183" s="248"/>
      <c r="BF183" s="248"/>
      <c r="BG183" s="248"/>
      <c r="BH183" s="248"/>
      <c r="BI183" s="248"/>
      <c r="BJ183" s="248"/>
      <c r="BK183" s="248"/>
      <c r="BL183" s="248"/>
      <c r="BM183" s="248"/>
    </row>
    <row r="184" spans="1:65" s="320" customFormat="1" ht="15.75" customHeight="1" x14ac:dyDescent="0.2">
      <c r="A184" s="261"/>
      <c r="B184" s="262"/>
      <c r="C184" s="263"/>
      <c r="D184" s="263"/>
      <c r="E184" s="264" t="s">
        <v>37</v>
      </c>
      <c r="F184" s="265">
        <f>717+713+330+1050+539</f>
        <v>3349</v>
      </c>
      <c r="G184" s="266" t="s">
        <v>20</v>
      </c>
      <c r="H184" s="248"/>
      <c r="I184" s="248"/>
      <c r="J184" s="248"/>
      <c r="K184" s="248"/>
      <c r="L184" s="248"/>
      <c r="M184" s="248"/>
      <c r="N184" s="248"/>
      <c r="O184" s="248"/>
      <c r="P184" s="248"/>
      <c r="Q184" s="248"/>
      <c r="R184" s="248"/>
      <c r="S184" s="248"/>
      <c r="T184" s="248"/>
      <c r="U184" s="248"/>
      <c r="V184" s="248"/>
      <c r="W184" s="248"/>
      <c r="X184" s="248"/>
      <c r="Y184" s="248"/>
      <c r="Z184" s="248"/>
      <c r="AA184" s="248"/>
      <c r="AB184" s="248"/>
      <c r="AC184" s="248"/>
      <c r="AD184" s="248"/>
      <c r="AE184" s="248"/>
      <c r="AF184" s="248"/>
      <c r="AG184" s="248"/>
      <c r="AH184" s="248"/>
      <c r="AI184" s="248"/>
      <c r="AJ184" s="248"/>
      <c r="AK184" s="248"/>
      <c r="AL184" s="248"/>
      <c r="AM184" s="248"/>
      <c r="AN184" s="248"/>
      <c r="AO184" s="248"/>
      <c r="AP184" s="248"/>
      <c r="AQ184" s="248"/>
      <c r="AR184" s="248"/>
      <c r="AS184" s="248"/>
      <c r="AT184" s="248"/>
      <c r="AU184" s="248"/>
      <c r="AV184" s="248"/>
      <c r="AW184" s="248"/>
      <c r="AX184" s="248"/>
      <c r="AY184" s="248"/>
      <c r="AZ184" s="248"/>
      <c r="BA184" s="248"/>
      <c r="BB184" s="248"/>
      <c r="BC184" s="248"/>
      <c r="BD184" s="248"/>
      <c r="BE184" s="248"/>
      <c r="BF184" s="248"/>
      <c r="BG184" s="248"/>
      <c r="BH184" s="248"/>
      <c r="BI184" s="248"/>
      <c r="BJ184" s="248"/>
      <c r="BK184" s="248"/>
      <c r="BL184" s="248"/>
      <c r="BM184" s="248"/>
    </row>
    <row r="185" spans="1:65" s="320" customFormat="1" ht="15.75" customHeight="1" x14ac:dyDescent="0.2">
      <c r="A185" s="267" t="s">
        <v>272</v>
      </c>
      <c r="B185" s="279" t="s">
        <v>337</v>
      </c>
      <c r="C185" s="263" t="s">
        <v>78</v>
      </c>
      <c r="D185" s="263" t="s">
        <v>338</v>
      </c>
      <c r="E185" s="269" t="s">
        <v>20</v>
      </c>
      <c r="F185" s="270" t="s">
        <v>20</v>
      </c>
      <c r="G185" s="271">
        <f>SUM(G187)</f>
        <v>3349</v>
      </c>
      <c r="H185" s="248"/>
      <c r="I185" s="248"/>
      <c r="J185" s="248"/>
      <c r="K185" s="248"/>
      <c r="L185" s="248"/>
      <c r="M185" s="248"/>
      <c r="N185" s="248"/>
      <c r="O185" s="248"/>
      <c r="P185" s="248"/>
      <c r="Q185" s="248"/>
      <c r="R185" s="248"/>
      <c r="S185" s="248"/>
      <c r="T185" s="248"/>
      <c r="U185" s="248"/>
      <c r="V185" s="248"/>
      <c r="W185" s="248"/>
      <c r="X185" s="248"/>
      <c r="Y185" s="248"/>
      <c r="Z185" s="248"/>
      <c r="AA185" s="248"/>
      <c r="AB185" s="248"/>
      <c r="AC185" s="248"/>
      <c r="AD185" s="248"/>
      <c r="AE185" s="248"/>
      <c r="AF185" s="248"/>
      <c r="AG185" s="248"/>
      <c r="AH185" s="248"/>
      <c r="AI185" s="248"/>
      <c r="AJ185" s="248"/>
      <c r="AK185" s="248"/>
      <c r="AL185" s="248"/>
      <c r="AM185" s="248"/>
      <c r="AN185" s="248"/>
      <c r="AO185" s="248"/>
      <c r="AP185" s="248"/>
      <c r="AQ185" s="248"/>
      <c r="AR185" s="248"/>
      <c r="AS185" s="248"/>
      <c r="AT185" s="248"/>
      <c r="AU185" s="248"/>
      <c r="AV185" s="248"/>
      <c r="AW185" s="248"/>
      <c r="AX185" s="248"/>
      <c r="AY185" s="248"/>
      <c r="AZ185" s="248"/>
      <c r="BA185" s="248"/>
      <c r="BB185" s="248"/>
      <c r="BC185" s="248"/>
      <c r="BD185" s="248"/>
      <c r="BE185" s="248"/>
      <c r="BF185" s="248"/>
      <c r="BG185" s="248"/>
      <c r="BH185" s="248"/>
      <c r="BI185" s="248"/>
      <c r="BJ185" s="248"/>
      <c r="BK185" s="248"/>
      <c r="BL185" s="248"/>
      <c r="BM185" s="248"/>
    </row>
    <row r="186" spans="1:65" s="320" customFormat="1" ht="12" customHeight="1" x14ac:dyDescent="0.2">
      <c r="A186" s="261"/>
      <c r="B186" s="272"/>
      <c r="C186" s="263"/>
      <c r="D186" s="263"/>
      <c r="E186" s="263"/>
      <c r="F186" s="273"/>
      <c r="G186" s="321"/>
      <c r="H186" s="248"/>
      <c r="I186" s="248"/>
      <c r="J186" s="248"/>
      <c r="K186" s="248"/>
      <c r="L186" s="248"/>
      <c r="M186" s="248"/>
      <c r="N186" s="248"/>
      <c r="O186" s="248"/>
      <c r="P186" s="248"/>
      <c r="Q186" s="248"/>
      <c r="R186" s="248"/>
      <c r="S186" s="248"/>
      <c r="T186" s="248"/>
      <c r="U186" s="248"/>
      <c r="V186" s="248"/>
      <c r="W186" s="248"/>
      <c r="X186" s="248"/>
      <c r="Y186" s="248"/>
      <c r="Z186" s="248"/>
      <c r="AA186" s="248"/>
      <c r="AB186" s="248"/>
      <c r="AC186" s="248"/>
      <c r="AD186" s="248"/>
      <c r="AE186" s="248"/>
      <c r="AF186" s="248"/>
      <c r="AG186" s="248"/>
      <c r="AH186" s="248"/>
      <c r="AI186" s="248"/>
      <c r="AJ186" s="248"/>
      <c r="AK186" s="248"/>
      <c r="AL186" s="248"/>
      <c r="AM186" s="248"/>
      <c r="AN186" s="248"/>
      <c r="AO186" s="248"/>
      <c r="AP186" s="248"/>
      <c r="AQ186" s="248"/>
      <c r="AR186" s="248"/>
      <c r="AS186" s="248"/>
      <c r="AT186" s="248"/>
      <c r="AU186" s="248"/>
      <c r="AV186" s="248"/>
      <c r="AW186" s="248"/>
      <c r="AX186" s="248"/>
      <c r="AY186" s="248"/>
      <c r="AZ186" s="248"/>
      <c r="BA186" s="248"/>
      <c r="BB186" s="248"/>
      <c r="BC186" s="248"/>
      <c r="BD186" s="248"/>
      <c r="BE186" s="248"/>
      <c r="BF186" s="248"/>
      <c r="BG186" s="248"/>
      <c r="BH186" s="248"/>
      <c r="BI186" s="248"/>
      <c r="BJ186" s="248"/>
      <c r="BK186" s="248"/>
      <c r="BL186" s="248"/>
      <c r="BM186" s="248"/>
    </row>
    <row r="187" spans="1:65" s="320" customFormat="1" ht="15.75" customHeight="1" x14ac:dyDescent="0.2">
      <c r="A187" s="261"/>
      <c r="B187" s="322" t="s">
        <v>80</v>
      </c>
      <c r="C187" s="263"/>
      <c r="D187" s="263"/>
      <c r="E187" s="263"/>
      <c r="F187" s="273"/>
      <c r="G187" s="321">
        <f>SUM(G188:G188)</f>
        <v>3349</v>
      </c>
      <c r="H187" s="248"/>
      <c r="I187" s="248"/>
      <c r="J187" s="248"/>
      <c r="K187" s="248"/>
      <c r="L187" s="248"/>
      <c r="M187" s="248"/>
      <c r="N187" s="248"/>
      <c r="O187" s="248"/>
      <c r="P187" s="248"/>
      <c r="Q187" s="248"/>
      <c r="R187" s="248"/>
      <c r="S187" s="248"/>
      <c r="T187" s="248"/>
      <c r="U187" s="248"/>
      <c r="V187" s="248"/>
      <c r="W187" s="248"/>
      <c r="X187" s="248"/>
      <c r="Y187" s="248"/>
      <c r="Z187" s="248"/>
      <c r="AA187" s="248"/>
      <c r="AB187" s="248"/>
      <c r="AC187" s="248"/>
      <c r="AD187" s="248"/>
      <c r="AE187" s="248"/>
      <c r="AF187" s="248"/>
      <c r="AG187" s="248"/>
      <c r="AH187" s="248"/>
      <c r="AI187" s="248"/>
      <c r="AJ187" s="248"/>
      <c r="AK187" s="248"/>
      <c r="AL187" s="248"/>
      <c r="AM187" s="248"/>
      <c r="AN187" s="248"/>
      <c r="AO187" s="248"/>
      <c r="AP187" s="248"/>
      <c r="AQ187" s="248"/>
      <c r="AR187" s="248"/>
      <c r="AS187" s="248"/>
      <c r="AT187" s="248"/>
      <c r="AU187" s="248"/>
      <c r="AV187" s="248"/>
      <c r="AW187" s="248"/>
      <c r="AX187" s="248"/>
      <c r="AY187" s="248"/>
      <c r="AZ187" s="248"/>
      <c r="BA187" s="248"/>
      <c r="BB187" s="248"/>
      <c r="BC187" s="248"/>
      <c r="BD187" s="248"/>
      <c r="BE187" s="248"/>
      <c r="BF187" s="248"/>
      <c r="BG187" s="248"/>
      <c r="BH187" s="248"/>
      <c r="BI187" s="248"/>
      <c r="BJ187" s="248"/>
      <c r="BK187" s="248"/>
      <c r="BL187" s="248"/>
      <c r="BM187" s="248"/>
    </row>
    <row r="188" spans="1:65" s="320" customFormat="1" ht="15.75" customHeight="1" x14ac:dyDescent="0.2">
      <c r="A188" s="261"/>
      <c r="B188" s="262"/>
      <c r="C188" s="280"/>
      <c r="D188" s="263"/>
      <c r="E188" s="263" t="s">
        <v>290</v>
      </c>
      <c r="F188" s="273" t="s">
        <v>20</v>
      </c>
      <c r="G188" s="274">
        <f>717+713+330+1050+539</f>
        <v>3349</v>
      </c>
      <c r="H188" s="248"/>
      <c r="I188" s="248"/>
      <c r="J188" s="248"/>
      <c r="K188" s="248"/>
      <c r="L188" s="248"/>
      <c r="M188" s="248"/>
      <c r="N188" s="248"/>
      <c r="O188" s="248"/>
      <c r="P188" s="248"/>
      <c r="Q188" s="248"/>
      <c r="R188" s="248"/>
      <c r="S188" s="248"/>
      <c r="T188" s="248"/>
      <c r="U188" s="248"/>
      <c r="V188" s="248"/>
      <c r="W188" s="248"/>
      <c r="X188" s="248"/>
      <c r="Y188" s="248"/>
      <c r="Z188" s="248"/>
      <c r="AA188" s="248"/>
      <c r="AB188" s="248"/>
      <c r="AC188" s="248"/>
      <c r="AD188" s="248"/>
      <c r="AE188" s="248"/>
      <c r="AF188" s="248"/>
      <c r="AG188" s="248"/>
      <c r="AH188" s="248"/>
      <c r="AI188" s="248"/>
      <c r="AJ188" s="248"/>
      <c r="AK188" s="248"/>
      <c r="AL188" s="248"/>
      <c r="AM188" s="248"/>
      <c r="AN188" s="248"/>
      <c r="AO188" s="248"/>
      <c r="AP188" s="248"/>
      <c r="AQ188" s="248"/>
      <c r="AR188" s="248"/>
      <c r="AS188" s="248"/>
      <c r="AT188" s="248"/>
      <c r="AU188" s="248"/>
      <c r="AV188" s="248"/>
      <c r="AW188" s="248"/>
      <c r="AX188" s="248"/>
      <c r="AY188" s="248"/>
      <c r="AZ188" s="248"/>
      <c r="BA188" s="248"/>
      <c r="BB188" s="248"/>
      <c r="BC188" s="248"/>
      <c r="BD188" s="248"/>
      <c r="BE188" s="248"/>
      <c r="BF188" s="248"/>
      <c r="BG188" s="248"/>
      <c r="BH188" s="248"/>
      <c r="BI188" s="248"/>
      <c r="BJ188" s="248"/>
      <c r="BK188" s="248"/>
      <c r="BL188" s="248"/>
      <c r="BM188" s="248"/>
    </row>
    <row r="189" spans="1:65" s="320" customFormat="1" ht="15.75" customHeight="1" x14ac:dyDescent="0.2">
      <c r="A189" s="275"/>
      <c r="B189" s="276"/>
      <c r="C189" s="277"/>
      <c r="D189" s="264"/>
      <c r="E189" s="264"/>
      <c r="F189" s="266"/>
      <c r="G189" s="278"/>
      <c r="H189" s="248"/>
      <c r="I189" s="248"/>
      <c r="J189" s="248"/>
      <c r="K189" s="248"/>
      <c r="L189" s="248"/>
      <c r="M189" s="248"/>
      <c r="N189" s="248"/>
      <c r="O189" s="248"/>
      <c r="P189" s="248"/>
      <c r="Q189" s="248"/>
      <c r="R189" s="248"/>
      <c r="S189" s="248"/>
      <c r="T189" s="248"/>
      <c r="U189" s="248"/>
      <c r="V189" s="248"/>
      <c r="W189" s="248"/>
      <c r="X189" s="248"/>
      <c r="Y189" s="248"/>
      <c r="Z189" s="248"/>
      <c r="AA189" s="248"/>
      <c r="AB189" s="248"/>
      <c r="AC189" s="248"/>
      <c r="AD189" s="248"/>
      <c r="AE189" s="248"/>
      <c r="AF189" s="248"/>
      <c r="AG189" s="248"/>
      <c r="AH189" s="248"/>
      <c r="AI189" s="248"/>
      <c r="AJ189" s="248"/>
      <c r="AK189" s="248"/>
      <c r="AL189" s="248"/>
      <c r="AM189" s="248"/>
      <c r="AN189" s="248"/>
      <c r="AO189" s="248"/>
      <c r="AP189" s="248"/>
      <c r="AQ189" s="248"/>
      <c r="AR189" s="248"/>
      <c r="AS189" s="248"/>
      <c r="AT189" s="248"/>
      <c r="AU189" s="248"/>
      <c r="AV189" s="248"/>
      <c r="AW189" s="248"/>
      <c r="AX189" s="248"/>
      <c r="AY189" s="248"/>
      <c r="AZ189" s="248"/>
      <c r="BA189" s="248"/>
      <c r="BB189" s="248"/>
      <c r="BC189" s="248"/>
      <c r="BD189" s="248"/>
      <c r="BE189" s="248"/>
      <c r="BF189" s="248"/>
      <c r="BG189" s="248"/>
      <c r="BH189" s="248"/>
      <c r="BI189" s="248"/>
      <c r="BJ189" s="248"/>
      <c r="BK189" s="248"/>
      <c r="BL189" s="248"/>
      <c r="BM189" s="248"/>
    </row>
    <row r="190" spans="1:65" s="320" customFormat="1" ht="9" customHeight="1" x14ac:dyDescent="0.2">
      <c r="A190" s="261"/>
      <c r="B190" s="262"/>
      <c r="C190" s="280"/>
      <c r="D190" s="263"/>
      <c r="E190" s="263"/>
      <c r="F190" s="273"/>
      <c r="G190" s="274"/>
      <c r="H190" s="248"/>
      <c r="I190" s="248"/>
      <c r="J190" s="248"/>
      <c r="K190" s="248"/>
      <c r="L190" s="248"/>
      <c r="M190" s="248"/>
      <c r="N190" s="248"/>
      <c r="O190" s="248"/>
      <c r="P190" s="248"/>
      <c r="Q190" s="248"/>
      <c r="R190" s="248"/>
      <c r="S190" s="248"/>
      <c r="T190" s="248"/>
      <c r="U190" s="248"/>
      <c r="V190" s="248"/>
      <c r="W190" s="248"/>
      <c r="X190" s="248"/>
      <c r="Y190" s="248"/>
      <c r="Z190" s="248"/>
      <c r="AA190" s="248"/>
      <c r="AB190" s="248"/>
      <c r="AC190" s="248"/>
      <c r="AD190" s="248"/>
      <c r="AE190" s="248"/>
      <c r="AF190" s="248"/>
      <c r="AG190" s="248"/>
      <c r="AH190" s="248"/>
      <c r="AI190" s="248"/>
      <c r="AJ190" s="248"/>
      <c r="AK190" s="248"/>
      <c r="AL190" s="248"/>
      <c r="AM190" s="248"/>
      <c r="AN190" s="248"/>
      <c r="AO190" s="248"/>
      <c r="AP190" s="248"/>
      <c r="AQ190" s="248"/>
      <c r="AR190" s="248"/>
      <c r="AS190" s="248"/>
      <c r="AT190" s="248"/>
      <c r="AU190" s="248"/>
      <c r="AV190" s="248"/>
      <c r="AW190" s="248"/>
      <c r="AX190" s="248"/>
      <c r="AY190" s="248"/>
      <c r="AZ190" s="248"/>
      <c r="BA190" s="248"/>
      <c r="BB190" s="248"/>
      <c r="BC190" s="248"/>
      <c r="BD190" s="248"/>
      <c r="BE190" s="248"/>
      <c r="BF190" s="248"/>
      <c r="BG190" s="248"/>
      <c r="BH190" s="248"/>
      <c r="BI190" s="248"/>
      <c r="BJ190" s="248"/>
      <c r="BK190" s="248"/>
      <c r="BL190" s="248"/>
      <c r="BM190" s="248"/>
    </row>
    <row r="191" spans="1:65" s="320" customFormat="1" ht="15.75" customHeight="1" x14ac:dyDescent="0.2">
      <c r="A191" s="261"/>
      <c r="B191" s="262"/>
      <c r="C191" s="263"/>
      <c r="D191" s="263"/>
      <c r="E191" s="264" t="s">
        <v>37</v>
      </c>
      <c r="F191" s="265">
        <v>110000</v>
      </c>
      <c r="G191" s="266" t="s">
        <v>20</v>
      </c>
      <c r="H191" s="248"/>
      <c r="I191" s="248"/>
      <c r="J191" s="248"/>
      <c r="K191" s="248"/>
      <c r="L191" s="248"/>
      <c r="M191" s="248"/>
      <c r="N191" s="248"/>
      <c r="O191" s="248"/>
      <c r="P191" s="248"/>
      <c r="Q191" s="248"/>
      <c r="R191" s="248"/>
      <c r="S191" s="248"/>
      <c r="T191" s="248"/>
      <c r="U191" s="248"/>
      <c r="V191" s="248"/>
      <c r="W191" s="248"/>
      <c r="X191" s="248"/>
      <c r="Y191" s="248"/>
      <c r="Z191" s="248"/>
      <c r="AA191" s="248"/>
      <c r="AB191" s="248"/>
      <c r="AC191" s="248"/>
      <c r="AD191" s="248"/>
      <c r="AE191" s="248"/>
      <c r="AF191" s="248"/>
      <c r="AG191" s="248"/>
      <c r="AH191" s="248"/>
      <c r="AI191" s="248"/>
      <c r="AJ191" s="248"/>
      <c r="AK191" s="248"/>
      <c r="AL191" s="248"/>
      <c r="AM191" s="248"/>
      <c r="AN191" s="248"/>
      <c r="AO191" s="248"/>
      <c r="AP191" s="248"/>
      <c r="AQ191" s="248"/>
      <c r="AR191" s="248"/>
      <c r="AS191" s="248"/>
      <c r="AT191" s="248"/>
      <c r="AU191" s="248"/>
      <c r="AV191" s="248"/>
      <c r="AW191" s="248"/>
      <c r="AX191" s="248"/>
      <c r="AY191" s="248"/>
      <c r="AZ191" s="248"/>
      <c r="BA191" s="248"/>
      <c r="BB191" s="248"/>
      <c r="BC191" s="248"/>
      <c r="BD191" s="248"/>
      <c r="BE191" s="248"/>
      <c r="BF191" s="248"/>
      <c r="BG191" s="248"/>
      <c r="BH191" s="248"/>
      <c r="BI191" s="248"/>
      <c r="BJ191" s="248"/>
      <c r="BK191" s="248"/>
      <c r="BL191" s="248"/>
      <c r="BM191" s="248"/>
    </row>
    <row r="192" spans="1:65" s="320" customFormat="1" ht="15.75" customHeight="1" x14ac:dyDescent="0.2">
      <c r="A192" s="267" t="s">
        <v>275</v>
      </c>
      <c r="B192" s="279" t="s">
        <v>339</v>
      </c>
      <c r="C192" s="263" t="s">
        <v>318</v>
      </c>
      <c r="D192" s="263" t="s">
        <v>340</v>
      </c>
      <c r="E192" s="269" t="s">
        <v>20</v>
      </c>
      <c r="F192" s="270" t="s">
        <v>20</v>
      </c>
      <c r="G192" s="271">
        <f>SUM(G194)</f>
        <v>110000</v>
      </c>
      <c r="H192" s="248"/>
      <c r="I192" s="248"/>
      <c r="J192" s="248"/>
      <c r="K192" s="248"/>
      <c r="L192" s="248"/>
      <c r="M192" s="248"/>
      <c r="N192" s="248"/>
      <c r="O192" s="248"/>
      <c r="P192" s="248"/>
      <c r="Q192" s="248"/>
      <c r="R192" s="248"/>
      <c r="S192" s="248"/>
      <c r="T192" s="248"/>
      <c r="U192" s="248"/>
      <c r="V192" s="248"/>
      <c r="W192" s="248"/>
      <c r="X192" s="248"/>
      <c r="Y192" s="248"/>
      <c r="Z192" s="248"/>
      <c r="AA192" s="248"/>
      <c r="AB192" s="248"/>
      <c r="AC192" s="248"/>
      <c r="AD192" s="248"/>
      <c r="AE192" s="248"/>
      <c r="AF192" s="248"/>
      <c r="AG192" s="248"/>
      <c r="AH192" s="248"/>
      <c r="AI192" s="248"/>
      <c r="AJ192" s="248"/>
      <c r="AK192" s="248"/>
      <c r="AL192" s="248"/>
      <c r="AM192" s="248"/>
      <c r="AN192" s="248"/>
      <c r="AO192" s="248"/>
      <c r="AP192" s="248"/>
      <c r="AQ192" s="248"/>
      <c r="AR192" s="248"/>
      <c r="AS192" s="248"/>
      <c r="AT192" s="248"/>
      <c r="AU192" s="248"/>
      <c r="AV192" s="248"/>
      <c r="AW192" s="248"/>
      <c r="AX192" s="248"/>
      <c r="AY192" s="248"/>
      <c r="AZ192" s="248"/>
      <c r="BA192" s="248"/>
      <c r="BB192" s="248"/>
      <c r="BC192" s="248"/>
      <c r="BD192" s="248"/>
      <c r="BE192" s="248"/>
      <c r="BF192" s="248"/>
      <c r="BG192" s="248"/>
      <c r="BH192" s="248"/>
      <c r="BI192" s="248"/>
      <c r="BJ192" s="248"/>
      <c r="BK192" s="248"/>
      <c r="BL192" s="248"/>
      <c r="BM192" s="248"/>
    </row>
    <row r="193" spans="1:65" s="320" customFormat="1" ht="15.75" customHeight="1" x14ac:dyDescent="0.2">
      <c r="A193" s="261"/>
      <c r="B193" s="272"/>
      <c r="C193" s="263"/>
      <c r="D193" s="263"/>
      <c r="E193" s="263"/>
      <c r="F193" s="273"/>
      <c r="G193" s="321"/>
      <c r="H193" s="248"/>
      <c r="I193" s="248"/>
      <c r="J193" s="248"/>
      <c r="K193" s="248"/>
      <c r="L193" s="248"/>
      <c r="M193" s="248"/>
      <c r="N193" s="248"/>
      <c r="O193" s="248"/>
      <c r="P193" s="248"/>
      <c r="Q193" s="248"/>
      <c r="R193" s="248"/>
      <c r="S193" s="248"/>
      <c r="T193" s="248"/>
      <c r="U193" s="248"/>
      <c r="V193" s="248"/>
      <c r="W193" s="248"/>
      <c r="X193" s="248"/>
      <c r="Y193" s="248"/>
      <c r="Z193" s="248"/>
      <c r="AA193" s="248"/>
      <c r="AB193" s="248"/>
      <c r="AC193" s="248"/>
      <c r="AD193" s="248"/>
      <c r="AE193" s="248"/>
      <c r="AF193" s="248"/>
      <c r="AG193" s="248"/>
      <c r="AH193" s="248"/>
      <c r="AI193" s="248"/>
      <c r="AJ193" s="248"/>
      <c r="AK193" s="248"/>
      <c r="AL193" s="248"/>
      <c r="AM193" s="248"/>
      <c r="AN193" s="248"/>
      <c r="AO193" s="248"/>
      <c r="AP193" s="248"/>
      <c r="AQ193" s="248"/>
      <c r="AR193" s="248"/>
      <c r="AS193" s="248"/>
      <c r="AT193" s="248"/>
      <c r="AU193" s="248"/>
      <c r="AV193" s="248"/>
      <c r="AW193" s="248"/>
      <c r="AX193" s="248"/>
      <c r="AY193" s="248"/>
      <c r="AZ193" s="248"/>
      <c r="BA193" s="248"/>
      <c r="BB193" s="248"/>
      <c r="BC193" s="248"/>
      <c r="BD193" s="248"/>
      <c r="BE193" s="248"/>
      <c r="BF193" s="248"/>
      <c r="BG193" s="248"/>
      <c r="BH193" s="248"/>
      <c r="BI193" s="248"/>
      <c r="BJ193" s="248"/>
      <c r="BK193" s="248"/>
      <c r="BL193" s="248"/>
      <c r="BM193" s="248"/>
    </row>
    <row r="194" spans="1:65" s="320" customFormat="1" ht="15.75" customHeight="1" x14ac:dyDescent="0.2">
      <c r="A194" s="261"/>
      <c r="B194" s="322" t="s">
        <v>311</v>
      </c>
      <c r="C194" s="263"/>
      <c r="D194" s="263"/>
      <c r="E194" s="263"/>
      <c r="F194" s="273"/>
      <c r="G194" s="321">
        <f>SUM(G195:G195)</f>
        <v>110000</v>
      </c>
      <c r="H194" s="248"/>
      <c r="I194" s="248"/>
      <c r="J194" s="248"/>
      <c r="K194" s="248"/>
      <c r="L194" s="248"/>
      <c r="M194" s="248"/>
      <c r="N194" s="248"/>
      <c r="O194" s="248"/>
      <c r="P194" s="248"/>
      <c r="Q194" s="248"/>
      <c r="R194" s="248"/>
      <c r="S194" s="248"/>
      <c r="T194" s="248"/>
      <c r="U194" s="248"/>
      <c r="V194" s="248"/>
      <c r="W194" s="248"/>
      <c r="X194" s="248"/>
      <c r="Y194" s="248"/>
      <c r="Z194" s="248"/>
      <c r="AA194" s="248"/>
      <c r="AB194" s="248"/>
      <c r="AC194" s="248"/>
      <c r="AD194" s="248"/>
      <c r="AE194" s="248"/>
      <c r="AF194" s="248"/>
      <c r="AG194" s="248"/>
      <c r="AH194" s="248"/>
      <c r="AI194" s="248"/>
      <c r="AJ194" s="248"/>
      <c r="AK194" s="248"/>
      <c r="AL194" s="248"/>
      <c r="AM194" s="248"/>
      <c r="AN194" s="248"/>
      <c r="AO194" s="248"/>
      <c r="AP194" s="248"/>
      <c r="AQ194" s="248"/>
      <c r="AR194" s="248"/>
      <c r="AS194" s="248"/>
      <c r="AT194" s="248"/>
      <c r="AU194" s="248"/>
      <c r="AV194" s="248"/>
      <c r="AW194" s="248"/>
      <c r="AX194" s="248"/>
      <c r="AY194" s="248"/>
      <c r="AZ194" s="248"/>
      <c r="BA194" s="248"/>
      <c r="BB194" s="248"/>
      <c r="BC194" s="248"/>
      <c r="BD194" s="248"/>
      <c r="BE194" s="248"/>
      <c r="BF194" s="248"/>
      <c r="BG194" s="248"/>
      <c r="BH194" s="248"/>
      <c r="BI194" s="248"/>
      <c r="BJ194" s="248"/>
      <c r="BK194" s="248"/>
      <c r="BL194" s="248"/>
      <c r="BM194" s="248"/>
    </row>
    <row r="195" spans="1:65" s="320" customFormat="1" ht="15.75" customHeight="1" x14ac:dyDescent="0.2">
      <c r="A195" s="261"/>
      <c r="B195" s="262"/>
      <c r="C195" s="280"/>
      <c r="D195" s="263"/>
      <c r="E195" s="263" t="s">
        <v>290</v>
      </c>
      <c r="F195" s="273" t="s">
        <v>20</v>
      </c>
      <c r="G195" s="274">
        <v>110000</v>
      </c>
      <c r="H195" s="248"/>
      <c r="I195" s="248"/>
      <c r="J195" s="248"/>
      <c r="K195" s="248"/>
      <c r="L195" s="248"/>
      <c r="M195" s="248"/>
      <c r="N195" s="248"/>
      <c r="O195" s="248"/>
      <c r="P195" s="248"/>
      <c r="Q195" s="248"/>
      <c r="R195" s="248"/>
      <c r="S195" s="248"/>
      <c r="T195" s="248"/>
      <c r="U195" s="248"/>
      <c r="V195" s="248"/>
      <c r="W195" s="248"/>
      <c r="X195" s="248"/>
      <c r="Y195" s="248"/>
      <c r="Z195" s="248"/>
      <c r="AA195" s="248"/>
      <c r="AB195" s="248"/>
      <c r="AC195" s="248"/>
      <c r="AD195" s="248"/>
      <c r="AE195" s="248"/>
      <c r="AF195" s="248"/>
      <c r="AG195" s="248"/>
      <c r="AH195" s="248"/>
      <c r="AI195" s="248"/>
      <c r="AJ195" s="248"/>
      <c r="AK195" s="248"/>
      <c r="AL195" s="248"/>
      <c r="AM195" s="248"/>
      <c r="AN195" s="248"/>
      <c r="AO195" s="248"/>
      <c r="AP195" s="248"/>
      <c r="AQ195" s="248"/>
      <c r="AR195" s="248"/>
      <c r="AS195" s="248"/>
      <c r="AT195" s="248"/>
      <c r="AU195" s="248"/>
      <c r="AV195" s="248"/>
      <c r="AW195" s="248"/>
      <c r="AX195" s="248"/>
      <c r="AY195" s="248"/>
      <c r="AZ195" s="248"/>
      <c r="BA195" s="248"/>
      <c r="BB195" s="248"/>
      <c r="BC195" s="248"/>
      <c r="BD195" s="248"/>
      <c r="BE195" s="248"/>
      <c r="BF195" s="248"/>
      <c r="BG195" s="248"/>
      <c r="BH195" s="248"/>
      <c r="BI195" s="248"/>
      <c r="BJ195" s="248"/>
      <c r="BK195" s="248"/>
      <c r="BL195" s="248"/>
      <c r="BM195" s="248"/>
    </row>
    <row r="196" spans="1:65" s="257" customFormat="1" ht="15.75" customHeight="1" x14ac:dyDescent="0.2">
      <c r="A196" s="275"/>
      <c r="B196" s="276"/>
      <c r="C196" s="277"/>
      <c r="D196" s="264"/>
      <c r="E196" s="264"/>
      <c r="F196" s="266"/>
      <c r="G196" s="278"/>
      <c r="H196" s="256"/>
      <c r="I196" s="256"/>
      <c r="J196" s="256"/>
      <c r="K196" s="256"/>
      <c r="L196" s="256"/>
      <c r="M196" s="256"/>
      <c r="N196" s="256"/>
      <c r="O196" s="256"/>
      <c r="P196" s="256"/>
      <c r="Q196" s="256"/>
      <c r="R196" s="256"/>
      <c r="S196" s="256"/>
      <c r="T196" s="256"/>
      <c r="U196" s="256"/>
      <c r="V196" s="256"/>
      <c r="W196" s="256"/>
      <c r="X196" s="256"/>
      <c r="Y196" s="256"/>
      <c r="Z196" s="256"/>
      <c r="AA196" s="256"/>
      <c r="AB196" s="256"/>
      <c r="AC196" s="256"/>
      <c r="AD196" s="256"/>
      <c r="AE196" s="256"/>
      <c r="AF196" s="256"/>
      <c r="AG196" s="256"/>
      <c r="AH196" s="256"/>
      <c r="AI196" s="256"/>
      <c r="AJ196" s="256"/>
      <c r="AK196" s="256"/>
      <c r="AL196" s="256"/>
      <c r="AM196" s="256"/>
      <c r="AN196" s="256"/>
      <c r="AO196" s="256"/>
      <c r="AP196" s="256"/>
      <c r="AQ196" s="256"/>
      <c r="AR196" s="256"/>
      <c r="AS196" s="256"/>
      <c r="AT196" s="256"/>
      <c r="AU196" s="256"/>
      <c r="AV196" s="256"/>
      <c r="AW196" s="256"/>
      <c r="AX196" s="256"/>
      <c r="AY196" s="256"/>
      <c r="AZ196" s="256"/>
      <c r="BA196" s="256"/>
      <c r="BB196" s="256"/>
      <c r="BC196" s="256"/>
      <c r="BD196" s="256"/>
      <c r="BE196" s="256"/>
      <c r="BF196" s="256"/>
      <c r="BG196" s="256"/>
      <c r="BH196" s="256"/>
      <c r="BI196" s="256"/>
      <c r="BJ196" s="256"/>
      <c r="BK196" s="256"/>
      <c r="BL196" s="256"/>
      <c r="BM196" s="256"/>
    </row>
    <row r="197" spans="1:65" s="257" customFormat="1" ht="27" customHeight="1" x14ac:dyDescent="0.2">
      <c r="A197" s="324"/>
      <c r="B197" s="325" t="s">
        <v>245</v>
      </c>
      <c r="C197" s="326"/>
      <c r="D197" s="327"/>
      <c r="E197" s="328"/>
      <c r="F197" s="328">
        <f>SUM(F12,F19,F28,F36,F140,F147,F155,F169,F175,F184,F191)</f>
        <v>6544086.6699999999</v>
      </c>
      <c r="G197" s="328">
        <f>SUM(G13,G20,G29,G37,G141,G148,G156,G170,G176,G185,G192)</f>
        <v>6544086.669999999</v>
      </c>
      <c r="H197" s="256"/>
      <c r="I197" s="256"/>
      <c r="J197" s="256"/>
      <c r="K197" s="256"/>
      <c r="L197" s="256"/>
      <c r="M197" s="256"/>
      <c r="N197" s="256"/>
      <c r="O197" s="256"/>
      <c r="P197" s="256"/>
      <c r="Q197" s="256"/>
      <c r="R197" s="256"/>
      <c r="S197" s="256"/>
      <c r="T197" s="256"/>
      <c r="U197" s="256"/>
      <c r="V197" s="256"/>
      <c r="W197" s="256"/>
      <c r="X197" s="256"/>
      <c r="Y197" s="256"/>
      <c r="Z197" s="256"/>
      <c r="AA197" s="256"/>
      <c r="AB197" s="256"/>
      <c r="AC197" s="256"/>
      <c r="AD197" s="256"/>
      <c r="AE197" s="256"/>
      <c r="AF197" s="256"/>
      <c r="AG197" s="256"/>
      <c r="AH197" s="256"/>
      <c r="AI197" s="256"/>
      <c r="AJ197" s="256"/>
      <c r="AK197" s="256"/>
      <c r="AL197" s="256"/>
      <c r="AM197" s="256"/>
      <c r="AN197" s="256"/>
      <c r="AO197" s="256"/>
      <c r="AP197" s="256"/>
      <c r="AQ197" s="256"/>
      <c r="AR197" s="256"/>
      <c r="AS197" s="256"/>
      <c r="AT197" s="256"/>
      <c r="AU197" s="256"/>
      <c r="AV197" s="256"/>
      <c r="AW197" s="256"/>
      <c r="AX197" s="256"/>
      <c r="AY197" s="256"/>
      <c r="AZ197" s="256"/>
      <c r="BA197" s="256"/>
      <c r="BB197" s="256"/>
      <c r="BC197" s="256"/>
      <c r="BD197" s="256"/>
      <c r="BE197" s="256"/>
      <c r="BF197" s="256"/>
      <c r="BG197" s="256"/>
      <c r="BH197" s="256"/>
      <c r="BI197" s="256"/>
      <c r="BJ197" s="256"/>
      <c r="BK197" s="256"/>
      <c r="BL197" s="256"/>
      <c r="BM197" s="256"/>
    </row>
    <row r="199" spans="1:65" customFormat="1" x14ac:dyDescent="0.25">
      <c r="A199" s="329"/>
      <c r="B199" s="313"/>
      <c r="C199" s="313"/>
      <c r="D199" s="313"/>
      <c r="E199" s="313"/>
    </row>
    <row r="200" spans="1:65" customFormat="1" x14ac:dyDescent="0.25">
      <c r="A200" s="313"/>
      <c r="B200" s="313"/>
      <c r="C200" s="313"/>
      <c r="D200" s="313"/>
      <c r="E200" s="313"/>
      <c r="F200" s="282"/>
      <c r="G200" s="88"/>
    </row>
    <row r="201" spans="1:65" customFormat="1" x14ac:dyDescent="0.25">
      <c r="A201" s="313"/>
      <c r="B201" s="313"/>
      <c r="C201" s="313"/>
      <c r="D201" s="313"/>
      <c r="E201" s="313"/>
      <c r="F201" s="282"/>
      <c r="G201" s="282"/>
    </row>
    <row r="202" spans="1:65" customFormat="1" x14ac:dyDescent="0.25">
      <c r="A202" s="313"/>
      <c r="B202" s="313"/>
      <c r="C202" s="313"/>
      <c r="D202" s="313"/>
      <c r="E202" s="313"/>
      <c r="F202" s="283"/>
      <c r="G202" s="283"/>
    </row>
    <row r="203" spans="1:65" customFormat="1" x14ac:dyDescent="0.25">
      <c r="A203" s="313"/>
      <c r="B203" s="313"/>
      <c r="C203" s="313"/>
      <c r="D203" s="313"/>
      <c r="E203" s="313"/>
      <c r="F203" s="330"/>
      <c r="G203" s="330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4" manualBreakCount="4">
    <brk id="49" max="16383" man="1"/>
    <brk id="94" max="6" man="1"/>
    <brk id="146" max="16383" man="1"/>
    <brk id="18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8F82-1E4D-4763-9B41-CBE842226DC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Zał.Nr1</vt:lpstr>
      <vt:lpstr>Zał.Nr2</vt:lpstr>
      <vt:lpstr>Zał.Nr3</vt:lpstr>
      <vt:lpstr>Zał.Nr4</vt:lpstr>
      <vt:lpstr>Arkusz1</vt:lpstr>
      <vt:lpstr>Zał.Nr1!Obszar_wydruku</vt:lpstr>
      <vt:lpstr>Zał.Nr4!Obszar_wydruku</vt:lpstr>
      <vt:lpstr>Zał.Nr1!Tytuły_wydruku</vt:lpstr>
      <vt:lpstr>Zał.Nr2!Tytuły_wydruku</vt:lpstr>
      <vt:lpstr>Zał.Nr4!Tytuły_wydruku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Zarządzenie nr 400/200 Prezydenta Miasta Włocławek z dn. 15 grudnia 2022 r.</dc:title>
  <dc:creator>Beata Duszeńska</dc:creator>
  <cp:keywords>Zarządzenie PRezydenta Miasta Włocławek</cp:keywords>
  <cp:lastModifiedBy>Karolina Budziszewska</cp:lastModifiedBy>
  <cp:lastPrinted>2022-12-20T07:30:04Z</cp:lastPrinted>
  <dcterms:created xsi:type="dcterms:W3CDTF">2014-03-20T12:20:20Z</dcterms:created>
  <dcterms:modified xsi:type="dcterms:W3CDTF">2022-12-20T13:25:59Z</dcterms:modified>
</cp:coreProperties>
</file>