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2BB397DB-1E43-4FF3-8B7E-EBEBDEE9A6D8}" xr6:coauthVersionLast="47" xr6:coauthVersionMax="47" xr10:uidLastSave="{00000000-0000-0000-0000-000000000000}"/>
  <bookViews>
    <workbookView xWindow="-120" yWindow="-120" windowWidth="29040" windowHeight="15840" xr2:uid="{C2E76864-9AE0-4293-8833-44C7AB564DF6}"/>
  </bookViews>
  <sheets>
    <sheet name="Zał.Nr1" sheetId="8" r:id="rId1"/>
    <sheet name="Zał.Nr 2" sheetId="4" r:id="rId2"/>
    <sheet name="Zał.Nr3" sheetId="5" r:id="rId3"/>
    <sheet name="Zał.Nr4" sheetId="6" r:id="rId4"/>
    <sheet name="Zał.Nr5" sheetId="7" r:id="rId5"/>
  </sheets>
  <definedNames>
    <definedName name="_xlnm.Print_Area" localSheetId="0">Zał.Nr1!$A$1:$H$591</definedName>
    <definedName name="_xlnm.Print_Area" localSheetId="4">Zał.Nr5!$A$1:$G$197</definedName>
    <definedName name="_xlnm.Print_Titles" localSheetId="0">Zał.Nr1!$7:$9</definedName>
    <definedName name="_xlnm.Print_Titles" localSheetId="3">Zał.Nr4!$10:$11</definedName>
    <definedName name="_xlnm.Print_Titles" localSheetId="4">Zał.Nr5!$10:$11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90" i="8" l="1"/>
  <c r="H589" i="8"/>
  <c r="F589" i="8"/>
  <c r="H588" i="8"/>
  <c r="H587" i="8"/>
  <c r="H586" i="8"/>
  <c r="H585" i="8"/>
  <c r="G584" i="8"/>
  <c r="G583" i="8" s="1"/>
  <c r="G582" i="8" s="1"/>
  <c r="F584" i="8"/>
  <c r="F583" i="8" s="1"/>
  <c r="H581" i="8"/>
  <c r="H580" i="8"/>
  <c r="H579" i="8"/>
  <c r="H578" i="8"/>
  <c r="H577" i="8"/>
  <c r="H576" i="8"/>
  <c r="H575" i="8"/>
  <c r="H574" i="8"/>
  <c r="H573" i="8"/>
  <c r="H572" i="8"/>
  <c r="H571" i="8"/>
  <c r="H570" i="8"/>
  <c r="H569" i="8"/>
  <c r="H568" i="8"/>
  <c r="H567" i="8"/>
  <c r="H566" i="8"/>
  <c r="H565" i="8"/>
  <c r="H564" i="8"/>
  <c r="H563" i="8"/>
  <c r="H562" i="8"/>
  <c r="H561" i="8"/>
  <c r="H560" i="8"/>
  <c r="H559" i="8"/>
  <c r="G558" i="8"/>
  <c r="G557" i="8" s="1"/>
  <c r="G556" i="8" s="1"/>
  <c r="F558" i="8"/>
  <c r="H558" i="8" s="1"/>
  <c r="H554" i="8"/>
  <c r="H553" i="8"/>
  <c r="H552" i="8"/>
  <c r="H551" i="8"/>
  <c r="H550" i="8"/>
  <c r="H549" i="8"/>
  <c r="H548" i="8"/>
  <c r="H547" i="8"/>
  <c r="H546" i="8"/>
  <c r="H545" i="8"/>
  <c r="H544" i="8"/>
  <c r="G543" i="8"/>
  <c r="F543" i="8"/>
  <c r="F541" i="8" s="1"/>
  <c r="H538" i="8"/>
  <c r="H537" i="8"/>
  <c r="H536" i="8"/>
  <c r="H535" i="8"/>
  <c r="H534" i="8"/>
  <c r="H533" i="8"/>
  <c r="G532" i="8"/>
  <c r="G531" i="8" s="1"/>
  <c r="F532" i="8"/>
  <c r="H530" i="8"/>
  <c r="H529" i="8"/>
  <c r="G528" i="8"/>
  <c r="G527" i="8" s="1"/>
  <c r="F528" i="8"/>
  <c r="G524" i="8"/>
  <c r="F523" i="8"/>
  <c r="F522" i="8"/>
  <c r="H520" i="8"/>
  <c r="H519" i="8"/>
  <c r="G518" i="8"/>
  <c r="F518" i="8"/>
  <c r="F517" i="8" s="1"/>
  <c r="H516" i="8"/>
  <c r="H515" i="8"/>
  <c r="H514" i="8"/>
  <c r="H513" i="8"/>
  <c r="H512" i="8"/>
  <c r="H511" i="8"/>
  <c r="G510" i="8"/>
  <c r="F510" i="8"/>
  <c r="H508" i="8"/>
  <c r="H507" i="8"/>
  <c r="H506" i="8"/>
  <c r="H505" i="8"/>
  <c r="H504" i="8"/>
  <c r="H503" i="8"/>
  <c r="G502" i="8"/>
  <c r="H502" i="8" s="1"/>
  <c r="F502" i="8"/>
  <c r="G501" i="8"/>
  <c r="G499" i="8"/>
  <c r="H499" i="8" s="1"/>
  <c r="H498" i="8"/>
  <c r="G497" i="8"/>
  <c r="H497" i="8" s="1"/>
  <c r="F497" i="8"/>
  <c r="H496" i="8"/>
  <c r="H495" i="8"/>
  <c r="G494" i="8"/>
  <c r="F494" i="8"/>
  <c r="H489" i="8"/>
  <c r="H488" i="8"/>
  <c r="G487" i="8"/>
  <c r="F487" i="8"/>
  <c r="H486" i="8"/>
  <c r="G485" i="8"/>
  <c r="F485" i="8"/>
  <c r="H484" i="8"/>
  <c r="H483" i="8"/>
  <c r="H482" i="8"/>
  <c r="G481" i="8"/>
  <c r="H481" i="8" s="1"/>
  <c r="F481" i="8"/>
  <c r="H477" i="8"/>
  <c r="H476" i="8"/>
  <c r="H475" i="8"/>
  <c r="G475" i="8"/>
  <c r="G474" i="8" s="1"/>
  <c r="G472" i="8" s="1"/>
  <c r="F475" i="8"/>
  <c r="F474" i="8"/>
  <c r="H470" i="8"/>
  <c r="H469" i="8"/>
  <c r="H468" i="8"/>
  <c r="G468" i="8"/>
  <c r="G467" i="8" s="1"/>
  <c r="G466" i="8" s="1"/>
  <c r="F468" i="8"/>
  <c r="F467" i="8"/>
  <c r="H464" i="8"/>
  <c r="H463" i="8"/>
  <c r="G462" i="8"/>
  <c r="G461" i="8" s="1"/>
  <c r="F462" i="8"/>
  <c r="F461" i="8" s="1"/>
  <c r="F460" i="8" s="1"/>
  <c r="H459" i="8"/>
  <c r="H458" i="8"/>
  <c r="H457" i="8"/>
  <c r="G456" i="8"/>
  <c r="F456" i="8"/>
  <c r="H455" i="8"/>
  <c r="H454" i="8"/>
  <c r="H453" i="8"/>
  <c r="H452" i="8"/>
  <c r="H451" i="8"/>
  <c r="H450" i="8"/>
  <c r="H449" i="8"/>
  <c r="H448" i="8"/>
  <c r="H447" i="8"/>
  <c r="G446" i="8"/>
  <c r="F446" i="8"/>
  <c r="H446" i="8" s="1"/>
  <c r="H445" i="8"/>
  <c r="H444" i="8"/>
  <c r="G443" i="8"/>
  <c r="F443" i="8"/>
  <c r="H441" i="8"/>
  <c r="H440" i="8"/>
  <c r="G439" i="8"/>
  <c r="F439" i="8"/>
  <c r="F438" i="8" s="1"/>
  <c r="H436" i="8"/>
  <c r="G435" i="8"/>
  <c r="G434" i="8" s="1"/>
  <c r="F435" i="8"/>
  <c r="H435" i="8" s="1"/>
  <c r="H433" i="8"/>
  <c r="G432" i="8"/>
  <c r="G431" i="8" s="1"/>
  <c r="F432" i="8"/>
  <c r="H430" i="8"/>
  <c r="H429" i="8"/>
  <c r="G429" i="8"/>
  <c r="F429" i="8"/>
  <c r="H428" i="8"/>
  <c r="H427" i="8"/>
  <c r="G426" i="8"/>
  <c r="G425" i="8" s="1"/>
  <c r="F426" i="8"/>
  <c r="H426" i="8" s="1"/>
  <c r="H424" i="8"/>
  <c r="H423" i="8"/>
  <c r="H422" i="8"/>
  <c r="H421" i="8"/>
  <c r="H420" i="8"/>
  <c r="G419" i="8"/>
  <c r="G418" i="8" s="1"/>
  <c r="F419" i="8"/>
  <c r="H416" i="8"/>
  <c r="G415" i="8"/>
  <c r="H415" i="8" s="1"/>
  <c r="F415" i="8"/>
  <c r="G414" i="8"/>
  <c r="F414" i="8"/>
  <c r="H412" i="8"/>
  <c r="H411" i="8"/>
  <c r="H410" i="8"/>
  <c r="H409" i="8"/>
  <c r="G408" i="8"/>
  <c r="F408" i="8"/>
  <c r="H407" i="8"/>
  <c r="H406" i="8"/>
  <c r="H405" i="8"/>
  <c r="H404" i="8"/>
  <c r="H403" i="8"/>
  <c r="G402" i="8"/>
  <c r="F402" i="8"/>
  <c r="F401" i="8" s="1"/>
  <c r="H400" i="8"/>
  <c r="H399" i="8"/>
  <c r="G398" i="8"/>
  <c r="G397" i="8" s="1"/>
  <c r="F398" i="8"/>
  <c r="H395" i="8"/>
  <c r="H394" i="8"/>
  <c r="H393" i="8"/>
  <c r="H392" i="8"/>
  <c r="H391" i="8"/>
  <c r="H390" i="8"/>
  <c r="G389" i="8"/>
  <c r="F389" i="8"/>
  <c r="H386" i="8"/>
  <c r="H385" i="8"/>
  <c r="H384" i="8"/>
  <c r="H383" i="8"/>
  <c r="H382" i="8"/>
  <c r="H381" i="8"/>
  <c r="G380" i="8"/>
  <c r="H380" i="8" s="1"/>
  <c r="F380" i="8"/>
  <c r="H379" i="8"/>
  <c r="H378" i="8"/>
  <c r="H377" i="8"/>
  <c r="G377" i="8"/>
  <c r="G376" i="8"/>
  <c r="H376" i="8" s="1"/>
  <c r="G375" i="8"/>
  <c r="H375" i="8" s="1"/>
  <c r="G374" i="8"/>
  <c r="H374" i="8" s="1"/>
  <c r="G373" i="8"/>
  <c r="H373" i="8" s="1"/>
  <c r="G372" i="8"/>
  <c r="F371" i="8"/>
  <c r="H370" i="8"/>
  <c r="H369" i="8"/>
  <c r="G368" i="8"/>
  <c r="F368" i="8"/>
  <c r="H366" i="8"/>
  <c r="H365" i="8"/>
  <c r="G364" i="8"/>
  <c r="F364" i="8"/>
  <c r="H364" i="8" s="1"/>
  <c r="H363" i="8"/>
  <c r="H362" i="8"/>
  <c r="G361" i="8"/>
  <c r="G360" i="8" s="1"/>
  <c r="F361" i="8"/>
  <c r="H359" i="8"/>
  <c r="H358" i="8"/>
  <c r="G357" i="8"/>
  <c r="F357" i="8"/>
  <c r="H355" i="8"/>
  <c r="H354" i="8"/>
  <c r="G353" i="8"/>
  <c r="H353" i="8" s="1"/>
  <c r="F353" i="8"/>
  <c r="F352" i="8"/>
  <c r="H350" i="8"/>
  <c r="H349" i="8"/>
  <c r="H348" i="8"/>
  <c r="H347" i="8"/>
  <c r="G346" i="8"/>
  <c r="F346" i="8"/>
  <c r="F345" i="8" s="1"/>
  <c r="H345" i="8" s="1"/>
  <c r="G345" i="8"/>
  <c r="H344" i="8"/>
  <c r="H343" i="8"/>
  <c r="H342" i="8"/>
  <c r="G341" i="8"/>
  <c r="G339" i="8" s="1"/>
  <c r="F341" i="8"/>
  <c r="F339" i="8"/>
  <c r="H338" i="8"/>
  <c r="H337" i="8"/>
  <c r="H336" i="8"/>
  <c r="H335" i="8"/>
  <c r="H334" i="8"/>
  <c r="H333" i="8"/>
  <c r="H332" i="8"/>
  <c r="H331" i="8"/>
  <c r="G330" i="8"/>
  <c r="F330" i="8"/>
  <c r="H329" i="8"/>
  <c r="H328" i="8"/>
  <c r="H327" i="8"/>
  <c r="H326" i="8"/>
  <c r="H325" i="8"/>
  <c r="H324" i="8"/>
  <c r="H323" i="8"/>
  <c r="H322" i="8"/>
  <c r="G321" i="8"/>
  <c r="H321" i="8" s="1"/>
  <c r="F321" i="8"/>
  <c r="G320" i="8"/>
  <c r="H318" i="8"/>
  <c r="H317" i="8"/>
  <c r="H316" i="8"/>
  <c r="H315" i="8"/>
  <c r="H314" i="8"/>
  <c r="G313" i="8"/>
  <c r="F313" i="8"/>
  <c r="H312" i="8"/>
  <c r="H311" i="8"/>
  <c r="H310" i="8"/>
  <c r="G309" i="8"/>
  <c r="G308" i="8" s="1"/>
  <c r="G307" i="8" s="1"/>
  <c r="F309" i="8"/>
  <c r="G306" i="8"/>
  <c r="H306" i="8" s="1"/>
  <c r="F306" i="8"/>
  <c r="H305" i="8"/>
  <c r="G304" i="8"/>
  <c r="H304" i="8" s="1"/>
  <c r="G303" i="8"/>
  <c r="H303" i="8" s="1"/>
  <c r="F302" i="8"/>
  <c r="H302" i="8" s="1"/>
  <c r="G301" i="8"/>
  <c r="H301" i="8" s="1"/>
  <c r="G300" i="8"/>
  <c r="H300" i="8" s="1"/>
  <c r="G299" i="8"/>
  <c r="H299" i="8" s="1"/>
  <c r="G298" i="8"/>
  <c r="G297" i="8" s="1"/>
  <c r="H296" i="8"/>
  <c r="H295" i="8"/>
  <c r="H294" i="8"/>
  <c r="G293" i="8"/>
  <c r="F293" i="8"/>
  <c r="H292" i="8"/>
  <c r="H291" i="8"/>
  <c r="H290" i="8"/>
  <c r="G290" i="8"/>
  <c r="F290" i="8"/>
  <c r="H288" i="8"/>
  <c r="F287" i="8"/>
  <c r="H286" i="8"/>
  <c r="H285" i="8"/>
  <c r="G285" i="8"/>
  <c r="G283" i="8" s="1"/>
  <c r="G282" i="8" s="1"/>
  <c r="H284" i="8"/>
  <c r="H274" i="8"/>
  <c r="H273" i="8"/>
  <c r="H272" i="8"/>
  <c r="H271" i="8"/>
  <c r="G271" i="8"/>
  <c r="G270" i="8" s="1"/>
  <c r="F271" i="8"/>
  <c r="F270" i="8" s="1"/>
  <c r="H269" i="8"/>
  <c r="H268" i="8"/>
  <c r="H267" i="8"/>
  <c r="G266" i="8"/>
  <c r="G265" i="8" s="1"/>
  <c r="F266" i="8"/>
  <c r="H266" i="8" s="1"/>
  <c r="F265" i="8"/>
  <c r="H262" i="8"/>
  <c r="H261" i="8"/>
  <c r="G260" i="8"/>
  <c r="F260" i="8"/>
  <c r="H260" i="8" s="1"/>
  <c r="G259" i="8"/>
  <c r="H255" i="8"/>
  <c r="H254" i="8"/>
  <c r="H253" i="8"/>
  <c r="H252" i="8"/>
  <c r="H251" i="8"/>
  <c r="H250" i="8"/>
  <c r="H249" i="8"/>
  <c r="G248" i="8"/>
  <c r="F248" i="8"/>
  <c r="F247" i="8" s="1"/>
  <c r="H247" i="8"/>
  <c r="G247" i="8"/>
  <c r="H246" i="8"/>
  <c r="H245" i="8"/>
  <c r="G244" i="8"/>
  <c r="G243" i="8" s="1"/>
  <c r="F244" i="8"/>
  <c r="F243" i="8"/>
  <c r="H242" i="8"/>
  <c r="G241" i="8"/>
  <c r="G240" i="8" s="1"/>
  <c r="F241" i="8"/>
  <c r="H239" i="8"/>
  <c r="H238" i="8"/>
  <c r="G238" i="8"/>
  <c r="F238" i="8"/>
  <c r="G237" i="8"/>
  <c r="F237" i="8"/>
  <c r="H237" i="8" s="1"/>
  <c r="H236" i="8"/>
  <c r="H235" i="8"/>
  <c r="H234" i="8"/>
  <c r="H233" i="8"/>
  <c r="H232" i="8"/>
  <c r="H231" i="8"/>
  <c r="G230" i="8"/>
  <c r="H230" i="8" s="1"/>
  <c r="F230" i="8"/>
  <c r="F229" i="8"/>
  <c r="H227" i="8"/>
  <c r="H226" i="8"/>
  <c r="G225" i="8"/>
  <c r="G224" i="8" s="1"/>
  <c r="F225" i="8"/>
  <c r="H225" i="8" s="1"/>
  <c r="H223" i="8"/>
  <c r="G222" i="8"/>
  <c r="F222" i="8"/>
  <c r="H221" i="8"/>
  <c r="G220" i="8"/>
  <c r="F220" i="8"/>
  <c r="H220" i="8" s="1"/>
  <c r="H218" i="8"/>
  <c r="G217" i="8"/>
  <c r="F217" i="8"/>
  <c r="H217" i="8" s="1"/>
  <c r="H216" i="8"/>
  <c r="G215" i="8"/>
  <c r="H215" i="8" s="1"/>
  <c r="H214" i="8"/>
  <c r="H213" i="8"/>
  <c r="F212" i="8"/>
  <c r="H212" i="8" s="1"/>
  <c r="H211" i="8"/>
  <c r="H210" i="8"/>
  <c r="H209" i="8"/>
  <c r="H208" i="8"/>
  <c r="H207" i="8"/>
  <c r="H206" i="8"/>
  <c r="H205" i="8"/>
  <c r="G204" i="8"/>
  <c r="H204" i="8" s="1"/>
  <c r="H203" i="8"/>
  <c r="H202" i="8"/>
  <c r="G201" i="8"/>
  <c r="G200" i="8" s="1"/>
  <c r="F201" i="8"/>
  <c r="F200" i="8" s="1"/>
  <c r="H199" i="8"/>
  <c r="H198" i="8"/>
  <c r="H197" i="8"/>
  <c r="H196" i="8"/>
  <c r="H195" i="8"/>
  <c r="G194" i="8"/>
  <c r="F194" i="8"/>
  <c r="H193" i="8"/>
  <c r="H192" i="8"/>
  <c r="H191" i="8"/>
  <c r="H190" i="8"/>
  <c r="H189" i="8"/>
  <c r="H188" i="8"/>
  <c r="H187" i="8"/>
  <c r="H186" i="8"/>
  <c r="G185" i="8"/>
  <c r="F185" i="8"/>
  <c r="F184" i="8"/>
  <c r="H183" i="8"/>
  <c r="H182" i="8"/>
  <c r="H181" i="8"/>
  <c r="G180" i="8"/>
  <c r="G179" i="8" s="1"/>
  <c r="F180" i="8"/>
  <c r="F179" i="8" s="1"/>
  <c r="H178" i="8"/>
  <c r="H177" i="8"/>
  <c r="H176" i="8"/>
  <c r="H175" i="8"/>
  <c r="H174" i="8"/>
  <c r="G173" i="8"/>
  <c r="F173" i="8"/>
  <c r="H172" i="8"/>
  <c r="G171" i="8"/>
  <c r="H170" i="8"/>
  <c r="H169" i="8"/>
  <c r="F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G156" i="8"/>
  <c r="H156" i="8" s="1"/>
  <c r="H155" i="8"/>
  <c r="H154" i="8"/>
  <c r="H153" i="8"/>
  <c r="F152" i="8"/>
  <c r="F151" i="8" s="1"/>
  <c r="H150" i="8"/>
  <c r="H149" i="8"/>
  <c r="H148" i="8"/>
  <c r="H147" i="8"/>
  <c r="H146" i="8"/>
  <c r="G145" i="8"/>
  <c r="G144" i="8" s="1"/>
  <c r="F145" i="8"/>
  <c r="F144" i="8" s="1"/>
  <c r="H143" i="8"/>
  <c r="H142" i="8"/>
  <c r="H141" i="8"/>
  <c r="H140" i="8"/>
  <c r="H139" i="8"/>
  <c r="H138" i="8"/>
  <c r="G137" i="8"/>
  <c r="G136" i="8" s="1"/>
  <c r="F137" i="8"/>
  <c r="H135" i="8"/>
  <c r="G134" i="8"/>
  <c r="G133" i="8" s="1"/>
  <c r="F134" i="8"/>
  <c r="F133" i="8" s="1"/>
  <c r="H133" i="8" s="1"/>
  <c r="H132" i="8"/>
  <c r="H131" i="8"/>
  <c r="H130" i="8"/>
  <c r="G129" i="8"/>
  <c r="F129" i="8"/>
  <c r="H129" i="8" s="1"/>
  <c r="H128" i="8"/>
  <c r="H127" i="8"/>
  <c r="H126" i="8"/>
  <c r="H125" i="8"/>
  <c r="G124" i="8"/>
  <c r="H124" i="8" s="1"/>
  <c r="H123" i="8"/>
  <c r="H122" i="8"/>
  <c r="H121" i="8"/>
  <c r="H120" i="8"/>
  <c r="H119" i="8"/>
  <c r="H118" i="8"/>
  <c r="G117" i="8"/>
  <c r="H117" i="8" s="1"/>
  <c r="G116" i="8"/>
  <c r="H116" i="8" s="1"/>
  <c r="F115" i="8"/>
  <c r="H113" i="8"/>
  <c r="H112" i="8"/>
  <c r="G111" i="8"/>
  <c r="F111" i="8"/>
  <c r="F110" i="8" s="1"/>
  <c r="G110" i="8"/>
  <c r="H109" i="8"/>
  <c r="G108" i="8"/>
  <c r="F108" i="8"/>
  <c r="H108" i="8" s="1"/>
  <c r="H107" i="8"/>
  <c r="H106" i="8"/>
  <c r="H105" i="8"/>
  <c r="G104" i="8"/>
  <c r="F104" i="8"/>
  <c r="F103" i="8" s="1"/>
  <c r="H102" i="8"/>
  <c r="H101" i="8"/>
  <c r="H100" i="8"/>
  <c r="H99" i="8"/>
  <c r="H98" i="8"/>
  <c r="G97" i="8"/>
  <c r="F97" i="8"/>
  <c r="G96" i="8"/>
  <c r="H96" i="8" s="1"/>
  <c r="H95" i="8"/>
  <c r="H94" i="8"/>
  <c r="H93" i="8"/>
  <c r="F92" i="8"/>
  <c r="H92" i="8" s="1"/>
  <c r="H91" i="8"/>
  <c r="H90" i="8"/>
  <c r="H89" i="8"/>
  <c r="G88" i="8"/>
  <c r="H88" i="8" s="1"/>
  <c r="H87" i="8"/>
  <c r="H86" i="8"/>
  <c r="H85" i="8"/>
  <c r="H84" i="8"/>
  <c r="H83" i="8"/>
  <c r="G83" i="8"/>
  <c r="G82" i="8"/>
  <c r="H82" i="8" s="1"/>
  <c r="H81" i="8"/>
  <c r="H80" i="8"/>
  <c r="H79" i="8"/>
  <c r="G78" i="8"/>
  <c r="H75" i="8"/>
  <c r="G74" i="8"/>
  <c r="G73" i="8" s="1"/>
  <c r="F74" i="8"/>
  <c r="H74" i="8" s="1"/>
  <c r="H70" i="8"/>
  <c r="H69" i="8"/>
  <c r="G68" i="8"/>
  <c r="F68" i="8"/>
  <c r="F67" i="8" s="1"/>
  <c r="G67" i="8"/>
  <c r="H66" i="8"/>
  <c r="H65" i="8"/>
  <c r="H64" i="8"/>
  <c r="H63" i="8"/>
  <c r="H62" i="8"/>
  <c r="H61" i="8"/>
  <c r="H60" i="8"/>
  <c r="G59" i="8"/>
  <c r="G58" i="8" s="1"/>
  <c r="G57" i="8" s="1"/>
  <c r="F59" i="8"/>
  <c r="F58" i="8"/>
  <c r="H58" i="8" s="1"/>
  <c r="H56" i="8"/>
  <c r="H55" i="8"/>
  <c r="H54" i="8"/>
  <c r="H53" i="8"/>
  <c r="H52" i="8"/>
  <c r="H51" i="8"/>
  <c r="H50" i="8"/>
  <c r="H49" i="8"/>
  <c r="G48" i="8"/>
  <c r="F48" i="8"/>
  <c r="F47" i="8" s="1"/>
  <c r="H46" i="8"/>
  <c r="G45" i="8"/>
  <c r="G44" i="8" s="1"/>
  <c r="F45" i="8"/>
  <c r="H40" i="8"/>
  <c r="G39" i="8"/>
  <c r="G38" i="8" s="1"/>
  <c r="F39" i="8"/>
  <c r="F38" i="8" s="1"/>
  <c r="H38" i="8" s="1"/>
  <c r="G37" i="8"/>
  <c r="G36" i="8" s="1"/>
  <c r="G35" i="8" s="1"/>
  <c r="G34" i="8" s="1"/>
  <c r="F36" i="8"/>
  <c r="H33" i="8"/>
  <c r="F33" i="8"/>
  <c r="G32" i="8"/>
  <c r="F32" i="8"/>
  <c r="H32" i="8" s="1"/>
  <c r="G31" i="8"/>
  <c r="G30" i="8" s="1"/>
  <c r="F29" i="8"/>
  <c r="F28" i="8" s="1"/>
  <c r="H28" i="8" s="1"/>
  <c r="G28" i="8"/>
  <c r="G27" i="8" s="1"/>
  <c r="G26" i="8" s="1"/>
  <c r="H24" i="8"/>
  <c r="G23" i="8"/>
  <c r="H23" i="8" s="1"/>
  <c r="F23" i="8"/>
  <c r="F22" i="8"/>
  <c r="F20" i="8"/>
  <c r="F19" i="8" s="1"/>
  <c r="H19" i="8" s="1"/>
  <c r="G19" i="8"/>
  <c r="G18" i="8" s="1"/>
  <c r="G17" i="8" s="1"/>
  <c r="H16" i="8"/>
  <c r="G15" i="8"/>
  <c r="F15" i="8"/>
  <c r="H15" i="8" s="1"/>
  <c r="G14" i="8"/>
  <c r="G13" i="8"/>
  <c r="G194" i="7"/>
  <c r="G192" i="7" s="1"/>
  <c r="G188" i="7"/>
  <c r="G187" i="7"/>
  <c r="G185" i="7" s="1"/>
  <c r="F184" i="7"/>
  <c r="G178" i="7"/>
  <c r="G176" i="7"/>
  <c r="F175" i="7"/>
  <c r="G172" i="7"/>
  <c r="G170" i="7"/>
  <c r="G166" i="7"/>
  <c r="G164" i="7"/>
  <c r="G163" i="7"/>
  <c r="G161" i="7"/>
  <c r="G159" i="7"/>
  <c r="G158" i="7" s="1"/>
  <c r="G156" i="7" s="1"/>
  <c r="F155" i="7"/>
  <c r="G153" i="7"/>
  <c r="G150" i="7" s="1"/>
  <c r="G148" i="7" s="1"/>
  <c r="G152" i="7"/>
  <c r="G151" i="7"/>
  <c r="F147" i="7"/>
  <c r="G145" i="7"/>
  <c r="G144" i="7"/>
  <c r="G143" i="7"/>
  <c r="G141" i="7" s="1"/>
  <c r="F140" i="7"/>
  <c r="G136" i="7"/>
  <c r="G135" i="7"/>
  <c r="G133" i="7" s="1"/>
  <c r="G131" i="7"/>
  <c r="G130" i="7"/>
  <c r="G129" i="7"/>
  <c r="G126" i="7" s="1"/>
  <c r="G124" i="7" s="1"/>
  <c r="G128" i="7"/>
  <c r="G127" i="7"/>
  <c r="G122" i="7"/>
  <c r="G121" i="7" s="1"/>
  <c r="G119" i="7" s="1"/>
  <c r="G117" i="7"/>
  <c r="G116" i="7"/>
  <c r="G115" i="7"/>
  <c r="G114" i="7"/>
  <c r="G113" i="7"/>
  <c r="G112" i="7" s="1"/>
  <c r="G110" i="7" s="1"/>
  <c r="G108" i="7"/>
  <c r="G107" i="7"/>
  <c r="G105" i="7" s="1"/>
  <c r="G103" i="7"/>
  <c r="G102" i="7"/>
  <c r="G101" i="7"/>
  <c r="G100" i="7"/>
  <c r="G99" i="7"/>
  <c r="G98" i="7"/>
  <c r="G97" i="7"/>
  <c r="G95" i="7" s="1"/>
  <c r="G93" i="7"/>
  <c r="G92" i="7"/>
  <c r="G91" i="7"/>
  <c r="G90" i="7"/>
  <c r="G89" i="7"/>
  <c r="G88" i="7"/>
  <c r="G87" i="7"/>
  <c r="G85" i="7" s="1"/>
  <c r="G83" i="7"/>
  <c r="G82" i="7"/>
  <c r="G81" i="7"/>
  <c r="G80" i="7"/>
  <c r="G79" i="7"/>
  <c r="G78" i="7"/>
  <c r="G77" i="7"/>
  <c r="G75" i="7" s="1"/>
  <c r="G73" i="7"/>
  <c r="G72" i="7"/>
  <c r="G70" i="7"/>
  <c r="G68" i="7"/>
  <c r="G67" i="7"/>
  <c r="G66" i="7"/>
  <c r="G65" i="7"/>
  <c r="G62" i="7" s="1"/>
  <c r="G60" i="7" s="1"/>
  <c r="G64" i="7"/>
  <c r="G63" i="7"/>
  <c r="G58" i="7"/>
  <c r="G57" i="7"/>
  <c r="G56" i="7"/>
  <c r="G55" i="7"/>
  <c r="G52" i="7" s="1"/>
  <c r="G50" i="7" s="1"/>
  <c r="G54" i="7"/>
  <c r="G53" i="7"/>
  <c r="G48" i="7"/>
  <c r="G47" i="7"/>
  <c r="G46" i="7"/>
  <c r="G45" i="7"/>
  <c r="G42" i="7" s="1"/>
  <c r="G40" i="7" s="1"/>
  <c r="G44" i="7"/>
  <c r="G43" i="7"/>
  <c r="F36" i="7"/>
  <c r="G34" i="7"/>
  <c r="G31" i="7" s="1"/>
  <c r="G29" i="7" s="1"/>
  <c r="G33" i="7"/>
  <c r="G32" i="7"/>
  <c r="F28" i="7"/>
  <c r="G26" i="7"/>
  <c r="G25" i="7"/>
  <c r="G23" i="7"/>
  <c r="G22" i="7" s="1"/>
  <c r="G20" i="7" s="1"/>
  <c r="F19" i="7"/>
  <c r="G17" i="7"/>
  <c r="G16" i="7"/>
  <c r="F12" i="7"/>
  <c r="F197" i="7" s="1"/>
  <c r="G25" i="8" l="1"/>
  <c r="H37" i="8"/>
  <c r="H298" i="8"/>
  <c r="H309" i="8"/>
  <c r="H313" i="8"/>
  <c r="F320" i="8"/>
  <c r="H330" i="8"/>
  <c r="H389" i="8"/>
  <c r="H398" i="8"/>
  <c r="H408" i="8"/>
  <c r="F425" i="8"/>
  <c r="H425" i="8" s="1"/>
  <c r="H456" i="8"/>
  <c r="H20" i="8"/>
  <c r="G22" i="8"/>
  <c r="G21" i="8" s="1"/>
  <c r="G11" i="8" s="1"/>
  <c r="G10" i="8" s="1"/>
  <c r="H29" i="8"/>
  <c r="H36" i="8"/>
  <c r="G72" i="8"/>
  <c r="F114" i="8"/>
  <c r="H137" i="8"/>
  <c r="F224" i="8"/>
  <c r="G229" i="8"/>
  <c r="H243" i="8"/>
  <c r="F259" i="8"/>
  <c r="H259" i="8" s="1"/>
  <c r="H339" i="8"/>
  <c r="H474" i="8"/>
  <c r="H145" i="8"/>
  <c r="F21" i="8"/>
  <c r="H21" i="8" s="1"/>
  <c r="F31" i="8"/>
  <c r="H31" i="8" s="1"/>
  <c r="H59" i="8"/>
  <c r="H68" i="8"/>
  <c r="F73" i="8"/>
  <c r="F72" i="8" s="1"/>
  <c r="H72" i="8" s="1"/>
  <c r="F78" i="8"/>
  <c r="H97" i="8"/>
  <c r="H104" i="8"/>
  <c r="H111" i="8"/>
  <c r="H134" i="8"/>
  <c r="H173" i="8"/>
  <c r="H194" i="8"/>
  <c r="F219" i="8"/>
  <c r="H244" i="8"/>
  <c r="F297" i="8"/>
  <c r="H297" i="8" s="1"/>
  <c r="H341" i="8"/>
  <c r="G352" i="8"/>
  <c r="H352" i="8" s="1"/>
  <c r="G401" i="8"/>
  <c r="H401" i="8" s="1"/>
  <c r="H487" i="8"/>
  <c r="H494" i="8"/>
  <c r="F18" i="8"/>
  <c r="H372" i="8"/>
  <c r="G371" i="8"/>
  <c r="H443" i="8"/>
  <c r="G442" i="8"/>
  <c r="F501" i="8"/>
  <c r="H510" i="8"/>
  <c r="G541" i="8"/>
  <c r="G540" i="8" s="1"/>
  <c r="G539" i="8" s="1"/>
  <c r="H543" i="8"/>
  <c r="F14" i="8"/>
  <c r="F27" i="8"/>
  <c r="F30" i="8"/>
  <c r="H30" i="8" s="1"/>
  <c r="G77" i="8"/>
  <c r="G103" i="8"/>
  <c r="H103" i="8" s="1"/>
  <c r="H144" i="8"/>
  <c r="H171" i="8"/>
  <c r="G152" i="8"/>
  <c r="G219" i="8"/>
  <c r="H229" i="8"/>
  <c r="H320" i="8"/>
  <c r="H524" i="8"/>
  <c r="G523" i="8"/>
  <c r="H414" i="8"/>
  <c r="G413" i="8"/>
  <c r="H532" i="8"/>
  <c r="F531" i="8"/>
  <c r="F35" i="8"/>
  <c r="H39" i="8"/>
  <c r="F57" i="8"/>
  <c r="H67" i="8"/>
  <c r="H78" i="8"/>
  <c r="F77" i="8"/>
  <c r="H110" i="8"/>
  <c r="G184" i="8"/>
  <c r="H224" i="8"/>
  <c r="H265" i="8"/>
  <c r="H270" i="8"/>
  <c r="F283" i="8"/>
  <c r="H287" i="8"/>
  <c r="F418" i="8"/>
  <c r="H419" i="8"/>
  <c r="H432" i="8"/>
  <c r="F431" i="8"/>
  <c r="H431" i="8" s="1"/>
  <c r="F442" i="8"/>
  <c r="G480" i="8"/>
  <c r="G479" i="8" s="1"/>
  <c r="G517" i="8"/>
  <c r="H518" i="8"/>
  <c r="H48" i="8"/>
  <c r="G47" i="8"/>
  <c r="G43" i="8" s="1"/>
  <c r="H184" i="8"/>
  <c r="H45" i="8"/>
  <c r="F44" i="8"/>
  <c r="H180" i="8"/>
  <c r="H201" i="8"/>
  <c r="H222" i="8"/>
  <c r="F240" i="8"/>
  <c r="H240" i="8" s="1"/>
  <c r="H241" i="8"/>
  <c r="G289" i="8"/>
  <c r="H293" i="8"/>
  <c r="F319" i="8"/>
  <c r="F367" i="8"/>
  <c r="H368" i="8"/>
  <c r="H439" i="8"/>
  <c r="G438" i="8"/>
  <c r="G437" i="8" s="1"/>
  <c r="G460" i="8"/>
  <c r="H461" i="8"/>
  <c r="H467" i="8"/>
  <c r="F466" i="8"/>
  <c r="G500" i="8"/>
  <c r="H528" i="8"/>
  <c r="F527" i="8"/>
  <c r="F582" i="8"/>
  <c r="H582" i="8" s="1"/>
  <c r="H583" i="8"/>
  <c r="F136" i="8"/>
  <c r="H136" i="8" s="1"/>
  <c r="H179" i="8"/>
  <c r="H200" i="8"/>
  <c r="H361" i="8"/>
  <c r="H485" i="8"/>
  <c r="F480" i="8"/>
  <c r="H517" i="8"/>
  <c r="F308" i="8"/>
  <c r="G396" i="8"/>
  <c r="G493" i="8"/>
  <c r="G490" i="8" s="1"/>
  <c r="G115" i="8"/>
  <c r="H185" i="8"/>
  <c r="H248" i="8"/>
  <c r="F289" i="8"/>
  <c r="H346" i="8"/>
  <c r="H357" i="8"/>
  <c r="F360" i="8"/>
  <c r="H360" i="8" s="1"/>
  <c r="F397" i="8"/>
  <c r="H402" i="8"/>
  <c r="F434" i="8"/>
  <c r="H434" i="8" s="1"/>
  <c r="H462" i="8"/>
  <c r="F472" i="8"/>
  <c r="H472" i="8" s="1"/>
  <c r="F493" i="8"/>
  <c r="F540" i="8"/>
  <c r="F557" i="8"/>
  <c r="H584" i="8"/>
  <c r="G37" i="7"/>
  <c r="G15" i="7"/>
  <c r="G13" i="7" s="1"/>
  <c r="G197" i="7" s="1"/>
  <c r="H219" i="8" l="1"/>
  <c r="H22" i="8"/>
  <c r="H442" i="8"/>
  <c r="H73" i="8"/>
  <c r="H540" i="8"/>
  <c r="H418" i="8"/>
  <c r="F413" i="8"/>
  <c r="H438" i="8"/>
  <c r="H77" i="8"/>
  <c r="H57" i="8"/>
  <c r="H531" i="8"/>
  <c r="H523" i="8"/>
  <c r="G522" i="8"/>
  <c r="H152" i="8"/>
  <c r="G151" i="8"/>
  <c r="H151" i="8" s="1"/>
  <c r="H27" i="8"/>
  <c r="F26" i="8"/>
  <c r="H371" i="8"/>
  <c r="G367" i="8"/>
  <c r="G319" i="8" s="1"/>
  <c r="H397" i="8"/>
  <c r="F396" i="8"/>
  <c r="H527" i="8"/>
  <c r="F521" i="8"/>
  <c r="H480" i="8"/>
  <c r="F479" i="8"/>
  <c r="H479" i="8" s="1"/>
  <c r="F307" i="8"/>
  <c r="H308" i="8"/>
  <c r="H44" i="8"/>
  <c r="F43" i="8"/>
  <c r="H283" i="8"/>
  <c r="F282" i="8"/>
  <c r="H282" i="8" s="1"/>
  <c r="H47" i="8"/>
  <c r="H14" i="8"/>
  <c r="F13" i="8"/>
  <c r="F500" i="8"/>
  <c r="H501" i="8"/>
  <c r="H289" i="8"/>
  <c r="F34" i="8"/>
  <c r="H34" i="8" s="1"/>
  <c r="H35" i="8"/>
  <c r="H557" i="8"/>
  <c r="F556" i="8"/>
  <c r="H556" i="8" s="1"/>
  <c r="F490" i="8"/>
  <c r="H493" i="8"/>
  <c r="G114" i="8"/>
  <c r="H114" i="8" s="1"/>
  <c r="H115" i="8"/>
  <c r="H541" i="8"/>
  <c r="H466" i="8"/>
  <c r="H460" i="8"/>
  <c r="F437" i="8"/>
  <c r="F17" i="8"/>
  <c r="H18" i="8"/>
  <c r="E168" i="6"/>
  <c r="E165" i="6"/>
  <c r="E154" i="6"/>
  <c r="E152" i="6"/>
  <c r="E150" i="6"/>
  <c r="E144" i="6"/>
  <c r="E141" i="6"/>
  <c r="E136" i="6"/>
  <c r="E123" i="6"/>
  <c r="E111" i="6"/>
  <c r="E106" i="6"/>
  <c r="E91" i="6"/>
  <c r="E89" i="6"/>
  <c r="E87" i="6"/>
  <c r="E71" i="6"/>
  <c r="E68" i="6"/>
  <c r="E58" i="6"/>
  <c r="E170" i="6" s="1"/>
  <c r="E51" i="6"/>
  <c r="E49" i="6"/>
  <c r="E48" i="6"/>
  <c r="E47" i="6"/>
  <c r="E45" i="6"/>
  <c r="E43" i="6"/>
  <c r="E42" i="6"/>
  <c r="E41" i="6"/>
  <c r="E39" i="6"/>
  <c r="E37" i="6"/>
  <c r="E32" i="6"/>
  <c r="E28" i="6"/>
  <c r="E26" i="6"/>
  <c r="E20" i="6"/>
  <c r="E16" i="6"/>
  <c r="E13" i="6"/>
  <c r="E55" i="6" s="1"/>
  <c r="E171" i="6" s="1"/>
  <c r="J27" i="5"/>
  <c r="I27" i="5"/>
  <c r="H27" i="5"/>
  <c r="G27" i="5"/>
  <c r="F26" i="5"/>
  <c r="E26" i="5"/>
  <c r="F25" i="5"/>
  <c r="E25" i="5"/>
  <c r="D25" i="5"/>
  <c r="D27" i="5" s="1"/>
  <c r="F24" i="5"/>
  <c r="E24" i="5" s="1"/>
  <c r="F23" i="5"/>
  <c r="E23" i="5"/>
  <c r="F22" i="5"/>
  <c r="E22" i="5" s="1"/>
  <c r="F21" i="5"/>
  <c r="E21" i="5"/>
  <c r="F20" i="5"/>
  <c r="E20" i="5" s="1"/>
  <c r="F19" i="5"/>
  <c r="E19" i="5"/>
  <c r="F18" i="5"/>
  <c r="E18" i="5" s="1"/>
  <c r="F17" i="5"/>
  <c r="E17" i="5"/>
  <c r="F16" i="5"/>
  <c r="F27" i="5" s="1"/>
  <c r="I21" i="4"/>
  <c r="H21" i="4"/>
  <c r="D21" i="4"/>
  <c r="E20" i="4"/>
  <c r="E19" i="4"/>
  <c r="H18" i="4"/>
  <c r="G18" i="4"/>
  <c r="F18" i="4"/>
  <c r="E18" i="4"/>
  <c r="D18" i="4"/>
  <c r="G17" i="4"/>
  <c r="F17" i="4"/>
  <c r="E17" i="4"/>
  <c r="D17" i="4"/>
  <c r="F16" i="4"/>
  <c r="E16" i="4" s="1"/>
  <c r="D16" i="4"/>
  <c r="G15" i="4"/>
  <c r="G21" i="4" s="1"/>
  <c r="F15" i="4"/>
  <c r="E15" i="4" s="1"/>
  <c r="D15" i="4"/>
  <c r="F14" i="4"/>
  <c r="F21" i="4" s="1"/>
  <c r="E14" i="4"/>
  <c r="E21" i="4" s="1"/>
  <c r="D14" i="4"/>
  <c r="F465" i="8" l="1"/>
  <c r="H437" i="8"/>
  <c r="H413" i="8"/>
  <c r="H367" i="8"/>
  <c r="H490" i="8"/>
  <c r="H307" i="8"/>
  <c r="H319" i="8"/>
  <c r="F11" i="8"/>
  <c r="H13" i="8"/>
  <c r="F76" i="8"/>
  <c r="H17" i="8"/>
  <c r="G76" i="8"/>
  <c r="G42" i="8" s="1"/>
  <c r="H43" i="8"/>
  <c r="H396" i="8"/>
  <c r="F25" i="8"/>
  <c r="H26" i="8"/>
  <c r="G521" i="8"/>
  <c r="G465" i="8" s="1"/>
  <c r="H522" i="8"/>
  <c r="F539" i="8"/>
  <c r="H500" i="8"/>
  <c r="E16" i="5"/>
  <c r="E27" i="5" s="1"/>
  <c r="G41" i="8" l="1"/>
  <c r="H11" i="8"/>
  <c r="F10" i="8"/>
  <c r="H465" i="8"/>
  <c r="H76" i="8"/>
  <c r="H539" i="8"/>
  <c r="H25" i="8"/>
  <c r="F42" i="8"/>
  <c r="H521" i="8"/>
  <c r="H10" i="8" l="1"/>
  <c r="H42" i="8"/>
  <c r="F41" i="8"/>
  <c r="H41" i="8" l="1"/>
</calcChain>
</file>

<file path=xl/sharedStrings.xml><?xml version="1.0" encoding="utf-8"?>
<sst xmlns="http://schemas.openxmlformats.org/spreadsheetml/2006/main" count="1192" uniqueCount="428">
  <si>
    <t xml:space="preserve">Prezydenta Miasta Włocławek </t>
  </si>
  <si>
    <t>w złotych</t>
  </si>
  <si>
    <t>Rozdz.</t>
  </si>
  <si>
    <t>§</t>
  </si>
  <si>
    <t>Załącznik Nr 2</t>
  </si>
  <si>
    <t>Dochody i wydatki związane z realizacją zadań z zakresu administracji rządowej wykonywanych na podstawie porozumień z organami administracji rządowej na 2022 rok</t>
  </si>
  <si>
    <t>z tego:</t>
  </si>
  <si>
    <t>Dział</t>
  </si>
  <si>
    <t>Rozdział</t>
  </si>
  <si>
    <t>Dotacje
ogółem</t>
  </si>
  <si>
    <t>Wydatki
ogółem
(6+9)</t>
  </si>
  <si>
    <t>w tym:</t>
  </si>
  <si>
    <t>Wydatki
bieżące</t>
  </si>
  <si>
    <t>wynagrodzenia i składki od nich naliczane</t>
  </si>
  <si>
    <t>świadczenia na rzecz osób fizycznych</t>
  </si>
  <si>
    <t>Wydatki
majątkowe</t>
  </si>
  <si>
    <t>Ogółem:</t>
  </si>
  <si>
    <t>do Zarządzenia NR 414/2022</t>
  </si>
  <si>
    <t>z dnia 29 grudnia 2022 r.</t>
  </si>
  <si>
    <t>Załącznik Nr 3</t>
  </si>
  <si>
    <t xml:space="preserve">Dochody i wydatki związane z realizacją zadań wykonywanych na podstawie porozumień (umów) </t>
  </si>
  <si>
    <t>między jednostkami samorządu terytorialnego na 2022 rok</t>
  </si>
  <si>
    <t xml:space="preserve">Wydatki
</t>
  </si>
  <si>
    <t>Dotacje</t>
  </si>
  <si>
    <t>ogółem</t>
  </si>
  <si>
    <t>Wydatki</t>
  </si>
  <si>
    <t>(6 + 10)</t>
  </si>
  <si>
    <t>bieżące</t>
  </si>
  <si>
    <t>dotacje</t>
  </si>
  <si>
    <t>Wydatki majątkowe</t>
  </si>
  <si>
    <t>Załącznik Nr 4</t>
  </si>
  <si>
    <t xml:space="preserve">Dotacje udzielane z budżetu jednostki samorządu terytorialnego </t>
  </si>
  <si>
    <t>dla jednostek spoza sektora finansów publicznych na 2022 rok</t>
  </si>
  <si>
    <t>Lp.</t>
  </si>
  <si>
    <t>Nazwa zadania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</si>
  <si>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</si>
  <si>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</si>
  <si>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</si>
  <si>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</si>
  <si>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</si>
  <si>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Szkoły podstawowe</t>
  </si>
  <si>
    <t>Publiczna Szkoła Podstawowa im. Ks. J. Długosza</t>
  </si>
  <si>
    <t>Szkoła Podstawowa z oddziałami dwujęzycznymi Monttessori-     Schule</t>
  </si>
  <si>
    <t>Prywatna Szkoła Podstawowa Zespołu Edukacji "Wiedza"</t>
  </si>
  <si>
    <t>Przedszkola</t>
  </si>
  <si>
    <t>Przedszkole Niepubliczne "Chatka Puchatka"</t>
  </si>
  <si>
    <t>Niepubliczne Przedszkole "Smerfna Chata"</t>
  </si>
  <si>
    <t>Przedszkole Niepubliczne "Kujawiaczek"</t>
  </si>
  <si>
    <t>Niepubliczne Przedszkole "Domowe Przedszkole"</t>
  </si>
  <si>
    <t>Niepubliczne Przedszkole "Wesoła Biedronka"</t>
  </si>
  <si>
    <t>Branżowe szkoły I i II stopnia</t>
  </si>
  <si>
    <t xml:space="preserve">Branżowa Szkoła I Stopnia Start we Włocławku </t>
  </si>
  <si>
    <t>Licea ogólnokształcące</t>
  </si>
  <si>
    <t>Publiczne Liceum Ogólnokształcące im. Ks. J. Długosza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</si>
  <si>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</si>
  <si>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</si>
  <si>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</si>
  <si>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</si>
  <si>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</si>
  <si>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>Realizacja projektu unijnego  "Zawodowcy z Włocławka"- podniesienie jakości nauczania i zwiększenie szans na zatrudnienie uczniów ZSS we Włocławku"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</si>
  <si>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</si>
  <si>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</si>
  <si>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</si>
  <si>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</si>
  <si>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</si>
  <si>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</si>
  <si>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</si>
  <si>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Pozostała działalność (aktywizacja społeczna seniorów, poprawa warunków funkcjonowania seniorów)</t>
  </si>
  <si>
    <t xml:space="preserve">Pozostała działalność - realizacja projektu pn. "WŁOCŁAWEK - MIASTO NOWYCH MOŻLIWOŚCI. Tutaj mieszkam, pracuję, inwestuję i tu wypoczywam" </t>
  </si>
  <si>
    <t>Działalność placówek opiekuńczo - wychowawczych</t>
  </si>
  <si>
    <t>Wymiana źródeł ciepła zasilanych paliwami stałymi - program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</si>
  <si>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</si>
  <si>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</si>
  <si>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</si>
  <si>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</si>
  <si>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 xml:space="preserve">Zadania w zakresie kultury fizycznej - realizacja projektu pn. "WŁOCŁAWEK - MIASTO NOWYCH MOŻLIWOŚCI. Tutaj mieszkam, pracuję, inwestuję i tu wypoczywam" </t>
  </si>
  <si>
    <t>Razem</t>
  </si>
  <si>
    <t>dotacje podmiotowe</t>
  </si>
  <si>
    <t>Nazwa placówki/nazwa podmiotu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</si>
  <si>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</si>
  <si>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</si>
  <si>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</si>
  <si>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</si>
  <si>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</si>
  <si>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Akademii Nauk Stosowanych we Włocławku</t>
  </si>
  <si>
    <t>Oddziały przedszkolne w szkołach podstawowych</t>
  </si>
  <si>
    <t>Niepubliczne Przedszkole "Skakanka"</t>
  </si>
  <si>
    <t>Przedszkole Akademickie przy Państwowej Akademii Nauk Stosowanych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</si>
  <si>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</si>
  <si>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</si>
  <si>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</si>
  <si>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"Bajeczka" Kinga Mizak Aneta            Kryczka s.c.</t>
  </si>
  <si>
    <t>Przedszkole Niepubliczne "Happy Kids"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</si>
  <si>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</si>
  <si>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</si>
  <si>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</si>
  <si>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</si>
  <si>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</si>
  <si>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Technika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</si>
  <si>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</si>
  <si>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</si>
  <si>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</si>
  <si>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</si>
  <si>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Akademii Nauk Stosowanych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</si>
  <si>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</si>
  <si>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</si>
  <si>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</si>
  <si>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</si>
  <si>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</si>
  <si>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</si>
  <si>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Szkoła Policealna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</si>
  <si>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</si>
  <si>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</si>
  <si>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</si>
  <si>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we Włocławku (przy Kujawskiej Szkole Wyższej)</t>
  </si>
  <si>
    <t xml:space="preserve">Branżowa Szkoła II Stopnia Start we Włocławku </t>
  </si>
  <si>
    <t>Branżowa Szkoła I Stopnia Impuls we Włocławku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</si>
  <si>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</si>
  <si>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</si>
  <si>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</si>
  <si>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</si>
  <si>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</si>
  <si>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</si>
  <si>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</si>
  <si>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</si>
  <si>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Liceum Ogólnokształcące dla Dorosłych "Żak"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</si>
  <si>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</si>
  <si>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</si>
  <si>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</si>
  <si>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</si>
  <si>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</si>
  <si>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</si>
  <si>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</si>
  <si>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</si>
  <si>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</si>
  <si>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</si>
  <si>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</si>
  <si>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</si>
  <si>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Małych Misjonarek Miłosierdzia (Orionistek)</t>
  </si>
  <si>
    <t>Wczesne wspomaganie rozwoju dziecka</t>
  </si>
  <si>
    <t>Przedszkole Akademickie przy Państwowej  Akademii Nauk Stosowanych we Włocławku</t>
  </si>
  <si>
    <t>Poradnie psychologiczno - pedagogiczne, w tym poradnie specjalistyczne</t>
  </si>
  <si>
    <t>Poradnia Psychologiczno - Pedagogiczna "Vitamed"</t>
  </si>
  <si>
    <t>Niepubliczna Poradania Psychologiczno - Pedagogiczna "Centrum Diagnozy, Terapii i Wspomagania Rozwoju" (Elżbieta Złowodzka - Jetter)</t>
  </si>
  <si>
    <t>Internaty i bursy szkolne</t>
  </si>
  <si>
    <t>Internat Zespołu Szkół Katolickich im. Ks. J. Długosza</t>
  </si>
  <si>
    <t>Załącznik Nr 5</t>
  </si>
  <si>
    <t>Plan dochodów i wydatków na wydzielonym rachunku Funduszu Pomocy</t>
  </si>
  <si>
    <t>dotyczącym realizacji zadań na rzecz pomocy Ukrainie</t>
  </si>
  <si>
    <t xml:space="preserve">Dział </t>
  </si>
  <si>
    <t>Dochody na 2022 rok</t>
  </si>
  <si>
    <t>Wydatki na 2022 rok</t>
  </si>
  <si>
    <t>2100</t>
  </si>
  <si>
    <t>x</t>
  </si>
  <si>
    <t>1.</t>
  </si>
  <si>
    <t>Zapewnienie posiłku dzieciom i młodzieży</t>
  </si>
  <si>
    <t>852</t>
  </si>
  <si>
    <t>85230</t>
  </si>
  <si>
    <t>Miejski Ośrodek Pomocy Rodzinie</t>
  </si>
  <si>
    <t>3290</t>
  </si>
  <si>
    <t>4370</t>
  </si>
  <si>
    <t>2.</t>
  </si>
  <si>
    <t>Świadczenia rodzinne</t>
  </si>
  <si>
    <t>855</t>
  </si>
  <si>
    <t>85502</t>
  </si>
  <si>
    <t>4740</t>
  </si>
  <si>
    <t>4850</t>
  </si>
  <si>
    <t>3.</t>
  </si>
  <si>
    <t>Świadczenie pieniężne w wysokości          300 zł</t>
  </si>
  <si>
    <t>853</t>
  </si>
  <si>
    <t>85395</t>
  </si>
  <si>
    <t>758</t>
  </si>
  <si>
    <t>75814</t>
  </si>
  <si>
    <t>4.</t>
  </si>
  <si>
    <t>Realizacja dodatkowych zadań oświatowych</t>
  </si>
  <si>
    <t>Jednostki oświatowe zbiorczo</t>
  </si>
  <si>
    <t>801</t>
  </si>
  <si>
    <t>80101</t>
  </si>
  <si>
    <t>4350</t>
  </si>
  <si>
    <t>4750</t>
  </si>
  <si>
    <t>4860</t>
  </si>
  <si>
    <t>80102</t>
  </si>
  <si>
    <t>80104</t>
  </si>
  <si>
    <t>Wydział Edukacji</t>
  </si>
  <si>
    <t>2340</t>
  </si>
  <si>
    <t>80105</t>
  </si>
  <si>
    <t>80115</t>
  </si>
  <si>
    <t>80117</t>
  </si>
  <si>
    <t>80120</t>
  </si>
  <si>
    <t>80132</t>
  </si>
  <si>
    <t>854</t>
  </si>
  <si>
    <t>85410</t>
  </si>
  <si>
    <t>5.</t>
  </si>
  <si>
    <t>Nadanie numeru PESEL</t>
  </si>
  <si>
    <t>750</t>
  </si>
  <si>
    <t>75011</t>
  </si>
  <si>
    <t>Wydział Organizacyjno - Prawny i Kadr</t>
  </si>
  <si>
    <t>6.</t>
  </si>
  <si>
    <t>Świadczenie pieniężne - 40 zł za osobę dziennie</t>
  </si>
  <si>
    <t>754</t>
  </si>
  <si>
    <t>75495</t>
  </si>
  <si>
    <t>3280</t>
  </si>
  <si>
    <t>7.</t>
  </si>
  <si>
    <t>Zapewnienie zakwaterowania i wyżywienia obywatelom Ukrainy</t>
  </si>
  <si>
    <t>Wydział Zarządzania Kryzysowego i Bezpieczeństwa</t>
  </si>
  <si>
    <t>Administracja Zasobów Komunalnych</t>
  </si>
  <si>
    <t>Miejski Zakład Zieleni i Usług Komunalnych</t>
  </si>
  <si>
    <t>8.</t>
  </si>
  <si>
    <t>Zapewnienie transportu obywatelom Ukrainy</t>
  </si>
  <si>
    <t>600</t>
  </si>
  <si>
    <t>60095</t>
  </si>
  <si>
    <t>Straż Miejska</t>
  </si>
  <si>
    <t>9.</t>
  </si>
  <si>
    <t>Realizacja zadań przez Miejski Zespół do Spraw Orzekania o Niepełnosprawności na rzecz obywateli Ukrainy</t>
  </si>
  <si>
    <t>85321</t>
  </si>
  <si>
    <t xml:space="preserve">Miejski Zespół do Spraw Orzekania o Niepełnosprawności </t>
  </si>
  <si>
    <t>10.</t>
  </si>
  <si>
    <t>Zasiłki okresowe</t>
  </si>
  <si>
    <t>85214</t>
  </si>
  <si>
    <t>11.</t>
  </si>
  <si>
    <t>Stypendia i zasiłki dla uczniów z Ukrainy</t>
  </si>
  <si>
    <t>85415</t>
  </si>
  <si>
    <t>Załącznik Nr 1</t>
  </si>
  <si>
    <t>Zmiany w budżecie miasta Włocławek na 2022 rok</t>
  </si>
  <si>
    <t>Plan</t>
  </si>
  <si>
    <t>Dz.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</si>
  <si>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</si>
  <si>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</si>
  <si>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</si>
  <si>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</si>
  <si>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</si>
  <si>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</si>
  <si>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</si>
  <si>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 xml:space="preserve">Bezpieczeństwo publiczne i ochrona </t>
  </si>
  <si>
    <t>przeciwpożarowa</t>
  </si>
  <si>
    <t>75421</t>
  </si>
  <si>
    <t>Zarządzanie kryzysowe</t>
  </si>
  <si>
    <t>0720</t>
  </si>
  <si>
    <t>wpływy z otrzymanych darowizn i ofiar w postaci pieniężnej na realizację zadań na rzecz pomocy Ukrainie</t>
  </si>
  <si>
    <t>Różne rozliczenia</t>
  </si>
  <si>
    <t>Różne rozliczenia finansowe</t>
  </si>
  <si>
    <t>Organ - Fundusz Pomocy (realizacja dodatkowych zadań oświatowych)</t>
  </si>
  <si>
    <t>środki z Funduszu Pomocy na finansowanie lub dofinansowanie zadań bieżących w zakresie pomocy obywatelom Ukrainy</t>
  </si>
  <si>
    <t>Edukacyjna opieka wychowawcza</t>
  </si>
  <si>
    <t>Pomoc materialna dla uczniów o charakterze socjalnym</t>
  </si>
  <si>
    <t>Organ</t>
  </si>
  <si>
    <t>2330</t>
  </si>
  <si>
    <t>dotacje celowe otrzymane od samorządu województwa na zadania bieżące realizowane na podstawie porozumień (umów) między jednostkami samorządu terytorialnego</t>
  </si>
  <si>
    <t>Dochody na zadania zlecone:</t>
  </si>
  <si>
    <t>Administracja publiczna</t>
  </si>
  <si>
    <t>Urzędy wojewódzkie</t>
  </si>
  <si>
    <t>Organ - Fundusz Pomocy (nadanie numeru PESEL)</t>
  </si>
  <si>
    <t>Bezpieczeństwo publiczne i ochrona przeciwpożarowa</t>
  </si>
  <si>
    <t>Pozostała działalność</t>
  </si>
  <si>
    <t>Organ - Fundusz Pomocy (świadczenie pieniężne - 40 zł za osobę dziennie)</t>
  </si>
  <si>
    <t>Rodzina</t>
  </si>
  <si>
    <t>Świadczenie wychowawcze</t>
  </si>
  <si>
    <t>dotacje celowe otrzymane z budżetu państwa na zadania bieżące z zakresu administracji rządowej zlecone gminom (związkom gmin, związkom powiatowo - gminnym), związane z realizacją świadczenia wychowawczego stanowiącego pomoc państwa w wychowywaniu dzieci</t>
  </si>
  <si>
    <t>Karta Dużej Rodziny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</si>
  <si>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</si>
  <si>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</si>
  <si>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WYDATKI OGÓŁEM:</t>
  </si>
  <si>
    <t>Wydatki na zadania własne:</t>
  </si>
  <si>
    <t>Transport i łączność</t>
  </si>
  <si>
    <t>Drogi publiczne w miastach na prawach powiatu</t>
  </si>
  <si>
    <t>Miejski Zarząd Infrastruktury Drogowej i Transportu</t>
  </si>
  <si>
    <t>zakup usług pozostałych</t>
  </si>
  <si>
    <t>wpłaty na Państwowy Fundusz Rehabilitacji Osób Niepełnosprawnych</t>
  </si>
  <si>
    <t>zakup energii</t>
  </si>
  <si>
    <t>zakup usług remontowych</t>
  </si>
  <si>
    <t>zakup usług zdrowotnych</t>
  </si>
  <si>
    <t xml:space="preserve">różne opłaty i składki </t>
  </si>
  <si>
    <t>pozostałe odsetki</t>
  </si>
  <si>
    <t>kary i odszkodowania wypłacane na rzecz osób prawnych i innych jednostek organizacyjnych</t>
  </si>
  <si>
    <t>75085</t>
  </si>
  <si>
    <t>Wspólna obsługa jednostek samorządu terytorialnego</t>
  </si>
  <si>
    <t>Centrum Usług Wspólnych Placówek Oświatowych</t>
  </si>
  <si>
    <t>składki na ubezpieczenie społeczne</t>
  </si>
  <si>
    <t>wynagrodzenia bezosobowe</t>
  </si>
  <si>
    <t>4210</t>
  </si>
  <si>
    <t>zakup materiałów i wyposażenia</t>
  </si>
  <si>
    <t xml:space="preserve">szkolenia pracowników niebędących członkami korpusu służby cywilnej </t>
  </si>
  <si>
    <t>75095</t>
  </si>
  <si>
    <t>Wydział Rewitalizacji - projekt pn. "Latarnicy społeczni obszaru rewitalizacji"</t>
  </si>
  <si>
    <t>wynagrodzenia osobowe pracowników</t>
  </si>
  <si>
    <t>zakup usług związanych z pomocą obywatelom Ukrainy</t>
  </si>
  <si>
    <t>Oświata i wychowanie</t>
  </si>
  <si>
    <t>wydatki osobowe niezaliczone do wynagrodzeń</t>
  </si>
  <si>
    <t xml:space="preserve">składki na ubezpieczenia społeczne </t>
  </si>
  <si>
    <t xml:space="preserve">składki na Fundusz Pracy oraz Fundusz Solidarnościowy </t>
  </si>
  <si>
    <t>zakup środków dydaktycznych i książek</t>
  </si>
  <si>
    <t>opłaty z tytułu zakupu usług telekomunikacyjnych</t>
  </si>
  <si>
    <t>podróże służbowe krajowe</t>
  </si>
  <si>
    <t>odpisy na zakładowy fundusz świadczeń socjalnych</t>
  </si>
  <si>
    <t>opłaty na rzecz budżetu państwa</t>
  </si>
  <si>
    <t>koszty postępowania sądowego i prokuratorskiego</t>
  </si>
  <si>
    <t>wpłaty na PPK finansowane przez podmiot zatrudniający</t>
  </si>
  <si>
    <t>wynagrodzenie osobowe nauczycieli</t>
  </si>
  <si>
    <t>Jednostki oświatowe zbiorczo - Fundusz Pomocy (realizacja dodatkowych zadań oświatowych)</t>
  </si>
  <si>
    <t>zakup towarów (w szczególności materiałów, leków, żywności) w związku z pomocą obywatelom Ukrainy</t>
  </si>
  <si>
    <t>wynagrodzenia nauczycieli wypłacane w związku z pomocą obywatelom Ukrainy</t>
  </si>
  <si>
    <t>składki i inne pochodne od wynagrodzeń pracowników wypłacanych w związku z pomocą obywatelom Ukrainy</t>
  </si>
  <si>
    <t>pozostałe wydatki bieżące na zadania związane z pomocą obywatelom Ukrainy</t>
  </si>
  <si>
    <t>Szkoły podstawowe specjalne</t>
  </si>
  <si>
    <t>składki na Fundusz Emerytur Pomostowych</t>
  </si>
  <si>
    <t>dodatkowe wynagrodzenie roczne nauczycieli</t>
  </si>
  <si>
    <t>Przedszkola specjalne</t>
  </si>
  <si>
    <t>Świetlice szkolne</t>
  </si>
  <si>
    <t>80113</t>
  </si>
  <si>
    <t>Dowożenie uczniów do szkół</t>
  </si>
  <si>
    <t>4190</t>
  </si>
  <si>
    <t>nagrody konkursowe</t>
  </si>
  <si>
    <t xml:space="preserve">zakup usług obejmujących wykonanie ekspertyz, analiz i opinii </t>
  </si>
  <si>
    <t>podróże służbowe zagraniczne</t>
  </si>
  <si>
    <t>dodatkowe wynagrodzenie roczne</t>
  </si>
  <si>
    <t>Szkoły artystyczne</t>
  </si>
  <si>
    <t>Szkoły zawodowe specjalne</t>
  </si>
  <si>
    <t xml:space="preserve">Placówki kształcenia ustawicznego i centra </t>
  </si>
  <si>
    <t xml:space="preserve"> kształcenia zawodowego</t>
  </si>
  <si>
    <t>Ośrodki szkolenia, dokształcania i doskonalenia kadr</t>
  </si>
  <si>
    <t>Inne formy kształcenia osobno niewymienione</t>
  </si>
  <si>
    <t>Dokształcanie i doskonalenie nauczycieli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</si>
  <si>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</si>
  <si>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</si>
  <si>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</si>
  <si>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</si>
  <si>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</si>
  <si>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</si>
  <si>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</si>
  <si>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</si>
  <si>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</si>
  <si>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</si>
  <si>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</si>
  <si>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</si>
  <si>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</si>
  <si>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nagrody o charakterze szczególnym  niezaliczone do wynagrodzeń</t>
  </si>
  <si>
    <t>Jednostki oświatowe zbiorczo (projekty z grantów Lokalnej Grupy Działania Miasta Włocławek)</t>
  </si>
  <si>
    <t>składki na ubezpieczenia społeczne</t>
  </si>
  <si>
    <t>851</t>
  </si>
  <si>
    <t>Ochrona zdrowia</t>
  </si>
  <si>
    <t>Przeciwdziałanie alkoholizmowi</t>
  </si>
  <si>
    <t>Centrum Wsparcia dla Osób w Kryzysie</t>
  </si>
  <si>
    <t>Pomoc społeczna</t>
  </si>
  <si>
    <t>Domy pomocy społecznej</t>
  </si>
  <si>
    <t xml:space="preserve">Dom Pomocy Społecznej ul. Nowomiejska 19 </t>
  </si>
  <si>
    <t>zakup środków żywności</t>
  </si>
  <si>
    <t>Dom Pomocy Społecznej ul. Dobrzyńska 102</t>
  </si>
  <si>
    <t>Ośrodki wsparcia</t>
  </si>
  <si>
    <t xml:space="preserve">Dom Pomocy Społecznej przy ul.Nowomiejskiej 19 - </t>
  </si>
  <si>
    <t>Ośrodek Dziennego Pobytu przy ul.Brzeskiej 15</t>
  </si>
  <si>
    <t>Ośrodki pomocy społecznej</t>
  </si>
  <si>
    <t>Jednostki specjalistycznego poradnictwa, mieszkania</t>
  </si>
  <si>
    <t>chronione i ośrodki interwencji kryzysowej</t>
  </si>
  <si>
    <t>MOPR - mieszkania chronione</t>
  </si>
  <si>
    <t>opłaty za administrowanie i czynsze za budynki, lokale i pomieszczenia garażowe</t>
  </si>
  <si>
    <t>MOPR - Sekcja Interwencji Kryzysowej i Poradnictwa</t>
  </si>
  <si>
    <t>Specjalistycznego</t>
  </si>
  <si>
    <t>Pomoc w zakresie dożywiania</t>
  </si>
  <si>
    <t>świadczenia społeczne</t>
  </si>
  <si>
    <t>Miejski Ośrodek Pomocy Rodzinie - Fundusz Pomocy (zapewnienie posiłku dzieciom i młodzieży)</t>
  </si>
  <si>
    <t>świadczenia społeczne wypłacane obywatelom Ukrainy przebywającym na terytorium RP</t>
  </si>
  <si>
    <t>Miejski Ośrodek Pomocy Rodzinie - projekt pn. „Centrum Wsparcia Społecznego – wdrożenie lokalnego planu deinstytucjonalizacji usług społecznych na terenie Miasta Włocławka”</t>
  </si>
  <si>
    <t>składki na Fundusz Pracy oraz Fundusz Solidarnościowy</t>
  </si>
  <si>
    <t>Dom Pomocy Społecznej ul. Nowomiejska 19 - projekt pn. „Centrum Wsparcia Społecznego – wdrożenie lokalnego planu deinstytucjonalizacji usług społecznych na terenie Miasta Włocławka”</t>
  </si>
  <si>
    <t xml:space="preserve">Miejski Ośrodek Pomocy Rodzinie - projekt pn. </t>
  </si>
  <si>
    <t xml:space="preserve">"Reintegracja społeczna mieszkańców Włocławka,  </t>
  </si>
  <si>
    <t>w tym w obszarze rewitalizacji"</t>
  </si>
  <si>
    <t>różne opłaty i składki</t>
  </si>
  <si>
    <t>Pozostałe zadania w zakresie polityki społecznej</t>
  </si>
  <si>
    <t>Zespoły do spraw orzekania o niepełnosprawności</t>
  </si>
  <si>
    <t>Miejski Zespół do Spraw Orzekania o Niepełnosprawności</t>
  </si>
  <si>
    <t>Miejska Jadłodajnia "U Świętego Antoniego"</t>
  </si>
  <si>
    <t>Miejski Ośrodek Pomocy Rodzinie - projekt pn. "Usługi indywidualnego transportu door-to-door - dla mieszkańców Miasta Włocławka"</t>
  </si>
  <si>
    <t>Poradnie psychologiczno - pedagogiczne, w tym</t>
  </si>
  <si>
    <t>poradnie specjalistyczne</t>
  </si>
  <si>
    <t>stypendia dla uczniów</t>
  </si>
  <si>
    <t>Młodzieżowe ośrodki wychowawcze</t>
  </si>
  <si>
    <t>Wspieranie rodziny</t>
  </si>
  <si>
    <t>Miejski Ośrodek Pomocy Rodzinie - asystent rodziny</t>
  </si>
  <si>
    <t>Centrum Opieki nad Dzieckiem</t>
  </si>
  <si>
    <t>4230</t>
  </si>
  <si>
    <t>zakup leków, wyrobów medycznych i produktów biobójczych</t>
  </si>
  <si>
    <t xml:space="preserve">Placówka Opiekuńczo - Wychowawcza Nr 1 "Maluch" </t>
  </si>
  <si>
    <t xml:space="preserve">Placówka Opiekuńczo - Wychowawcza Nr 2 "Calineczka" </t>
  </si>
  <si>
    <t>Gospodarka komunalna i ochrona środowiska</t>
  </si>
  <si>
    <t>Utrzymanie zieleni w miastach i gminach</t>
  </si>
  <si>
    <t>Wydatki na zadania zlecone:</t>
  </si>
  <si>
    <t>Wydział Organizacyjno - Prawny i Kadr - Fundusz Pomocy (nadanie numeru PESEL)</t>
  </si>
  <si>
    <t>wynagrodzenia i uposażenia wypłacane w związku z pomocą obywatelom Ukrainy</t>
  </si>
  <si>
    <t>Urzędy naczelnych organów władzy państwowej,</t>
  </si>
  <si>
    <t>kontroli i ochrony prawa oraz sądownictwa</t>
  </si>
  <si>
    <t xml:space="preserve">kontroli i ochrony prawa </t>
  </si>
  <si>
    <t>Wydział Spraw Obywatelskich</t>
  </si>
  <si>
    <t>Miejski Ośrodek Pomocy Rodzinie - Fundusz Pomocy (świadczenie pieniężne - 40 zł za osobę dziennie)</t>
  </si>
  <si>
    <t>świadczenia związane z udzielaniem pomocy obywatelom Ukrainy</t>
  </si>
  <si>
    <t>Wydział Zarządzania Kryzysowego i Bezpieczeństwa - Fundusz Pomocy (zapewnienie zakwaterowania i wyżywienia obywatelom Ukrainy)</t>
  </si>
  <si>
    <t>Administracja Zasobów Komunalnych - Fundusz Pomocy (zapewnienie zakwaterowania i wyżywienia obywatelom Ukrainy)</t>
  </si>
  <si>
    <t>Zapewnienie uczniom prawa do bezpłatnego dostępu</t>
  </si>
  <si>
    <t>do podręczników, materiałów edukacyjnych lub materiałów</t>
  </si>
  <si>
    <t>ćwiczeniowych</t>
  </si>
  <si>
    <t>dotacja celowa z budżetu na finansowanie lub dofinansowanie zadań zleconych do realizacji pozostałym jednostkom niezaliczanym do sektora finansów publicznych</t>
  </si>
  <si>
    <t>Środowiskowy Dom Samopomocy</t>
  </si>
  <si>
    <t xml:space="preserve">zakup usług pozostałych </t>
  </si>
  <si>
    <t>różne opłaty i skłaki</t>
  </si>
  <si>
    <t>Środowiskowy Dom Samopomocy - Klub Samopomocy</t>
  </si>
  <si>
    <t>"Rozumiem i wspieram"</t>
  </si>
  <si>
    <t>Świadczenia rodzinne, świadczenie z funduszu</t>
  </si>
  <si>
    <t>alimentacyjnego oraz składki na ubezpieczenia</t>
  </si>
  <si>
    <t>emerytalne i rentowe z ubezpieczenia społecznego</t>
  </si>
  <si>
    <t>Wydział Polityki Społecznej i Zdrowia Publicznego</t>
  </si>
  <si>
    <t>Wydatki na zadania rządowe:</t>
  </si>
  <si>
    <t>710</t>
  </si>
  <si>
    <t>Działalność usługowa</t>
  </si>
  <si>
    <t>Nadzór budowlany</t>
  </si>
  <si>
    <t xml:space="preserve">Powiatowy Inspektorat Nadzoru Budowlanego Miasta </t>
  </si>
  <si>
    <t>Włocławka</t>
  </si>
  <si>
    <t>wynagrodzenia osobowe członków korpusu służby cywilnej</t>
  </si>
  <si>
    <t>podatek od nieruchomości</t>
  </si>
  <si>
    <t>Bezpieczeństwo publiczne i ochrona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</si>
  <si>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</si>
  <si>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Komenda Miejska Państwowej Straży Pożarnej</t>
  </si>
  <si>
    <t>wydatki osobowe niezaliczone do uposażeń wypłacane żołnierzom i funkcjonariuszom</t>
  </si>
  <si>
    <t>uposażenia żołnierzy zawodowych oraz funkcjonariuszy</t>
  </si>
  <si>
    <t>inne należności żołnierzy zawodowych oraz funkcjonariuszy zaliczane do wynagrodzeń</t>
  </si>
  <si>
    <t>uposażenia i świadczenia pieniężne wypłacane przez okres roku żołnierzom i funkcjonariuszom zwolnionym ze służby</t>
  </si>
  <si>
    <t>równoważniki pieniężne i ekwiwalenty dla żołnierzy i funkcjonariuszy oraz pozostałe należności</t>
  </si>
  <si>
    <t>Zadania w zakresie przeciwdziałania przemocy w rodzinie</t>
  </si>
  <si>
    <t>Miejski Ośrodek Pomocy Rodzinie - Specjalistyczny Ośrodek Wsparcia dla ofiar przemocy w rodzinie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</si>
</sst>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7"/>
      <name val="Arial CE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b/>
      <sz val="9"/>
      <name val="Arial CE"/>
      <family val="2"/>
      <charset val="238"/>
    </font>
    <font>
      <sz val="6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i/>
      <sz val="9"/>
      <name val="Arial CE"/>
      <charset val="238"/>
    </font>
    <font>
      <sz val="8"/>
      <color rgb="FFFF0000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color theme="1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43" fontId="25" fillId="0" borderId="0" applyFont="0" applyFill="0" applyBorder="0" applyAlignment="0" applyProtection="0"/>
    <xf numFmtId="0" fontId="31" fillId="0" borderId="0"/>
  </cellStyleXfs>
  <cellXfs count="3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1" applyFont="1"/>
    <xf numFmtId="0" fontId="1" fillId="0" borderId="0" xfId="1" applyFont="1" applyAlignment="1">
      <alignment horizontal="left"/>
    </xf>
    <xf numFmtId="0" fontId="6" fillId="0" borderId="0" xfId="1" applyFont="1"/>
    <xf numFmtId="0" fontId="3" fillId="0" borderId="0" xfId="1" applyFont="1" applyAlignment="1">
      <alignment horizontal="centerContinuous" vertical="center" wrapText="1"/>
    </xf>
    <xf numFmtId="0" fontId="3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Continuous" vertical="center" wrapText="1"/>
    </xf>
    <xf numFmtId="0" fontId="8" fillId="2" borderId="9" xfId="1" applyFont="1" applyFill="1" applyBorder="1" applyAlignment="1">
      <alignment horizontal="centerContinuous" vertical="center" wrapText="1"/>
    </xf>
    <xf numFmtId="0" fontId="8" fillId="2" borderId="10" xfId="1" applyFont="1" applyFill="1" applyBorder="1" applyAlignment="1">
      <alignment horizontal="centerContinuous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top" wrapText="1"/>
    </xf>
    <xf numFmtId="0" fontId="8" fillId="2" borderId="11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4" fontId="7" fillId="0" borderId="0" xfId="1" applyNumberFormat="1" applyFont="1"/>
    <xf numFmtId="0" fontId="3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 wrapText="1"/>
    </xf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8" fillId="2" borderId="1" xfId="1" applyFont="1" applyFill="1" applyBorder="1" applyAlignment="1">
      <alignment horizontal="center" vertical="top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11" fillId="0" borderId="0" xfId="1" applyFont="1"/>
    <xf numFmtId="0" fontId="11" fillId="0" borderId="0" xfId="1" applyFont="1" applyAlignment="1">
      <alignment vertical="center"/>
    </xf>
    <xf numFmtId="0" fontId="8" fillId="2" borderId="5" xfId="1" applyFont="1" applyFill="1" applyBorder="1" applyAlignment="1">
      <alignment horizontal="center" vertical="top"/>
    </xf>
    <xf numFmtId="0" fontId="4" fillId="0" borderId="11" xfId="1" applyFont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vertical="center"/>
    </xf>
    <xf numFmtId="0" fontId="11" fillId="0" borderId="14" xfId="1" applyFont="1" applyBorder="1" applyAlignment="1">
      <alignment vertical="center"/>
    </xf>
    <xf numFmtId="4" fontId="11" fillId="0" borderId="15" xfId="1" applyNumberFormat="1" applyFont="1" applyBorder="1" applyAlignment="1">
      <alignment vertical="center"/>
    </xf>
    <xf numFmtId="0" fontId="13" fillId="0" borderId="0" xfId="1" applyFont="1"/>
    <xf numFmtId="0" fontId="7" fillId="0" borderId="0" xfId="1" applyFont="1"/>
    <xf numFmtId="0" fontId="7" fillId="0" borderId="0" xfId="1" applyFont="1" applyAlignment="1">
      <alignment vertical="center"/>
    </xf>
    <xf numFmtId="4" fontId="11" fillId="0" borderId="14" xfId="1" applyNumberFormat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0" fontId="11" fillId="0" borderId="16" xfId="1" applyFont="1" applyBorder="1" applyAlignment="1">
      <alignment vertical="center"/>
    </xf>
    <xf numFmtId="4" fontId="11" fillId="0" borderId="3" xfId="1" applyNumberFormat="1" applyFont="1" applyBorder="1" applyAlignment="1">
      <alignment vertical="center"/>
    </xf>
    <xf numFmtId="0" fontId="8" fillId="0" borderId="8" xfId="1" applyFont="1" applyBorder="1" applyAlignment="1">
      <alignment horizontal="centerContinuous" vertical="center"/>
    </xf>
    <xf numFmtId="4" fontId="8" fillId="0" borderId="11" xfId="1" applyNumberFormat="1" applyFont="1" applyBorder="1" applyAlignment="1">
      <alignment vertical="center"/>
    </xf>
    <xf numFmtId="0" fontId="1" fillId="0" borderId="0" xfId="2" applyFont="1"/>
    <xf numFmtId="0" fontId="1" fillId="0" borderId="0" xfId="2" applyFont="1" applyAlignment="1">
      <alignment horizontal="left"/>
    </xf>
    <xf numFmtId="0" fontId="7" fillId="0" borderId="0" xfId="2" applyFont="1"/>
    <xf numFmtId="0" fontId="11" fillId="0" borderId="0" xfId="2" applyFont="1"/>
    <xf numFmtId="0" fontId="3" fillId="0" borderId="0" xfId="2" applyFont="1" applyAlignment="1">
      <alignment horizontal="centerContinuous" vertical="center" wrapText="1"/>
    </xf>
    <xf numFmtId="0" fontId="14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3" fillId="0" borderId="11" xfId="2" applyFont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Continuous" vertical="center"/>
    </xf>
    <xf numFmtId="0" fontId="9" fillId="0" borderId="11" xfId="2" applyFont="1" applyBorder="1" applyAlignment="1">
      <alignment horizontal="center" vertical="center"/>
    </xf>
    <xf numFmtId="0" fontId="9" fillId="0" borderId="8" xfId="2" applyFont="1" applyBorder="1" applyAlignment="1">
      <alignment horizontal="centerContinuous" vertical="center"/>
    </xf>
    <xf numFmtId="0" fontId="6" fillId="0" borderId="0" xfId="2" applyFont="1"/>
    <xf numFmtId="0" fontId="9" fillId="0" borderId="0" xfId="2" applyFont="1"/>
    <xf numFmtId="0" fontId="15" fillId="0" borderId="11" xfId="2" applyFont="1" applyBorder="1" applyAlignment="1">
      <alignment vertical="center"/>
    </xf>
    <xf numFmtId="0" fontId="16" fillId="0" borderId="11" xfId="2" applyFont="1" applyBorder="1" applyAlignment="1">
      <alignment horizontal="left" vertical="center"/>
    </xf>
    <xf numFmtId="4" fontId="15" fillId="0" borderId="11" xfId="2" applyNumberFormat="1" applyFont="1" applyBorder="1"/>
    <xf numFmtId="0" fontId="13" fillId="0" borderId="0" xfId="2" applyFont="1"/>
    <xf numFmtId="0" fontId="15" fillId="0" borderId="11" xfId="2" applyFont="1" applyBorder="1" applyAlignment="1">
      <alignment vertical="top"/>
    </xf>
    <xf numFmtId="0" fontId="15" fillId="0" borderId="8" xfId="2" applyFont="1" applyBorder="1" applyAlignment="1">
      <alignment vertical="top" wrapText="1"/>
    </xf>
    <xf numFmtId="4" fontId="15" fillId="0" borderId="11" xfId="2" applyNumberFormat="1" applyFont="1" applyBorder="1" applyAlignment="1">
      <alignment vertical="center"/>
    </xf>
    <xf numFmtId="4" fontId="11" fillId="0" borderId="0" xfId="2" applyNumberFormat="1" applyFont="1"/>
    <xf numFmtId="0" fontId="15" fillId="0" borderId="11" xfId="2" applyFont="1" applyBorder="1"/>
    <xf numFmtId="0" fontId="15" fillId="0" borderId="8" xfId="2" applyFont="1" applyBorder="1"/>
    <xf numFmtId="0" fontId="15" fillId="0" borderId="2" xfId="2" applyFont="1" applyBorder="1"/>
    <xf numFmtId="0" fontId="15" fillId="0" borderId="17" xfId="2" applyFont="1" applyBorder="1"/>
    <xf numFmtId="0" fontId="15" fillId="0" borderId="18" xfId="2" applyFont="1" applyBorder="1"/>
    <xf numFmtId="0" fontId="6" fillId="0" borderId="19" xfId="2" applyFont="1" applyBorder="1" applyAlignment="1">
      <alignment vertical="center" wrapText="1"/>
    </xf>
    <xf numFmtId="4" fontId="15" fillId="0" borderId="20" xfId="2" applyNumberFormat="1" applyFont="1" applyBorder="1"/>
    <xf numFmtId="0" fontId="15" fillId="0" borderId="4" xfId="2" applyFont="1" applyBorder="1"/>
    <xf numFmtId="0" fontId="15" fillId="0" borderId="0" xfId="2" applyFont="1"/>
    <xf numFmtId="0" fontId="15" fillId="0" borderId="21" xfId="2" applyFont="1" applyBorder="1"/>
    <xf numFmtId="0" fontId="6" fillId="0" borderId="22" xfId="2" applyFont="1" applyBorder="1" applyAlignment="1">
      <alignment horizontal="left" wrapText="1"/>
    </xf>
    <xf numFmtId="4" fontId="15" fillId="0" borderId="7" xfId="2" applyNumberFormat="1" applyFont="1" applyBorder="1"/>
    <xf numFmtId="0" fontId="15" fillId="0" borderId="6" xfId="2" applyFont="1" applyBorder="1"/>
    <xf numFmtId="0" fontId="15" fillId="0" borderId="13" xfId="2" applyFont="1" applyBorder="1"/>
    <xf numFmtId="0" fontId="15" fillId="0" borderId="12" xfId="2" applyFont="1" applyBorder="1"/>
    <xf numFmtId="0" fontId="6" fillId="0" borderId="6" xfId="2" applyFont="1" applyBorder="1" applyAlignment="1">
      <alignment vertical="center" wrapText="1"/>
    </xf>
    <xf numFmtId="4" fontId="15" fillId="0" borderId="5" xfId="2" applyNumberFormat="1" applyFont="1" applyBorder="1"/>
    <xf numFmtId="0" fontId="6" fillId="0" borderId="23" xfId="2" applyFont="1" applyBorder="1" applyAlignment="1">
      <alignment vertical="center" wrapText="1"/>
    </xf>
    <xf numFmtId="4" fontId="15" fillId="0" borderId="22" xfId="2" applyNumberFormat="1" applyFont="1" applyBorder="1"/>
    <xf numFmtId="0" fontId="6" fillId="0" borderId="22" xfId="2" applyFont="1" applyBorder="1"/>
    <xf numFmtId="0" fontId="6" fillId="0" borderId="24" xfId="2" applyFont="1" applyBorder="1" applyAlignment="1">
      <alignment wrapText="1"/>
    </xf>
    <xf numFmtId="0" fontId="6" fillId="0" borderId="24" xfId="2" applyFont="1" applyBorder="1"/>
    <xf numFmtId="0" fontId="15" fillId="0" borderId="9" xfId="2" applyFont="1" applyBorder="1"/>
    <xf numFmtId="0" fontId="15" fillId="0" borderId="10" xfId="2" applyFont="1" applyBorder="1"/>
    <xf numFmtId="0" fontId="6" fillId="0" borderId="20" xfId="2" applyFont="1" applyBorder="1" applyAlignment="1">
      <alignment horizontal="left" wrapText="1"/>
    </xf>
    <xf numFmtId="0" fontId="6" fillId="0" borderId="20" xfId="2" applyFont="1" applyBorder="1" applyAlignment="1">
      <alignment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center" wrapText="1"/>
    </xf>
    <xf numFmtId="0" fontId="16" fillId="0" borderId="11" xfId="3" applyFont="1" applyBorder="1" applyAlignment="1">
      <alignment vertical="top"/>
    </xf>
    <xf numFmtId="0" fontId="15" fillId="0" borderId="8" xfId="3" applyFont="1" applyBorder="1" applyAlignment="1">
      <alignment vertical="top" wrapText="1"/>
    </xf>
    <xf numFmtId="4" fontId="15" fillId="0" borderId="11" xfId="3" applyNumberFormat="1" applyFont="1" applyBorder="1" applyAlignment="1">
      <alignment vertical="center"/>
    </xf>
    <xf numFmtId="0" fontId="6" fillId="0" borderId="1" xfId="3" applyFont="1" applyBorder="1" applyAlignment="1">
      <alignment vertical="top"/>
    </xf>
    <xf numFmtId="0" fontId="6" fillId="0" borderId="19" xfId="3" applyFont="1" applyBorder="1" applyAlignment="1">
      <alignment vertical="center" wrapText="1"/>
    </xf>
    <xf numFmtId="3" fontId="6" fillId="0" borderId="20" xfId="3" applyNumberFormat="1" applyFont="1" applyBorder="1"/>
    <xf numFmtId="0" fontId="6" fillId="0" borderId="3" xfId="3" applyFont="1" applyBorder="1" applyAlignment="1">
      <alignment vertical="top"/>
    </xf>
    <xf numFmtId="0" fontId="6" fillId="0" borderId="23" xfId="3" applyFont="1" applyBorder="1" applyAlignment="1">
      <alignment vertical="center" wrapText="1"/>
    </xf>
    <xf numFmtId="3" fontId="6" fillId="0" borderId="22" xfId="3" applyNumberFormat="1" applyFont="1" applyBorder="1"/>
    <xf numFmtId="0" fontId="6" fillId="0" borderId="26" xfId="3" applyFont="1" applyBorder="1" applyAlignment="1">
      <alignment vertical="center" wrapText="1"/>
    </xf>
    <xf numFmtId="3" fontId="6" fillId="0" borderId="27" xfId="3" applyNumberFormat="1" applyFont="1" applyBorder="1"/>
    <xf numFmtId="0" fontId="6" fillId="0" borderId="5" xfId="3" applyFont="1" applyBorder="1" applyAlignment="1">
      <alignment vertical="top"/>
    </xf>
    <xf numFmtId="0" fontId="6" fillId="0" borderId="25" xfId="3" applyFont="1" applyBorder="1" applyAlignment="1">
      <alignment vertical="center" wrapText="1"/>
    </xf>
    <xf numFmtId="3" fontId="6" fillId="0" borderId="28" xfId="3" applyNumberFormat="1" applyFont="1" applyBorder="1"/>
    <xf numFmtId="0" fontId="15" fillId="0" borderId="5" xfId="2" applyFont="1" applyBorder="1" applyAlignment="1">
      <alignment vertical="top"/>
    </xf>
    <xf numFmtId="0" fontId="15" fillId="0" borderId="6" xfId="2" applyFont="1" applyBorder="1" applyAlignment="1">
      <alignment vertical="center" wrapText="1"/>
    </xf>
    <xf numFmtId="4" fontId="15" fillId="0" borderId="5" xfId="2" applyNumberFormat="1" applyFont="1" applyBorder="1" applyAlignment="1">
      <alignment vertical="center"/>
    </xf>
    <xf numFmtId="0" fontId="15" fillId="0" borderId="1" xfId="2" applyFont="1" applyBorder="1" applyAlignment="1">
      <alignment vertical="top"/>
    </xf>
    <xf numFmtId="0" fontId="15" fillId="0" borderId="18" xfId="2" applyFont="1" applyBorder="1" applyAlignment="1">
      <alignment vertical="top"/>
    </xf>
    <xf numFmtId="0" fontId="15" fillId="0" borderId="1" xfId="2" applyFont="1" applyBorder="1" applyAlignment="1">
      <alignment horizontal="right" vertical="center"/>
    </xf>
    <xf numFmtId="0" fontId="15" fillId="0" borderId="18" xfId="2" applyFont="1" applyBorder="1" applyAlignment="1">
      <alignment horizontal="right" vertical="center"/>
    </xf>
    <xf numFmtId="0" fontId="15" fillId="0" borderId="8" xfId="2" applyFont="1" applyBorder="1" applyAlignment="1">
      <alignment wrapText="1"/>
    </xf>
    <xf numFmtId="0" fontId="15" fillId="0" borderId="12" xfId="2" applyFont="1" applyBorder="1" applyAlignment="1">
      <alignment vertical="top"/>
    </xf>
    <xf numFmtId="0" fontId="15" fillId="0" borderId="6" xfId="2" applyFont="1" applyBorder="1" applyAlignment="1">
      <alignment wrapText="1"/>
    </xf>
    <xf numFmtId="0" fontId="6" fillId="0" borderId="23" xfId="2" applyFont="1" applyBorder="1" applyAlignment="1">
      <alignment horizontal="left" wrapText="1"/>
    </xf>
    <xf numFmtId="0" fontId="18" fillId="0" borderId="0" xfId="2" applyFont="1"/>
    <xf numFmtId="0" fontId="6" fillId="0" borderId="24" xfId="2" applyFont="1" applyBorder="1" applyAlignment="1">
      <alignment horizontal="left" wrapText="1"/>
    </xf>
    <xf numFmtId="0" fontId="6" fillId="0" borderId="23" xfId="2" applyFont="1" applyBorder="1" applyAlignment="1">
      <alignment horizontal="left" vertical="center" wrapText="1"/>
    </xf>
    <xf numFmtId="0" fontId="6" fillId="0" borderId="23" xfId="2" applyFont="1" applyBorder="1"/>
    <xf numFmtId="0" fontId="6" fillId="0" borderId="6" xfId="2" applyFont="1" applyBorder="1" applyAlignment="1">
      <alignment horizontal="left" wrapText="1"/>
    </xf>
    <xf numFmtId="0" fontId="6" fillId="0" borderId="19" xfId="2" applyFont="1" applyBorder="1" applyAlignment="1">
      <alignment horizontal="left" vertical="center" wrapText="1"/>
    </xf>
    <xf numFmtId="0" fontId="6" fillId="0" borderId="13" xfId="2" applyFont="1" applyBorder="1"/>
    <xf numFmtId="0" fontId="6" fillId="0" borderId="24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8" xfId="2" applyFont="1" applyBorder="1" applyAlignment="1">
      <alignment horizontal="left" vertical="center" wrapText="1"/>
    </xf>
    <xf numFmtId="0" fontId="19" fillId="0" borderId="19" xfId="2" applyFont="1" applyBorder="1"/>
    <xf numFmtId="0" fontId="19" fillId="0" borderId="24" xfId="2" applyFont="1" applyBorder="1"/>
    <xf numFmtId="0" fontId="19" fillId="0" borderId="23" xfId="2" applyFont="1" applyBorder="1"/>
    <xf numFmtId="4" fontId="15" fillId="0" borderId="14" xfId="2" applyNumberFormat="1" applyFont="1" applyBorder="1"/>
    <xf numFmtId="0" fontId="6" fillId="0" borderId="6" xfId="2" applyFont="1" applyBorder="1" applyAlignment="1">
      <alignment horizontal="left" vertical="center" wrapText="1"/>
    </xf>
    <xf numFmtId="0" fontId="19" fillId="0" borderId="8" xfId="2" applyFont="1" applyBorder="1"/>
    <xf numFmtId="0" fontId="6" fillId="0" borderId="6" xfId="2" applyFont="1" applyBorder="1" applyAlignment="1">
      <alignment vertical="top" wrapText="1"/>
    </xf>
    <xf numFmtId="0" fontId="6" fillId="0" borderId="19" xfId="2" applyFont="1" applyBorder="1" applyAlignment="1">
      <alignment horizontal="left" wrapText="1"/>
    </xf>
    <xf numFmtId="0" fontId="6" fillId="0" borderId="22" xfId="2" applyFont="1" applyBorder="1" applyAlignment="1">
      <alignment horizontal="left" vertical="center" wrapText="1"/>
    </xf>
    <xf numFmtId="0" fontId="15" fillId="0" borderId="5" xfId="2" applyFont="1" applyBorder="1"/>
    <xf numFmtId="0" fontId="6" fillId="0" borderId="8" xfId="2" applyFont="1" applyBorder="1" applyAlignment="1">
      <alignment vertical="top" wrapText="1"/>
    </xf>
    <xf numFmtId="0" fontId="6" fillId="0" borderId="8" xfId="2" applyFont="1" applyBorder="1"/>
    <xf numFmtId="0" fontId="15" fillId="0" borderId="8" xfId="2" applyFont="1" applyBorder="1" applyAlignment="1">
      <alignment horizontal="left" vertical="top" wrapText="1"/>
    </xf>
    <xf numFmtId="0" fontId="6" fillId="0" borderId="19" xfId="2" applyFont="1" applyBorder="1" applyAlignment="1">
      <alignment vertical="top" wrapText="1"/>
    </xf>
    <xf numFmtId="0" fontId="6" fillId="0" borderId="13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" fontId="2" fillId="0" borderId="11" xfId="2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" fontId="20" fillId="0" borderId="5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49" fontId="11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20" fillId="0" borderId="11" xfId="0" applyNumberFormat="1" applyFont="1" applyBorder="1" applyAlignment="1">
      <alignment vertical="center"/>
    </xf>
    <xf numFmtId="0" fontId="21" fillId="0" borderId="0" xfId="0" applyFont="1"/>
    <xf numFmtId="4" fontId="11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49" fontId="11" fillId="0" borderId="12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0" fontId="21" fillId="0" borderId="0" xfId="0" applyFont="1" applyAlignment="1">
      <alignment vertical="center" wrapText="1"/>
    </xf>
    <xf numFmtId="49" fontId="11" fillId="0" borderId="21" xfId="0" applyNumberFormat="1" applyFont="1" applyBorder="1" applyAlignment="1">
      <alignment horizontal="center" vertical="center"/>
    </xf>
    <xf numFmtId="4" fontId="7" fillId="0" borderId="0" xfId="0" applyNumberFormat="1" applyFont="1"/>
    <xf numFmtId="4" fontId="11" fillId="0" borderId="3" xfId="0" applyNumberFormat="1" applyFont="1" applyBorder="1" applyAlignment="1">
      <alignment horizontal="right" vertical="center"/>
    </xf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0" fontId="23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6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26" fillId="0" borderId="2" xfId="0" applyFont="1" applyBorder="1"/>
    <xf numFmtId="0" fontId="26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7" fillId="0" borderId="0" xfId="0" applyFont="1"/>
    <xf numFmtId="0" fontId="26" fillId="0" borderId="3" xfId="0" applyFont="1" applyBorder="1" applyAlignment="1">
      <alignment horizontal="center"/>
    </xf>
    <xf numFmtId="49" fontId="26" fillId="0" borderId="3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49" fontId="26" fillId="0" borderId="5" xfId="0" applyNumberFormat="1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3" fontId="26" fillId="0" borderId="5" xfId="0" applyNumberFormat="1" applyFont="1" applyBorder="1" applyAlignment="1">
      <alignment horizontal="center"/>
    </xf>
    <xf numFmtId="3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0" fontId="26" fillId="0" borderId="29" xfId="0" applyFont="1" applyBorder="1"/>
    <xf numFmtId="4" fontId="26" fillId="0" borderId="30" xfId="0" applyNumberFormat="1" applyFont="1" applyBorder="1"/>
    <xf numFmtId="0" fontId="26" fillId="0" borderId="31" xfId="0" applyFont="1" applyBorder="1"/>
    <xf numFmtId="4" fontId="26" fillId="0" borderId="32" xfId="0" applyNumberFormat="1" applyFont="1" applyBorder="1"/>
    <xf numFmtId="3" fontId="26" fillId="0" borderId="3" xfId="0" applyNumberFormat="1" applyFont="1" applyBorder="1" applyAlignment="1">
      <alignment horizontal="right"/>
    </xf>
    <xf numFmtId="3" fontId="26" fillId="0" borderId="3" xfId="0" applyNumberFormat="1" applyFont="1" applyBorder="1"/>
    <xf numFmtId="49" fontId="26" fillId="0" borderId="3" xfId="0" applyNumberFormat="1" applyFont="1" applyBorder="1" applyAlignment="1">
      <alignment horizontal="right"/>
    </xf>
    <xf numFmtId="3" fontId="26" fillId="0" borderId="4" xfId="0" applyNumberFormat="1" applyFont="1" applyBorder="1"/>
    <xf numFmtId="4" fontId="26" fillId="0" borderId="3" xfId="0" applyNumberFormat="1" applyFont="1" applyBorder="1"/>
    <xf numFmtId="4" fontId="26" fillId="0" borderId="32" xfId="0" applyNumberFormat="1" applyFont="1" applyBorder="1" applyAlignment="1">
      <alignment horizontal="right"/>
    </xf>
    <xf numFmtId="0" fontId="26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6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4" fontId="1" fillId="0" borderId="27" xfId="0" applyNumberFormat="1" applyFont="1" applyBorder="1"/>
    <xf numFmtId="0" fontId="26" fillId="0" borderId="4" xfId="0" applyFont="1" applyBorder="1"/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 applyAlignment="1">
      <alignment horizontal="right"/>
    </xf>
    <xf numFmtId="0" fontId="28" fillId="0" borderId="6" xfId="0" applyFont="1" applyBorder="1" applyAlignment="1">
      <alignment horizontal="left"/>
    </xf>
    <xf numFmtId="0" fontId="28" fillId="0" borderId="5" xfId="4" applyNumberFormat="1" applyFont="1" applyBorder="1" applyAlignment="1">
      <alignment horizontal="left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left" wrapText="1"/>
    </xf>
    <xf numFmtId="4" fontId="28" fillId="0" borderId="3" xfId="0" applyNumberFormat="1" applyFont="1" applyBorder="1" applyAlignment="1">
      <alignment horizontal="right"/>
    </xf>
    <xf numFmtId="3" fontId="26" fillId="0" borderId="5" xfId="0" applyNumberFormat="1" applyFont="1" applyBorder="1"/>
    <xf numFmtId="49" fontId="1" fillId="0" borderId="5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 wrapText="1"/>
    </xf>
    <xf numFmtId="4" fontId="28" fillId="0" borderId="5" xfId="0" applyNumberFormat="1" applyFont="1" applyBorder="1" applyAlignment="1">
      <alignment horizontal="right"/>
    </xf>
    <xf numFmtId="4" fontId="28" fillId="0" borderId="5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4" fontId="28" fillId="0" borderId="3" xfId="0" applyNumberFormat="1" applyFont="1" applyBorder="1"/>
    <xf numFmtId="0" fontId="28" fillId="0" borderId="3" xfId="0" applyFont="1" applyBorder="1" applyAlignment="1">
      <alignment horizontal="right" vertical="top"/>
    </xf>
    <xf numFmtId="0" fontId="28" fillId="0" borderId="4" xfId="0" applyFont="1" applyBorder="1" applyAlignment="1">
      <alignment wrapText="1"/>
    </xf>
    <xf numFmtId="4" fontId="30" fillId="0" borderId="32" xfId="0" applyNumberFormat="1" applyFont="1" applyBorder="1"/>
    <xf numFmtId="0" fontId="28" fillId="0" borderId="3" xfId="0" applyFont="1" applyBorder="1" applyAlignment="1">
      <alignment horizontal="right"/>
    </xf>
    <xf numFmtId="0" fontId="28" fillId="0" borderId="3" xfId="0" applyFont="1" applyBorder="1"/>
    <xf numFmtId="49" fontId="28" fillId="0" borderId="3" xfId="0" applyNumberFormat="1" applyFont="1" applyBorder="1" applyAlignment="1">
      <alignment horizontal="right"/>
    </xf>
    <xf numFmtId="0" fontId="28" fillId="0" borderId="4" xfId="0" applyFont="1" applyBorder="1"/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7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28" fillId="0" borderId="6" xfId="0" applyFont="1" applyBorder="1"/>
    <xf numFmtId="0" fontId="29" fillId="0" borderId="0" xfId="0" applyFont="1"/>
    <xf numFmtId="49" fontId="28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wrapText="1"/>
    </xf>
    <xf numFmtId="0" fontId="28" fillId="0" borderId="5" xfId="0" applyFont="1" applyBorder="1"/>
    <xf numFmtId="0" fontId="28" fillId="0" borderId="5" xfId="0" applyFont="1" applyBorder="1" applyAlignment="1">
      <alignment horizontal="right"/>
    </xf>
    <xf numFmtId="0" fontId="29" fillId="0" borderId="13" xfId="0" applyFont="1" applyBorder="1"/>
    <xf numFmtId="0" fontId="28" fillId="0" borderId="3" xfId="0" applyFont="1" applyBorder="1" applyAlignment="1">
      <alignment horizontal="center"/>
    </xf>
    <xf numFmtId="49" fontId="28" fillId="0" borderId="5" xfId="0" applyNumberFormat="1" applyFont="1" applyBorder="1" applyAlignment="1">
      <alignment horizontal="right" vertical="top"/>
    </xf>
    <xf numFmtId="0" fontId="28" fillId="0" borderId="6" xfId="0" applyFont="1" applyBorder="1" applyAlignment="1">
      <alignment wrapText="1"/>
    </xf>
    <xf numFmtId="0" fontId="1" fillId="0" borderId="4" xfId="0" applyFont="1" applyBorder="1" applyAlignment="1">
      <alignment vertical="top"/>
    </xf>
    <xf numFmtId="3" fontId="1" fillId="0" borderId="6" xfId="0" applyNumberFormat="1" applyFont="1" applyBorder="1"/>
    <xf numFmtId="3" fontId="28" fillId="0" borderId="4" xfId="0" applyNumberFormat="1" applyFont="1" applyBorder="1"/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top"/>
    </xf>
    <xf numFmtId="4" fontId="30" fillId="0" borderId="32" xfId="0" applyNumberFormat="1" applyFont="1" applyBorder="1" applyAlignment="1">
      <alignment horizontal="right"/>
    </xf>
    <xf numFmtId="49" fontId="28" fillId="0" borderId="5" xfId="0" applyNumberFormat="1" applyFont="1" applyBorder="1" applyAlignment="1">
      <alignment horizontal="right"/>
    </xf>
    <xf numFmtId="0" fontId="28" fillId="0" borderId="4" xfId="0" applyFont="1" applyBorder="1" applyAlignment="1">
      <alignment vertical="top"/>
    </xf>
    <xf numFmtId="0" fontId="30" fillId="0" borderId="3" xfId="0" applyFont="1" applyBorder="1" applyAlignment="1">
      <alignment horizontal="center"/>
    </xf>
    <xf numFmtId="3" fontId="28" fillId="0" borderId="6" xfId="0" applyNumberFormat="1" applyFont="1" applyBorder="1"/>
    <xf numFmtId="49" fontId="28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49" fontId="26" fillId="0" borderId="5" xfId="0" applyNumberFormat="1" applyFont="1" applyBorder="1" applyAlignment="1">
      <alignment horizontal="right"/>
    </xf>
    <xf numFmtId="4" fontId="1" fillId="0" borderId="7" xfId="0" applyNumberFormat="1" applyFont="1" applyBorder="1"/>
    <xf numFmtId="4" fontId="26" fillId="0" borderId="3" xfId="0" applyNumberFormat="1" applyFont="1" applyBorder="1" applyAlignment="1">
      <alignment horizontal="right"/>
    </xf>
    <xf numFmtId="0" fontId="28" fillId="0" borderId="4" xfId="0" applyFont="1" applyBorder="1" applyAlignment="1">
      <alignment vertical="top" wrapText="1"/>
    </xf>
    <xf numFmtId="0" fontId="28" fillId="0" borderId="5" xfId="0" applyFont="1" applyBorder="1" applyAlignment="1">
      <alignment horizontal="left"/>
    </xf>
    <xf numFmtId="3" fontId="1" fillId="0" borderId="4" xfId="0" applyNumberFormat="1" applyFont="1" applyBorder="1" applyAlignment="1">
      <alignment wrapText="1"/>
    </xf>
    <xf numFmtId="0" fontId="1" fillId="0" borderId="6" xfId="0" applyFont="1" applyBorder="1" applyAlignment="1">
      <alignment vertical="top"/>
    </xf>
    <xf numFmtId="3" fontId="28" fillId="0" borderId="3" xfId="0" applyNumberFormat="1" applyFont="1" applyBorder="1"/>
    <xf numFmtId="3" fontId="28" fillId="0" borderId="5" xfId="0" applyNumberFormat="1" applyFont="1" applyBorder="1"/>
    <xf numFmtId="0" fontId="30" fillId="0" borderId="3" xfId="5" applyFont="1" applyBorder="1" applyAlignment="1">
      <alignment horizontal="center"/>
    </xf>
    <xf numFmtId="0" fontId="30" fillId="0" borderId="3" xfId="5" applyFont="1" applyBorder="1" applyAlignment="1">
      <alignment horizontal="left"/>
    </xf>
    <xf numFmtId="49" fontId="28" fillId="0" borderId="3" xfId="5" applyNumberFormat="1" applyFont="1" applyBorder="1" applyAlignment="1">
      <alignment horizontal="center"/>
    </xf>
    <xf numFmtId="0" fontId="28" fillId="0" borderId="3" xfId="5" applyFont="1" applyBorder="1" applyAlignment="1">
      <alignment horizontal="center"/>
    </xf>
    <xf numFmtId="0" fontId="28" fillId="0" borderId="3" xfId="5" applyFont="1" applyBorder="1" applyAlignment="1">
      <alignment horizontal="left"/>
    </xf>
    <xf numFmtId="0" fontId="28" fillId="0" borderId="5" xfId="5" applyFont="1" applyBorder="1" applyAlignment="1">
      <alignment horizontal="left"/>
    </xf>
    <xf numFmtId="49" fontId="26" fillId="0" borderId="3" xfId="0" applyNumberFormat="1" applyFont="1" applyBorder="1"/>
    <xf numFmtId="4" fontId="28" fillId="0" borderId="3" xfId="0" applyNumberFormat="1" applyFont="1" applyBorder="1" applyAlignment="1">
      <alignment horizontal="center"/>
    </xf>
    <xf numFmtId="3" fontId="28" fillId="0" borderId="3" xfId="0" applyNumberFormat="1" applyFont="1" applyBorder="1" applyAlignment="1">
      <alignment horizontal="right"/>
    </xf>
    <xf numFmtId="0" fontId="27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3" fontId="28" fillId="0" borderId="5" xfId="0" applyNumberFormat="1" applyFont="1" applyBorder="1" applyAlignment="1">
      <alignment horizontal="right"/>
    </xf>
    <xf numFmtId="0" fontId="28" fillId="0" borderId="5" xfId="0" applyFont="1" applyBorder="1" applyAlignment="1">
      <alignment horizontal="right" vertical="top"/>
    </xf>
    <xf numFmtId="0" fontId="28" fillId="0" borderId="5" xfId="0" applyFont="1" applyBorder="1" applyAlignment="1">
      <alignment wrapText="1"/>
    </xf>
    <xf numFmtId="0" fontId="27" fillId="0" borderId="5" xfId="0" applyFont="1" applyBorder="1"/>
    <xf numFmtId="49" fontId="27" fillId="0" borderId="5" xfId="0" applyNumberFormat="1" applyFont="1" applyBorder="1" applyAlignment="1">
      <alignment horizontal="right"/>
    </xf>
    <xf numFmtId="0" fontId="27" fillId="0" borderId="6" xfId="0" applyFont="1" applyBorder="1"/>
    <xf numFmtId="0" fontId="0" fillId="0" borderId="0" xfId="0" applyAlignment="1">
      <alignment horizontal="centerContinuous"/>
    </xf>
    <xf numFmtId="0" fontId="1" fillId="0" borderId="24" xfId="0" applyFont="1" applyBorder="1"/>
    <xf numFmtId="4" fontId="28" fillId="0" borderId="7" xfId="0" applyNumberFormat="1" applyFont="1" applyBorder="1"/>
    <xf numFmtId="4" fontId="28" fillId="0" borderId="7" xfId="0" applyNumberFormat="1" applyFont="1" applyBorder="1" applyAlignment="1">
      <alignment horizontal="right"/>
    </xf>
    <xf numFmtId="0" fontId="28" fillId="0" borderId="24" xfId="0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28" fillId="0" borderId="24" xfId="0" applyFont="1" applyBorder="1" applyAlignment="1">
      <alignment vertical="center"/>
    </xf>
    <xf numFmtId="0" fontId="1" fillId="0" borderId="24" xfId="0" applyFont="1" applyBorder="1" applyAlignment="1">
      <alignment wrapText="1"/>
    </xf>
    <xf numFmtId="4" fontId="1" fillId="0" borderId="7" xfId="0" applyNumberFormat="1" applyFont="1" applyBorder="1" applyAlignment="1">
      <alignment horizontal="right"/>
    </xf>
    <xf numFmtId="0" fontId="28" fillId="0" borderId="7" xfId="0" applyFont="1" applyBorder="1"/>
    <xf numFmtId="0" fontId="28" fillId="0" borderId="20" xfId="0" applyFont="1" applyBorder="1"/>
    <xf numFmtId="4" fontId="28" fillId="0" borderId="20" xfId="0" applyNumberFormat="1" applyFont="1" applyBorder="1"/>
    <xf numFmtId="4" fontId="28" fillId="0" borderId="20" xfId="0" applyNumberFormat="1" applyFont="1" applyBorder="1" applyAlignment="1">
      <alignment horizontal="right"/>
    </xf>
    <xf numFmtId="0" fontId="28" fillId="0" borderId="24" xfId="0" applyFont="1" applyBorder="1"/>
    <xf numFmtId="0" fontId="1" fillId="0" borderId="24" xfId="0" applyFont="1" applyBorder="1" applyAlignment="1">
      <alignment vertical="center" wrapText="1"/>
    </xf>
    <xf numFmtId="0" fontId="28" fillId="0" borderId="19" xfId="0" applyFont="1" applyBorder="1"/>
    <xf numFmtId="0" fontId="1" fillId="0" borderId="7" xfId="0" applyFont="1" applyBorder="1"/>
    <xf numFmtId="0" fontId="28" fillId="0" borderId="19" xfId="0" applyFont="1" applyBorder="1" applyAlignment="1">
      <alignment vertical="top"/>
    </xf>
    <xf numFmtId="0" fontId="28" fillId="0" borderId="24" xfId="0" applyFont="1" applyBorder="1" applyAlignment="1">
      <alignment wrapText="1"/>
    </xf>
    <xf numFmtId="0" fontId="28" fillId="0" borderId="20" xfId="5" applyFont="1" applyBorder="1" applyAlignment="1">
      <alignment horizontal="left"/>
    </xf>
    <xf numFmtId="4" fontId="1" fillId="0" borderId="20" xfId="0" applyNumberFormat="1" applyFont="1" applyBorder="1" applyAlignment="1">
      <alignment horizontal="right"/>
    </xf>
    <xf numFmtId="0" fontId="28" fillId="0" borderId="7" xfId="0" applyFont="1" applyBorder="1" applyAlignment="1">
      <alignment wrapText="1"/>
    </xf>
    <xf numFmtId="0" fontId="28" fillId="0" borderId="7" xfId="0" applyFont="1" applyBorder="1" applyAlignment="1">
      <alignment vertical="center"/>
    </xf>
    <xf numFmtId="0" fontId="5" fillId="0" borderId="0" xfId="1" applyAlignment="1">
      <alignment vertical="center"/>
    </xf>
    <xf numFmtId="0" fontId="5" fillId="0" borderId="0" xfId="1"/>
    <xf numFmtId="0" fontId="5" fillId="0" borderId="11" xfId="1" applyBorder="1" applyAlignment="1">
      <alignment vertical="center"/>
    </xf>
    <xf numFmtId="4" fontId="5" fillId="0" borderId="11" xfId="1" applyNumberFormat="1" applyBorder="1" applyAlignment="1">
      <alignment vertical="center"/>
    </xf>
    <xf numFmtId="0" fontId="5" fillId="0" borderId="12" xfId="1" applyBorder="1" applyAlignment="1">
      <alignment vertical="center"/>
    </xf>
    <xf numFmtId="4" fontId="5" fillId="0" borderId="5" xfId="1" applyNumberFormat="1" applyBorder="1" applyAlignment="1">
      <alignment vertical="center"/>
    </xf>
    <xf numFmtId="0" fontId="33" fillId="0" borderId="6" xfId="1" applyFont="1" applyBorder="1" applyAlignment="1">
      <alignment horizontal="centerContinuous" vertical="center"/>
    </xf>
    <xf numFmtId="0" fontId="33" fillId="0" borderId="13" xfId="1" applyFont="1" applyBorder="1" applyAlignment="1">
      <alignment horizontal="centerContinuous" vertical="center"/>
    </xf>
    <xf numFmtId="0" fontId="33" fillId="0" borderId="12" xfId="1" applyFont="1" applyBorder="1" applyAlignment="1">
      <alignment horizontal="centerContinuous" vertical="center"/>
    </xf>
    <xf numFmtId="4" fontId="33" fillId="0" borderId="5" xfId="1" applyNumberFormat="1" applyFont="1" applyBorder="1" applyAlignment="1">
      <alignment vertical="center"/>
    </xf>
    <xf numFmtId="0" fontId="5" fillId="0" borderId="9" xfId="1" applyBorder="1" applyAlignment="1">
      <alignment horizontal="centerContinuous" vertical="center"/>
    </xf>
    <xf numFmtId="0" fontId="5" fillId="0" borderId="10" xfId="1" applyBorder="1" applyAlignment="1">
      <alignment horizontal="centerContinuous" vertical="center"/>
    </xf>
    <xf numFmtId="0" fontId="16" fillId="0" borderId="0" xfId="1" applyFont="1" applyAlignment="1">
      <alignment vertical="center"/>
    </xf>
    <xf numFmtId="0" fontId="5" fillId="0" borderId="0" xfId="2"/>
    <xf numFmtId="0" fontId="2" fillId="0" borderId="8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19" fillId="0" borderId="8" xfId="2" applyFont="1" applyBorder="1" applyAlignment="1">
      <alignment horizontal="center"/>
    </xf>
    <xf numFmtId="0" fontId="19" fillId="0" borderId="9" xfId="2" applyFont="1" applyBorder="1" applyAlignment="1">
      <alignment horizontal="center"/>
    </xf>
    <xf numFmtId="4" fontId="19" fillId="0" borderId="11" xfId="2" applyNumberFormat="1" applyFont="1" applyBorder="1"/>
    <xf numFmtId="0" fontId="16" fillId="0" borderId="0" xfId="2" applyFont="1" applyAlignment="1">
      <alignment vertical="center"/>
    </xf>
    <xf numFmtId="3" fontId="5" fillId="0" borderId="0" xfId="2" applyNumberFormat="1"/>
    <xf numFmtId="4" fontId="5" fillId="0" borderId="0" xfId="2" applyNumberFormat="1"/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4" fontId="34" fillId="0" borderId="3" xfId="0" applyNumberFormat="1" applyFont="1" applyBorder="1" applyAlignment="1">
      <alignment vertic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4" fontId="8" fillId="0" borderId="10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4" fontId="0" fillId="0" borderId="0" xfId="0" applyNumberFormat="1"/>
  </cellXfs>
  <cellStyles count="6">
    <cellStyle name="Dziesiętny" xfId="4" builtinId="3"/>
    <cellStyle name="Normalny" xfId="0" builtinId="0"/>
    <cellStyle name="Normalny 2" xfId="1" xr:uid="{DFA7506D-F157-4CB1-BBEB-07093438D65D}"/>
    <cellStyle name="Normalny 3" xfId="5" xr:uid="{463F5176-014B-4A31-9159-C0A40D373E3F}"/>
    <cellStyle name="Normalny 3 2" xfId="2" xr:uid="{3340BA0B-915E-4011-9F80-E4E82E832120}"/>
    <cellStyle name="Normalny 5" xfId="3" xr:uid="{9790D497-7E30-44FF-9B8B-6FE9D116B6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2512-47F9-4E79-AB72-4C933E4FC7DE}">
  <sheetPr>
    <tabColor rgb="FFFFFF00"/>
  </sheetPr>
  <dimension ref="A1:H847"/>
  <sheetViews>
    <sheetView tabSelected="1" zoomScale="160" zoomScaleNormal="160" workbookViewId="0"/>
  </sheetViews>
  <sheetFormatPr defaultRowHeight="15" x14ac:dyDescent="0.25"/>
  <cols>
    <col min="1" max="1" width="3.7109375" customWidth="1"/>
    <col min="2" max="2" width="6" customWidth="1"/>
    <col min="3" max="3" width="5" customWidth="1"/>
    <col min="4" max="4" width="39.5703125" customWidth="1"/>
    <col min="5" max="5" width="13" customWidth="1"/>
    <col min="6" max="6" width="10.5703125" customWidth="1"/>
    <col min="7" max="7" width="10.28515625" customWidth="1"/>
    <col min="8" max="8" width="12.5703125" customWidth="1"/>
  </cols>
  <sheetData>
    <row r="1" spans="1:8" ht="12.75" customHeight="1" x14ac:dyDescent="0.25">
      <c r="A1" s="1"/>
      <c r="B1" s="1"/>
      <c r="C1" s="191"/>
      <c r="D1" s="2"/>
      <c r="E1" s="2"/>
      <c r="F1" s="2" t="s">
        <v>222</v>
      </c>
      <c r="G1" s="1"/>
      <c r="H1" s="1"/>
    </row>
    <row r="2" spans="1:8" ht="12.75" customHeight="1" x14ac:dyDescent="0.25">
      <c r="A2" s="1"/>
      <c r="B2" s="1"/>
      <c r="C2" s="191"/>
      <c r="D2" s="2"/>
      <c r="E2" s="2"/>
      <c r="F2" s="2" t="s">
        <v>17</v>
      </c>
      <c r="G2" s="1"/>
      <c r="H2" s="1"/>
    </row>
    <row r="3" spans="1:8" ht="12.75" customHeight="1" x14ac:dyDescent="0.25">
      <c r="A3" s="1"/>
      <c r="B3" s="1"/>
      <c r="C3" s="191"/>
      <c r="D3" s="2"/>
      <c r="E3" s="2"/>
      <c r="F3" s="2" t="s">
        <v>0</v>
      </c>
      <c r="G3" s="1"/>
      <c r="H3" s="1"/>
    </row>
    <row r="4" spans="1:8" ht="12.75" customHeight="1" x14ac:dyDescent="0.25">
      <c r="A4" s="1"/>
      <c r="B4" s="1"/>
      <c r="C4" s="191"/>
      <c r="D4" s="2"/>
      <c r="E4" s="2"/>
      <c r="F4" s="2" t="s">
        <v>18</v>
      </c>
      <c r="G4" s="1"/>
      <c r="H4" s="1"/>
    </row>
    <row r="5" spans="1:8" ht="30" customHeight="1" x14ac:dyDescent="0.25">
      <c r="A5" s="192" t="s">
        <v>223</v>
      </c>
      <c r="B5" s="315"/>
      <c r="C5" s="193"/>
      <c r="D5" s="193"/>
      <c r="E5" s="315"/>
      <c r="F5" s="315"/>
      <c r="G5" s="194"/>
      <c r="H5" s="315"/>
    </row>
    <row r="6" spans="1:8" ht="24.75" customHeight="1" x14ac:dyDescent="0.25">
      <c r="A6" s="1"/>
      <c r="B6" s="1"/>
      <c r="C6" s="191"/>
      <c r="D6" s="191"/>
      <c r="E6" s="195"/>
      <c r="F6" s="1"/>
      <c r="G6" s="196"/>
      <c r="H6" s="197" t="s">
        <v>1</v>
      </c>
    </row>
    <row r="7" spans="1:8" s="204" customFormat="1" ht="11.25" x14ac:dyDescent="0.2">
      <c r="A7" s="198"/>
      <c r="B7" s="198"/>
      <c r="C7" s="199"/>
      <c r="D7" s="200"/>
      <c r="E7" s="201" t="s">
        <v>224</v>
      </c>
      <c r="F7" s="202"/>
      <c r="G7" s="203"/>
      <c r="H7" s="201" t="s">
        <v>224</v>
      </c>
    </row>
    <row r="8" spans="1:8" s="204" customFormat="1" ht="11.25" x14ac:dyDescent="0.2">
      <c r="A8" s="205" t="s">
        <v>225</v>
      </c>
      <c r="B8" s="205" t="s">
        <v>2</v>
      </c>
      <c r="C8" s="206" t="s">
        <v>3</v>
      </c>
      <c r="D8" s="207" t="s">
        <v>226</v>
      </c>
      <c r="E8" s="205" t="s">
        <v>227</v>
      </c>
      <c r="F8" s="208" t="s">
        <v>228</v>
      </c>
      <c r="G8" s="205" t="s">
        <v>229</v>
      </c>
      <c r="H8" s="205" t="s">
        <v>230</v>
      </c>
    </row>
    <row r="9" spans="1:8" s="204" customFormat="1" ht="4.5" customHeight="1" x14ac:dyDescent="0.2">
      <c r="A9" s="209"/>
      <c r="B9" s="209"/>
      <c r="C9" s="210"/>
      <c r="D9" s="211"/>
      <c r="E9" s="209"/>
      <c r="F9" s="212"/>
      <c r="G9" s="212"/>
      <c r="H9" s="209"/>
    </row>
    <row r="10" spans="1:8" s="204" customFormat="1" ht="18.75" customHeight="1" thickBot="1" x14ac:dyDescent="0.25">
      <c r="A10" s="213"/>
      <c r="B10" s="213"/>
      <c r="C10" s="214"/>
      <c r="D10" s="215" t="s">
        <v>231</v>
      </c>
      <c r="E10" s="216">
        <v>858973940.54999995</v>
      </c>
      <c r="F10" s="216">
        <f>SUM(F11,F25)</f>
        <v>288037.94</v>
      </c>
      <c r="G10" s="216">
        <f>SUM(G11,G25)</f>
        <v>6198</v>
      </c>
      <c r="H10" s="216">
        <f t="shared" ref="H10:H11" si="0">SUM(E10+F10-G10)</f>
        <v>859255780.49000001</v>
      </c>
    </row>
    <row r="11" spans="1:8" s="204" customFormat="1" ht="19.5" customHeight="1" thickBot="1" x14ac:dyDescent="0.25">
      <c r="A11" s="213"/>
      <c r="B11" s="213"/>
      <c r="C11" s="214"/>
      <c r="D11" s="217" t="s">
        <v>232</v>
      </c>
      <c r="E11" s="218">
        <v>716146727.17999995</v>
      </c>
      <c r="F11" s="218">
        <f>SUM(F13,F17,F21)</f>
        <v>249561</v>
      </c>
      <c r="G11" s="218">
        <f>SUM(G13,G17,G21)</f>
        <v>0</v>
      </c>
      <c r="H11" s="218">
        <f t="shared" si="0"/>
        <v>716396288.17999995</v>
      </c>
    </row>
    <row r="12" spans="1:8" s="204" customFormat="1" ht="16.5" customHeight="1" thickTop="1" x14ac:dyDescent="0.2">
      <c r="A12" s="219">
        <v>754</v>
      </c>
      <c r="B12" s="220"/>
      <c r="C12" s="221"/>
      <c r="D12" s="222" t="s">
        <v>233</v>
      </c>
      <c r="E12" s="223"/>
      <c r="F12" s="223"/>
      <c r="G12" s="223"/>
      <c r="H12" s="223"/>
    </row>
    <row r="13" spans="1:8" s="204" customFormat="1" ht="12" customHeight="1" thickBot="1" x14ac:dyDescent="0.25">
      <c r="A13" s="219"/>
      <c r="B13" s="220"/>
      <c r="C13" s="221"/>
      <c r="D13" s="222" t="s">
        <v>234</v>
      </c>
      <c r="E13" s="218">
        <v>504041.08999999997</v>
      </c>
      <c r="F13" s="224">
        <f t="shared" ref="F13:G15" si="1">SUM(F14)</f>
        <v>100</v>
      </c>
      <c r="G13" s="224">
        <f t="shared" si="1"/>
        <v>0</v>
      </c>
      <c r="H13" s="218">
        <f t="shared" ref="H13" si="2">SUM(E13+F13-G13)</f>
        <v>504141.08999999997</v>
      </c>
    </row>
    <row r="14" spans="1:8" s="204" customFormat="1" ht="12" customHeight="1" thickTop="1" x14ac:dyDescent="0.2">
      <c r="A14" s="225"/>
      <c r="B14" s="214" t="s">
        <v>235</v>
      </c>
      <c r="C14" s="226"/>
      <c r="D14" s="227" t="s">
        <v>236</v>
      </c>
      <c r="E14" s="228">
        <v>63505.09</v>
      </c>
      <c r="F14" s="229">
        <f t="shared" si="1"/>
        <v>100</v>
      </c>
      <c r="G14" s="229">
        <f t="shared" si="1"/>
        <v>0</v>
      </c>
      <c r="H14" s="228">
        <f>SUM(E14+F14-G14)</f>
        <v>63605.09</v>
      </c>
    </row>
    <row r="15" spans="1:8" s="204" customFormat="1" ht="12" customHeight="1" x14ac:dyDescent="0.2">
      <c r="A15" s="213"/>
      <c r="B15" s="220"/>
      <c r="C15" s="214"/>
      <c r="D15" s="316" t="s">
        <v>204</v>
      </c>
      <c r="E15" s="317">
        <v>4181.92</v>
      </c>
      <c r="F15" s="318">
        <f t="shared" si="1"/>
        <v>100</v>
      </c>
      <c r="G15" s="318">
        <f t="shared" si="1"/>
        <v>0</v>
      </c>
      <c r="H15" s="317">
        <f t="shared" ref="H15:H20" si="3">SUM(E15+F15-G15)</f>
        <v>4281.92</v>
      </c>
    </row>
    <row r="16" spans="1:8" s="204" customFormat="1" ht="23.25" customHeight="1" x14ac:dyDescent="0.2">
      <c r="A16" s="213"/>
      <c r="B16" s="220"/>
      <c r="C16" s="230" t="s">
        <v>237</v>
      </c>
      <c r="D16" s="231" t="s">
        <v>238</v>
      </c>
      <c r="E16" s="232">
        <v>4181.92</v>
      </c>
      <c r="F16" s="232">
        <v>100</v>
      </c>
      <c r="G16" s="232"/>
      <c r="H16" s="232">
        <f t="shared" si="3"/>
        <v>4281.92</v>
      </c>
    </row>
    <row r="17" spans="1:8" s="204" customFormat="1" ht="12" customHeight="1" thickBot="1" x14ac:dyDescent="0.25">
      <c r="A17" s="225">
        <v>758</v>
      </c>
      <c r="B17" s="205"/>
      <c r="C17" s="205"/>
      <c r="D17" s="233" t="s">
        <v>239</v>
      </c>
      <c r="E17" s="218">
        <v>201443660.31</v>
      </c>
      <c r="F17" s="224">
        <f>SUM(F18)</f>
        <v>245861</v>
      </c>
      <c r="G17" s="224">
        <f t="shared" ref="F17:G18" si="4">SUM(G18)</f>
        <v>0</v>
      </c>
      <c r="H17" s="218">
        <f t="shared" si="3"/>
        <v>201689521.31</v>
      </c>
    </row>
    <row r="18" spans="1:8" s="204" customFormat="1" ht="12" customHeight="1" thickTop="1" x14ac:dyDescent="0.2">
      <c r="A18" s="225"/>
      <c r="B18" s="214" t="s">
        <v>172</v>
      </c>
      <c r="C18" s="234"/>
      <c r="D18" s="227" t="s">
        <v>240</v>
      </c>
      <c r="E18" s="228">
        <v>2531416.31</v>
      </c>
      <c r="F18" s="229">
        <f t="shared" si="4"/>
        <v>245861</v>
      </c>
      <c r="G18" s="229">
        <f t="shared" si="4"/>
        <v>0</v>
      </c>
      <c r="H18" s="228">
        <f t="shared" si="3"/>
        <v>2777277.31</v>
      </c>
    </row>
    <row r="19" spans="1:8" s="204" customFormat="1" ht="21.75" customHeight="1" x14ac:dyDescent="0.2">
      <c r="A19" s="213"/>
      <c r="B19" s="235"/>
      <c r="C19" s="214"/>
      <c r="D19" s="319" t="s">
        <v>241</v>
      </c>
      <c r="E19" s="317">
        <v>1740861</v>
      </c>
      <c r="F19" s="318">
        <f>SUM(F20:F20)</f>
        <v>245861</v>
      </c>
      <c r="G19" s="318">
        <f>SUM(G20:G20)</f>
        <v>0</v>
      </c>
      <c r="H19" s="317">
        <f t="shared" si="3"/>
        <v>1986722</v>
      </c>
    </row>
    <row r="20" spans="1:8" s="204" customFormat="1" ht="33.75" customHeight="1" x14ac:dyDescent="0.2">
      <c r="A20" s="213"/>
      <c r="B20" s="235"/>
      <c r="C20" s="230" t="s">
        <v>152</v>
      </c>
      <c r="D20" s="231" t="s">
        <v>242</v>
      </c>
      <c r="E20" s="236">
        <v>1740861</v>
      </c>
      <c r="F20" s="236">
        <f>200583+45278</f>
        <v>245861</v>
      </c>
      <c r="G20" s="237"/>
      <c r="H20" s="236">
        <f t="shared" si="3"/>
        <v>1986722</v>
      </c>
    </row>
    <row r="21" spans="1:8" s="204" customFormat="1" ht="12" customHeight="1" thickBot="1" x14ac:dyDescent="0.25">
      <c r="A21" s="219">
        <v>854</v>
      </c>
      <c r="B21" s="220"/>
      <c r="C21" s="221"/>
      <c r="D21" s="222" t="s">
        <v>243</v>
      </c>
      <c r="E21" s="224">
        <v>1278741.57</v>
      </c>
      <c r="F21" s="224">
        <f>SUM(F22)</f>
        <v>3600</v>
      </c>
      <c r="G21" s="224">
        <f>SUM(G22)</f>
        <v>0</v>
      </c>
      <c r="H21" s="224">
        <f>SUM(E21+F21-G21)</f>
        <v>1282341.57</v>
      </c>
    </row>
    <row r="22" spans="1:8" s="204" customFormat="1" ht="12" customHeight="1" thickTop="1" x14ac:dyDescent="0.2">
      <c r="A22" s="219"/>
      <c r="B22" s="238">
        <v>85415</v>
      </c>
      <c r="C22" s="214"/>
      <c r="D22" s="227" t="s">
        <v>244</v>
      </c>
      <c r="E22" s="228">
        <v>910875</v>
      </c>
      <c r="F22" s="229">
        <f t="shared" ref="F22:G22" si="5">SUM(F23)</f>
        <v>3600</v>
      </c>
      <c r="G22" s="229">
        <f t="shared" si="5"/>
        <v>0</v>
      </c>
      <c r="H22" s="228">
        <f>SUM(E22+F22-G22)</f>
        <v>914475</v>
      </c>
    </row>
    <row r="23" spans="1:8" s="204" customFormat="1" ht="12" customHeight="1" x14ac:dyDescent="0.2">
      <c r="A23" s="219"/>
      <c r="B23" s="238"/>
      <c r="C23" s="258"/>
      <c r="D23" s="320" t="s">
        <v>245</v>
      </c>
      <c r="E23" s="317">
        <v>800875</v>
      </c>
      <c r="F23" s="318">
        <f>SUM(F24)</f>
        <v>3600</v>
      </c>
      <c r="G23" s="318">
        <f>SUM(G24)</f>
        <v>0</v>
      </c>
      <c r="H23" s="317">
        <f>SUM(E23+F23-G23)</f>
        <v>804475</v>
      </c>
    </row>
    <row r="24" spans="1:8" s="204" customFormat="1" ht="33.75" customHeight="1" x14ac:dyDescent="0.2">
      <c r="A24" s="239"/>
      <c r="B24" s="220"/>
      <c r="C24" s="230" t="s">
        <v>246</v>
      </c>
      <c r="D24" s="231" t="s">
        <v>247</v>
      </c>
      <c r="E24" s="236">
        <v>5400</v>
      </c>
      <c r="F24" s="236">
        <v>3600</v>
      </c>
      <c r="G24" s="237"/>
      <c r="H24" s="236">
        <f t="shared" ref="H24:H29" si="6">SUM(E24+F24-G24)</f>
        <v>9000</v>
      </c>
    </row>
    <row r="25" spans="1:8" s="204" customFormat="1" ht="18.75" customHeight="1" thickBot="1" x14ac:dyDescent="0.25">
      <c r="A25" s="213"/>
      <c r="B25" s="213"/>
      <c r="C25" s="214"/>
      <c r="D25" s="217" t="s">
        <v>248</v>
      </c>
      <c r="E25" s="218">
        <v>122299785.87</v>
      </c>
      <c r="F25" s="224">
        <f>SUM(F26,F30,F34)</f>
        <v>38476.94</v>
      </c>
      <c r="G25" s="224">
        <f>SUM(G26,G30,G34)</f>
        <v>6198</v>
      </c>
      <c r="H25" s="218">
        <f t="shared" si="6"/>
        <v>122332064.81</v>
      </c>
    </row>
    <row r="26" spans="1:8" s="204" customFormat="1" ht="18.75" customHeight="1" thickTop="1" thickBot="1" x14ac:dyDescent="0.25">
      <c r="A26" s="219">
        <v>750</v>
      </c>
      <c r="B26" s="220"/>
      <c r="C26" s="221"/>
      <c r="D26" s="222" t="s">
        <v>249</v>
      </c>
      <c r="E26" s="224">
        <v>1815534.8</v>
      </c>
      <c r="F26" s="224">
        <f t="shared" ref="F26:G26" si="7">SUM(F27)</f>
        <v>429.44000000000005</v>
      </c>
      <c r="G26" s="224">
        <f t="shared" si="7"/>
        <v>0</v>
      </c>
      <c r="H26" s="224">
        <f t="shared" si="6"/>
        <v>1815964.24</v>
      </c>
    </row>
    <row r="27" spans="1:8" s="204" customFormat="1" ht="12" customHeight="1" thickTop="1" x14ac:dyDescent="0.2">
      <c r="A27" s="219"/>
      <c r="B27" s="234">
        <v>75011</v>
      </c>
      <c r="C27" s="234"/>
      <c r="D27" s="240" t="s">
        <v>250</v>
      </c>
      <c r="E27" s="228">
        <v>1815534.8</v>
      </c>
      <c r="F27" s="229">
        <f>SUM(F28)</f>
        <v>429.44000000000005</v>
      </c>
      <c r="G27" s="229">
        <f>SUM(G28)</f>
        <v>0</v>
      </c>
      <c r="H27" s="228">
        <f t="shared" si="6"/>
        <v>1815964.24</v>
      </c>
    </row>
    <row r="28" spans="1:8" s="204" customFormat="1" ht="12" customHeight="1" x14ac:dyDescent="0.2">
      <c r="A28" s="219"/>
      <c r="B28" s="220"/>
      <c r="C28" s="214"/>
      <c r="D28" s="320" t="s">
        <v>251</v>
      </c>
      <c r="E28" s="317">
        <v>18649.8</v>
      </c>
      <c r="F28" s="318">
        <f>SUM(F29:F29)</f>
        <v>429.44000000000005</v>
      </c>
      <c r="G28" s="318">
        <f>SUM(G29:G29)</f>
        <v>0</v>
      </c>
      <c r="H28" s="317">
        <f t="shared" si="6"/>
        <v>19079.239999999998</v>
      </c>
    </row>
    <row r="29" spans="1:8" s="204" customFormat="1" ht="33.75" customHeight="1" x14ac:dyDescent="0.2">
      <c r="A29" s="219"/>
      <c r="B29" s="220"/>
      <c r="C29" s="230" t="s">
        <v>152</v>
      </c>
      <c r="D29" s="231" t="s">
        <v>242</v>
      </c>
      <c r="E29" s="236">
        <v>18649.8</v>
      </c>
      <c r="F29" s="236">
        <f>55.72+373.72</f>
        <v>429.44000000000005</v>
      </c>
      <c r="G29" s="237"/>
      <c r="H29" s="236">
        <f t="shared" si="6"/>
        <v>19079.239999999998</v>
      </c>
    </row>
    <row r="30" spans="1:8" s="204" customFormat="1" ht="12" customHeight="1" thickBot="1" x14ac:dyDescent="0.25">
      <c r="A30" s="220">
        <v>754</v>
      </c>
      <c r="B30" s="220"/>
      <c r="C30" s="221"/>
      <c r="D30" s="222" t="s">
        <v>252</v>
      </c>
      <c r="E30" s="224">
        <v>4127960</v>
      </c>
      <c r="F30" s="224">
        <f>SUM(F31)</f>
        <v>36192</v>
      </c>
      <c r="G30" s="224">
        <f>SUM(G31)</f>
        <v>0</v>
      </c>
      <c r="H30" s="224">
        <f>SUM(E30+F30-G30)</f>
        <v>4164152</v>
      </c>
    </row>
    <row r="31" spans="1:8" s="204" customFormat="1" ht="12" customHeight="1" thickTop="1" x14ac:dyDescent="0.2">
      <c r="A31" s="238"/>
      <c r="B31" s="238">
        <v>75495</v>
      </c>
      <c r="C31" s="214"/>
      <c r="D31" s="227" t="s">
        <v>253</v>
      </c>
      <c r="E31" s="228">
        <v>4127960</v>
      </c>
      <c r="F31" s="229">
        <f>SUM(F32)</f>
        <v>36192</v>
      </c>
      <c r="G31" s="229">
        <f>SUM(G32)</f>
        <v>0</v>
      </c>
      <c r="H31" s="228">
        <f>SUM(E31+F31-G31)</f>
        <v>4164152</v>
      </c>
    </row>
    <row r="32" spans="1:8" s="204" customFormat="1" ht="21.75" customHeight="1" x14ac:dyDescent="0.2">
      <c r="A32" s="213"/>
      <c r="B32" s="213"/>
      <c r="C32" s="258"/>
      <c r="D32" s="320" t="s">
        <v>254</v>
      </c>
      <c r="E32" s="317">
        <v>2213360</v>
      </c>
      <c r="F32" s="318">
        <f>SUM(F33:F33)</f>
        <v>36192</v>
      </c>
      <c r="G32" s="318">
        <f>SUM(G33:G33)</f>
        <v>0</v>
      </c>
      <c r="H32" s="317">
        <f t="shared" ref="H32:H33" si="8">SUM(E32+F32-G32)</f>
        <v>2249552</v>
      </c>
    </row>
    <row r="33" spans="1:8" s="204" customFormat="1" ht="35.25" customHeight="1" x14ac:dyDescent="0.2">
      <c r="A33" s="213"/>
      <c r="B33" s="213"/>
      <c r="C33" s="230" t="s">
        <v>152</v>
      </c>
      <c r="D33" s="231" t="s">
        <v>242</v>
      </c>
      <c r="E33" s="236">
        <v>2213360</v>
      </c>
      <c r="F33" s="236">
        <f>272+35920</f>
        <v>36192</v>
      </c>
      <c r="G33" s="237"/>
      <c r="H33" s="236">
        <f t="shared" si="8"/>
        <v>2249552</v>
      </c>
    </row>
    <row r="34" spans="1:8" s="204" customFormat="1" ht="12.75" customHeight="1" thickBot="1" x14ac:dyDescent="0.25">
      <c r="A34" s="220">
        <v>855</v>
      </c>
      <c r="B34" s="220"/>
      <c r="C34" s="221"/>
      <c r="D34" s="222" t="s">
        <v>255</v>
      </c>
      <c r="E34" s="224">
        <v>78688448</v>
      </c>
      <c r="F34" s="224">
        <f>SUM(F35,F38)</f>
        <v>1855.5</v>
      </c>
      <c r="G34" s="224">
        <f>SUM(G35,G38)</f>
        <v>6198</v>
      </c>
      <c r="H34" s="224">
        <f>SUM(E34+F34-G34)</f>
        <v>78684105.5</v>
      </c>
    </row>
    <row r="35" spans="1:8" s="204" customFormat="1" ht="12.75" customHeight="1" thickTop="1" x14ac:dyDescent="0.2">
      <c r="A35" s="220"/>
      <c r="B35" s="226">
        <v>85501</v>
      </c>
      <c r="C35" s="235"/>
      <c r="D35" s="241" t="s">
        <v>256</v>
      </c>
      <c r="E35" s="228">
        <v>36833124</v>
      </c>
      <c r="F35" s="229">
        <f t="shared" ref="F35:G35" si="9">SUM(F36)</f>
        <v>0</v>
      </c>
      <c r="G35" s="229">
        <f t="shared" si="9"/>
        <v>6198</v>
      </c>
      <c r="H35" s="228">
        <f>SUM(E35+F35-G35)</f>
        <v>36826926</v>
      </c>
    </row>
    <row r="36" spans="1:8" s="204" customFormat="1" ht="12.75" customHeight="1" x14ac:dyDescent="0.2">
      <c r="A36" s="220"/>
      <c r="B36" s="238"/>
      <c r="C36" s="214"/>
      <c r="D36" s="321" t="s">
        <v>245</v>
      </c>
      <c r="E36" s="317">
        <v>36833124</v>
      </c>
      <c r="F36" s="318">
        <f>SUM(F37)</f>
        <v>0</v>
      </c>
      <c r="G36" s="318">
        <f>SUM(G37)</f>
        <v>6198</v>
      </c>
      <c r="H36" s="317">
        <f>SUM(E36+F36-G36)</f>
        <v>36826926</v>
      </c>
    </row>
    <row r="37" spans="1:8" s="204" customFormat="1" ht="55.5" customHeight="1" x14ac:dyDescent="0.2">
      <c r="A37" s="220"/>
      <c r="B37" s="220"/>
      <c r="C37" s="242">
        <v>2060</v>
      </c>
      <c r="D37" s="243" t="s">
        <v>257</v>
      </c>
      <c r="E37" s="244">
        <v>36833124</v>
      </c>
      <c r="F37" s="237"/>
      <c r="G37" s="237">
        <f>20+6178</f>
        <v>6198</v>
      </c>
      <c r="H37" s="244">
        <f t="shared" ref="H37:H42" si="10">SUM(E37+F37-G37)</f>
        <v>36826926</v>
      </c>
    </row>
    <row r="38" spans="1:8" s="204" customFormat="1" ht="12" customHeight="1" x14ac:dyDescent="0.2">
      <c r="A38" s="220"/>
      <c r="B38" s="226">
        <v>85503</v>
      </c>
      <c r="C38" s="238"/>
      <c r="D38" s="227" t="s">
        <v>258</v>
      </c>
      <c r="E38" s="228">
        <v>6320</v>
      </c>
      <c r="F38" s="229">
        <f t="shared" ref="F38:G38" si="11">SUM(F39)</f>
        <v>1855.5</v>
      </c>
      <c r="G38" s="229">
        <f t="shared" si="11"/>
        <v>0</v>
      </c>
      <c r="H38" s="228">
        <f t="shared" si="10"/>
        <v>8175.5</v>
      </c>
    </row>
    <row r="39" spans="1:8" s="204" customFormat="1" ht="12" customHeight="1" x14ac:dyDescent="0.2">
      <c r="A39" s="220"/>
      <c r="B39" s="238"/>
      <c r="C39" s="214"/>
      <c r="D39" s="321" t="s">
        <v>245</v>
      </c>
      <c r="E39" s="317">
        <v>6320</v>
      </c>
      <c r="F39" s="318">
        <f>SUM(F40)</f>
        <v>1855.5</v>
      </c>
      <c r="G39" s="318">
        <f>SUM(G40)</f>
        <v>0</v>
      </c>
      <c r="H39" s="317">
        <f t="shared" si="10"/>
        <v>8175.5</v>
      </c>
    </row>
    <row r="40" spans="1:8" s="204" customFormat="1" ht="45" customHeight="1" x14ac:dyDescent="0.2">
      <c r="A40" s="245"/>
      <c r="B40" s="245"/>
      <c r="C40" s="246" t="s">
        <v>259</v>
      </c>
      <c r="D40" s="247" t="s">
        <v>260</v>
      </c>
      <c r="E40" s="248">
        <v>6320</v>
      </c>
      <c r="F40" s="228">
        <v>1855.5</v>
      </c>
      <c r="G40" s="228"/>
      <c r="H40" s="248">
        <f t="shared" si="10"/>
        <v>8175.5</v>
      </c>
    </row>
    <row r="41" spans="1:8" s="204" customFormat="1" ht="20.25" customHeight="1" thickBot="1" x14ac:dyDescent="0.25">
      <c r="A41" s="238"/>
      <c r="B41" s="238"/>
      <c r="C41" s="214"/>
      <c r="D41" s="215" t="s">
        <v>261</v>
      </c>
      <c r="E41" s="216">
        <v>1017097506.6499999</v>
      </c>
      <c r="F41" s="216">
        <f>SUM(F42,F465,F539)</f>
        <v>1323841.33</v>
      </c>
      <c r="G41" s="216">
        <f>SUM(G42,G465,G539)</f>
        <v>1042001.39</v>
      </c>
      <c r="H41" s="216">
        <f t="shared" si="10"/>
        <v>1017379346.5899999</v>
      </c>
    </row>
    <row r="42" spans="1:8" s="204" customFormat="1" ht="17.25" customHeight="1" thickBot="1" x14ac:dyDescent="0.25">
      <c r="A42" s="238"/>
      <c r="B42" s="238"/>
      <c r="C42" s="214"/>
      <c r="D42" s="217" t="s">
        <v>262</v>
      </c>
      <c r="E42" s="218">
        <v>874270293.27999997</v>
      </c>
      <c r="F42" s="218">
        <f>SUM(F43,F57,F72,F76,F307,F319,F396,F413,F437,F460)</f>
        <v>956151.94000000006</v>
      </c>
      <c r="G42" s="218">
        <f>SUM(G43,G57,G72,G76,G307,G319,G396,G413,G437,G460)</f>
        <v>706590.94000000006</v>
      </c>
      <c r="H42" s="218">
        <f t="shared" si="10"/>
        <v>874519854.27999997</v>
      </c>
    </row>
    <row r="43" spans="1:8" s="204" customFormat="1" ht="17.25" customHeight="1" thickTop="1" thickBot="1" x14ac:dyDescent="0.25">
      <c r="A43" s="220">
        <v>600</v>
      </c>
      <c r="B43" s="220"/>
      <c r="C43" s="221"/>
      <c r="D43" s="222" t="s">
        <v>263</v>
      </c>
      <c r="E43" s="218">
        <v>107808342.73999999</v>
      </c>
      <c r="F43" s="218">
        <f>SUM(F44,F47)</f>
        <v>33508</v>
      </c>
      <c r="G43" s="218">
        <f>SUM(G44,G47)</f>
        <v>33508</v>
      </c>
      <c r="H43" s="218">
        <f>SUM(E43+F43-G43)</f>
        <v>107808342.73999999</v>
      </c>
    </row>
    <row r="44" spans="1:8" s="204" customFormat="1" ht="12" customHeight="1" thickTop="1" x14ac:dyDescent="0.2">
      <c r="A44" s="220"/>
      <c r="B44" s="238">
        <v>60015</v>
      </c>
      <c r="C44" s="214"/>
      <c r="D44" s="227" t="s">
        <v>264</v>
      </c>
      <c r="E44" s="249">
        <v>32380735.77</v>
      </c>
      <c r="F44" s="249">
        <f>SUM(F45)</f>
        <v>0</v>
      </c>
      <c r="G44" s="249">
        <f>SUM(G45)</f>
        <v>7308</v>
      </c>
      <c r="H44" s="228">
        <f>SUM(E44+F44-G44)</f>
        <v>32373427.77</v>
      </c>
    </row>
    <row r="45" spans="1:8" s="204" customFormat="1" ht="12" customHeight="1" x14ac:dyDescent="0.2">
      <c r="A45" s="220"/>
      <c r="B45" s="238"/>
      <c r="C45" s="250"/>
      <c r="D45" s="316" t="s">
        <v>265</v>
      </c>
      <c r="E45" s="317">
        <v>12030885</v>
      </c>
      <c r="F45" s="317">
        <f>SUM(F46:F46)</f>
        <v>0</v>
      </c>
      <c r="G45" s="317">
        <f>SUM(G46:G46)</f>
        <v>7308</v>
      </c>
      <c r="H45" s="317">
        <f>SUM(E45+F45-G45)</f>
        <v>12023577</v>
      </c>
    </row>
    <row r="46" spans="1:8" s="204" customFormat="1" ht="12" customHeight="1" x14ac:dyDescent="0.2">
      <c r="A46" s="220"/>
      <c r="B46" s="238"/>
      <c r="C46" s="226">
        <v>4300</v>
      </c>
      <c r="D46" s="251" t="s">
        <v>266</v>
      </c>
      <c r="E46" s="252">
        <v>6443139</v>
      </c>
      <c r="F46" s="252"/>
      <c r="G46" s="252">
        <v>7308</v>
      </c>
      <c r="H46" s="236">
        <f t="shared" ref="H46:H47" si="12">SUM(E46+F46-G46)</f>
        <v>6435831</v>
      </c>
    </row>
    <row r="47" spans="1:8" s="204" customFormat="1" ht="12" customHeight="1" x14ac:dyDescent="0.2">
      <c r="A47" s="220"/>
      <c r="B47" s="238">
        <v>60095</v>
      </c>
      <c r="C47" s="214"/>
      <c r="D47" s="227" t="s">
        <v>253</v>
      </c>
      <c r="E47" s="249">
        <v>8111340</v>
      </c>
      <c r="F47" s="229">
        <f>SUM(F48)</f>
        <v>33508</v>
      </c>
      <c r="G47" s="229">
        <f>SUM(G48)</f>
        <v>26200</v>
      </c>
      <c r="H47" s="228">
        <f t="shared" si="12"/>
        <v>8118648</v>
      </c>
    </row>
    <row r="48" spans="1:8" s="204" customFormat="1" ht="12" customHeight="1" x14ac:dyDescent="0.2">
      <c r="A48" s="220"/>
      <c r="B48" s="238"/>
      <c r="C48" s="250"/>
      <c r="D48" s="316" t="s">
        <v>265</v>
      </c>
      <c r="E48" s="317">
        <v>4104880</v>
      </c>
      <c r="F48" s="317">
        <f>SUM(F49:F56)</f>
        <v>33508</v>
      </c>
      <c r="G48" s="317">
        <f>SUM(G49:G56)</f>
        <v>26200</v>
      </c>
      <c r="H48" s="317">
        <f>SUM(E48+F48-G48)</f>
        <v>4112188</v>
      </c>
    </row>
    <row r="49" spans="1:8" s="204" customFormat="1" ht="21.75" customHeight="1" x14ac:dyDescent="0.2">
      <c r="A49" s="220"/>
      <c r="B49" s="238"/>
      <c r="C49" s="253">
        <v>4140</v>
      </c>
      <c r="D49" s="254" t="s">
        <v>267</v>
      </c>
      <c r="E49" s="252">
        <v>90000</v>
      </c>
      <c r="F49" s="252">
        <v>12000</v>
      </c>
      <c r="G49" s="252"/>
      <c r="H49" s="236">
        <f t="shared" ref="H49:H57" si="13">SUM(E49+F49-G49)</f>
        <v>102000</v>
      </c>
    </row>
    <row r="50" spans="1:8" s="204" customFormat="1" ht="12" customHeight="1" x14ac:dyDescent="0.2">
      <c r="A50" s="220"/>
      <c r="B50" s="238"/>
      <c r="C50" s="226">
        <v>4260</v>
      </c>
      <c r="D50" s="251" t="s">
        <v>268</v>
      </c>
      <c r="E50" s="252">
        <v>42500</v>
      </c>
      <c r="F50" s="252">
        <v>8000</v>
      </c>
      <c r="G50" s="252"/>
      <c r="H50" s="236">
        <f t="shared" si="13"/>
        <v>50500</v>
      </c>
    </row>
    <row r="51" spans="1:8" s="204" customFormat="1" ht="12" customHeight="1" x14ac:dyDescent="0.2">
      <c r="A51" s="220"/>
      <c r="B51" s="238"/>
      <c r="C51" s="226">
        <v>4270</v>
      </c>
      <c r="D51" s="251" t="s">
        <v>269</v>
      </c>
      <c r="E51" s="252">
        <v>10000</v>
      </c>
      <c r="F51" s="252">
        <v>1000</v>
      </c>
      <c r="G51" s="252"/>
      <c r="H51" s="236">
        <f t="shared" si="13"/>
        <v>11000</v>
      </c>
    </row>
    <row r="52" spans="1:8" s="204" customFormat="1" ht="12" customHeight="1" x14ac:dyDescent="0.2">
      <c r="A52" s="220"/>
      <c r="B52" s="238"/>
      <c r="C52" s="226">
        <v>4280</v>
      </c>
      <c r="D52" s="251" t="s">
        <v>270</v>
      </c>
      <c r="E52" s="252">
        <v>8300</v>
      </c>
      <c r="F52" s="252">
        <v>200</v>
      </c>
      <c r="G52" s="252"/>
      <c r="H52" s="236">
        <f t="shared" si="13"/>
        <v>8500</v>
      </c>
    </row>
    <row r="53" spans="1:8" s="204" customFormat="1" ht="12" customHeight="1" x14ac:dyDescent="0.2">
      <c r="A53" s="220"/>
      <c r="B53" s="238"/>
      <c r="C53" s="226">
        <v>4300</v>
      </c>
      <c r="D53" s="251" t="s">
        <v>266</v>
      </c>
      <c r="E53" s="252">
        <v>181000</v>
      </c>
      <c r="F53" s="252">
        <v>11308</v>
      </c>
      <c r="G53" s="252"/>
      <c r="H53" s="236">
        <f t="shared" si="13"/>
        <v>192308</v>
      </c>
    </row>
    <row r="54" spans="1:8" s="204" customFormat="1" ht="12" customHeight="1" x14ac:dyDescent="0.2">
      <c r="A54" s="220"/>
      <c r="B54" s="238"/>
      <c r="C54" s="226">
        <v>4430</v>
      </c>
      <c r="D54" s="251" t="s">
        <v>271</v>
      </c>
      <c r="E54" s="252">
        <v>324</v>
      </c>
      <c r="F54" s="252">
        <v>1000</v>
      </c>
      <c r="G54" s="252"/>
      <c r="H54" s="236">
        <f t="shared" si="13"/>
        <v>1324</v>
      </c>
    </row>
    <row r="55" spans="1:8" s="204" customFormat="1" ht="12" customHeight="1" x14ac:dyDescent="0.2">
      <c r="A55" s="220"/>
      <c r="B55" s="238"/>
      <c r="C55" s="226">
        <v>4580</v>
      </c>
      <c r="D55" s="251" t="s">
        <v>272</v>
      </c>
      <c r="E55" s="252">
        <v>19500</v>
      </c>
      <c r="F55" s="252"/>
      <c r="G55" s="252">
        <v>8000</v>
      </c>
      <c r="H55" s="236">
        <f t="shared" si="13"/>
        <v>11500</v>
      </c>
    </row>
    <row r="56" spans="1:8" s="204" customFormat="1" ht="21.6" customHeight="1" x14ac:dyDescent="0.2">
      <c r="A56" s="220"/>
      <c r="B56" s="238"/>
      <c r="C56" s="242">
        <v>4600</v>
      </c>
      <c r="D56" s="231" t="s">
        <v>273</v>
      </c>
      <c r="E56" s="252">
        <v>46450</v>
      </c>
      <c r="F56" s="252"/>
      <c r="G56" s="252">
        <v>18200</v>
      </c>
      <c r="H56" s="236">
        <f t="shared" si="13"/>
        <v>28250</v>
      </c>
    </row>
    <row r="57" spans="1:8" s="204" customFormat="1" ht="12" customHeight="1" thickBot="1" x14ac:dyDescent="0.25">
      <c r="A57" s="219">
        <v>750</v>
      </c>
      <c r="B57" s="219"/>
      <c r="C57" s="221"/>
      <c r="D57" s="222" t="s">
        <v>249</v>
      </c>
      <c r="E57" s="218">
        <v>82571668.340000018</v>
      </c>
      <c r="F57" s="224">
        <f>SUM(F58,F67)</f>
        <v>95000</v>
      </c>
      <c r="G57" s="224">
        <f>SUM(G58,G67)</f>
        <v>95000</v>
      </c>
      <c r="H57" s="255">
        <f t="shared" si="13"/>
        <v>82571668.340000018</v>
      </c>
    </row>
    <row r="58" spans="1:8" s="204" customFormat="1" ht="12" customHeight="1" thickTop="1" x14ac:dyDescent="0.2">
      <c r="A58" s="238"/>
      <c r="B58" s="214" t="s">
        <v>274</v>
      </c>
      <c r="C58" s="226"/>
      <c r="D58" s="227" t="s">
        <v>275</v>
      </c>
      <c r="E58" s="228">
        <v>6537289</v>
      </c>
      <c r="F58" s="229">
        <f>SUM(F59)</f>
        <v>65000</v>
      </c>
      <c r="G58" s="229">
        <f>SUM(G59)</f>
        <v>65000</v>
      </c>
      <c r="H58" s="228">
        <f>SUM(E58+F58-G58)</f>
        <v>6537289</v>
      </c>
    </row>
    <row r="59" spans="1:8" s="204" customFormat="1" ht="11.25" customHeight="1" x14ac:dyDescent="0.2">
      <c r="A59" s="238"/>
      <c r="B59" s="214"/>
      <c r="C59" s="214"/>
      <c r="D59" s="316" t="s">
        <v>276</v>
      </c>
      <c r="E59" s="288">
        <v>6537289</v>
      </c>
      <c r="F59" s="318">
        <f>SUM(F60:F66)</f>
        <v>65000</v>
      </c>
      <c r="G59" s="318">
        <f>SUM(G60:G66)</f>
        <v>65000</v>
      </c>
      <c r="H59" s="317">
        <f>SUM(E59+F59-G59)</f>
        <v>6537289</v>
      </c>
    </row>
    <row r="60" spans="1:8" s="204" customFormat="1" ht="12" customHeight="1" x14ac:dyDescent="0.2">
      <c r="A60" s="238"/>
      <c r="B60" s="214"/>
      <c r="C60" s="256">
        <v>4110</v>
      </c>
      <c r="D60" s="257" t="s">
        <v>277</v>
      </c>
      <c r="E60" s="252">
        <v>731141</v>
      </c>
      <c r="F60" s="244"/>
      <c r="G60" s="244">
        <v>30000</v>
      </c>
      <c r="H60" s="252">
        <f t="shared" ref="H60:H70" si="14">SUM(E60+F60-G60)</f>
        <v>701141</v>
      </c>
    </row>
    <row r="61" spans="1:8" s="204" customFormat="1" ht="21.75" customHeight="1" x14ac:dyDescent="0.2">
      <c r="A61" s="238"/>
      <c r="B61" s="214"/>
      <c r="C61" s="253">
        <v>4140</v>
      </c>
      <c r="D61" s="254" t="s">
        <v>267</v>
      </c>
      <c r="E61" s="252">
        <v>27500</v>
      </c>
      <c r="F61" s="244"/>
      <c r="G61" s="244">
        <v>3000</v>
      </c>
      <c r="H61" s="252">
        <f t="shared" si="14"/>
        <v>24500</v>
      </c>
    </row>
    <row r="62" spans="1:8" s="204" customFormat="1" ht="12" customHeight="1" x14ac:dyDescent="0.2">
      <c r="A62" s="238"/>
      <c r="B62" s="214"/>
      <c r="C62" s="226">
        <v>4170</v>
      </c>
      <c r="D62" s="251" t="s">
        <v>278</v>
      </c>
      <c r="E62" s="252">
        <v>11200</v>
      </c>
      <c r="F62" s="244"/>
      <c r="G62" s="244">
        <v>6000</v>
      </c>
      <c r="H62" s="252">
        <f t="shared" si="14"/>
        <v>5200</v>
      </c>
    </row>
    <row r="63" spans="1:8" s="204" customFormat="1" ht="12" customHeight="1" x14ac:dyDescent="0.2">
      <c r="A63" s="238"/>
      <c r="B63" s="214"/>
      <c r="C63" s="258" t="s">
        <v>279</v>
      </c>
      <c r="D63" s="259" t="s">
        <v>280</v>
      </c>
      <c r="E63" s="252">
        <v>122000</v>
      </c>
      <c r="F63" s="244">
        <v>45000</v>
      </c>
      <c r="G63" s="244"/>
      <c r="H63" s="252">
        <f t="shared" si="14"/>
        <v>167000</v>
      </c>
    </row>
    <row r="64" spans="1:8" s="204" customFormat="1" ht="12" customHeight="1" x14ac:dyDescent="0.2">
      <c r="A64" s="238"/>
      <c r="B64" s="214"/>
      <c r="C64" s="226">
        <v>4270</v>
      </c>
      <c r="D64" s="251" t="s">
        <v>269</v>
      </c>
      <c r="E64" s="252">
        <v>28000</v>
      </c>
      <c r="F64" s="244"/>
      <c r="G64" s="244">
        <v>23000</v>
      </c>
      <c r="H64" s="252">
        <f t="shared" si="14"/>
        <v>5000</v>
      </c>
    </row>
    <row r="65" spans="1:8" s="204" customFormat="1" ht="12" customHeight="1" x14ac:dyDescent="0.2">
      <c r="A65" s="238"/>
      <c r="B65" s="214"/>
      <c r="C65" s="226">
        <v>4300</v>
      </c>
      <c r="D65" s="251" t="s">
        <v>266</v>
      </c>
      <c r="E65" s="252">
        <v>161600</v>
      </c>
      <c r="F65" s="244">
        <v>20000</v>
      </c>
      <c r="G65" s="244"/>
      <c r="H65" s="252">
        <f t="shared" si="14"/>
        <v>181600</v>
      </c>
    </row>
    <row r="66" spans="1:8" s="204" customFormat="1" ht="20.25" customHeight="1" x14ac:dyDescent="0.2">
      <c r="A66" s="238"/>
      <c r="B66" s="214"/>
      <c r="C66" s="242">
        <v>4700</v>
      </c>
      <c r="D66" s="254" t="s">
        <v>281</v>
      </c>
      <c r="E66" s="252">
        <v>7150</v>
      </c>
      <c r="F66" s="244"/>
      <c r="G66" s="244">
        <v>3000</v>
      </c>
      <c r="H66" s="252">
        <f t="shared" si="14"/>
        <v>4150</v>
      </c>
    </row>
    <row r="67" spans="1:8" s="204" customFormat="1" ht="12" customHeight="1" x14ac:dyDescent="0.2">
      <c r="A67" s="238"/>
      <c r="B67" s="214" t="s">
        <v>282</v>
      </c>
      <c r="C67" s="226"/>
      <c r="D67" s="227" t="s">
        <v>253</v>
      </c>
      <c r="E67" s="228">
        <v>34929647.030000001</v>
      </c>
      <c r="F67" s="229">
        <f>SUM(F68)</f>
        <v>30000</v>
      </c>
      <c r="G67" s="229">
        <f>SUM(G68)</f>
        <v>30000</v>
      </c>
      <c r="H67" s="228">
        <f t="shared" si="14"/>
        <v>34929647.030000001</v>
      </c>
    </row>
    <row r="68" spans="1:8" s="204" customFormat="1" ht="22.5" customHeight="1" x14ac:dyDescent="0.2">
      <c r="A68" s="238"/>
      <c r="B68" s="238"/>
      <c r="C68" s="226"/>
      <c r="D68" s="322" t="s">
        <v>283</v>
      </c>
      <c r="E68" s="288">
        <v>666351.91999999993</v>
      </c>
      <c r="F68" s="323">
        <f>SUM(F69:F70)</f>
        <v>30000</v>
      </c>
      <c r="G68" s="323">
        <f>SUM(G69:G70)</f>
        <v>30000</v>
      </c>
      <c r="H68" s="317">
        <f t="shared" si="14"/>
        <v>666351.91999999993</v>
      </c>
    </row>
    <row r="69" spans="1:8" s="204" customFormat="1" ht="12" customHeight="1" x14ac:dyDescent="0.2">
      <c r="A69" s="238"/>
      <c r="B69" s="238"/>
      <c r="C69" s="226">
        <v>4017</v>
      </c>
      <c r="D69" s="251" t="s">
        <v>284</v>
      </c>
      <c r="E69" s="244">
        <v>109000</v>
      </c>
      <c r="F69" s="252">
        <v>30000</v>
      </c>
      <c r="G69" s="252"/>
      <c r="H69" s="236">
        <f t="shared" si="14"/>
        <v>139000</v>
      </c>
    </row>
    <row r="70" spans="1:8" s="204" customFormat="1" ht="12" customHeight="1" x14ac:dyDescent="0.2">
      <c r="A70" s="238"/>
      <c r="B70" s="238"/>
      <c r="C70" s="226">
        <v>4177</v>
      </c>
      <c r="D70" s="251" t="s">
        <v>278</v>
      </c>
      <c r="E70" s="244">
        <v>127670</v>
      </c>
      <c r="F70" s="252"/>
      <c r="G70" s="252">
        <v>30000</v>
      </c>
      <c r="H70" s="236">
        <f t="shared" si="14"/>
        <v>97670</v>
      </c>
    </row>
    <row r="71" spans="1:8" s="204" customFormat="1" ht="12" customHeight="1" x14ac:dyDescent="0.2">
      <c r="A71" s="219">
        <v>754</v>
      </c>
      <c r="B71" s="220"/>
      <c r="C71" s="221"/>
      <c r="D71" s="222" t="s">
        <v>233</v>
      </c>
      <c r="E71" s="223"/>
      <c r="F71" s="223"/>
      <c r="G71" s="223"/>
      <c r="H71" s="223"/>
    </row>
    <row r="72" spans="1:8" s="204" customFormat="1" ht="12" customHeight="1" thickBot="1" x14ac:dyDescent="0.25">
      <c r="A72" s="219"/>
      <c r="B72" s="220"/>
      <c r="C72" s="221"/>
      <c r="D72" s="222" t="s">
        <v>234</v>
      </c>
      <c r="E72" s="218">
        <v>6967704.0899999999</v>
      </c>
      <c r="F72" s="224">
        <f t="shared" ref="F72:G74" si="15">SUM(F73)</f>
        <v>100</v>
      </c>
      <c r="G72" s="224">
        <f t="shared" si="15"/>
        <v>0</v>
      </c>
      <c r="H72" s="218">
        <f t="shared" ref="H72" si="16">SUM(E72+F72-G72)</f>
        <v>6967804.0899999999</v>
      </c>
    </row>
    <row r="73" spans="1:8" s="204" customFormat="1" ht="12" customHeight="1" thickTop="1" x14ac:dyDescent="0.2">
      <c r="A73" s="225"/>
      <c r="B73" s="214" t="s">
        <v>235</v>
      </c>
      <c r="C73" s="226"/>
      <c r="D73" s="227" t="s">
        <v>236</v>
      </c>
      <c r="E73" s="228">
        <v>151027.09000000003</v>
      </c>
      <c r="F73" s="229">
        <f t="shared" si="15"/>
        <v>100</v>
      </c>
      <c r="G73" s="229">
        <f t="shared" si="15"/>
        <v>0</v>
      </c>
      <c r="H73" s="228">
        <f>SUM(E73+F73-G73)</f>
        <v>151127.09000000003</v>
      </c>
    </row>
    <row r="74" spans="1:8" s="204" customFormat="1" ht="12" customHeight="1" x14ac:dyDescent="0.2">
      <c r="A74" s="213"/>
      <c r="B74" s="220"/>
      <c r="C74" s="214"/>
      <c r="D74" s="316" t="s">
        <v>204</v>
      </c>
      <c r="E74" s="317">
        <v>52191.92</v>
      </c>
      <c r="F74" s="318">
        <f t="shared" si="15"/>
        <v>100</v>
      </c>
      <c r="G74" s="318">
        <f t="shared" si="15"/>
        <v>0</v>
      </c>
      <c r="H74" s="317">
        <f t="shared" ref="H74:H75" si="17">SUM(E74+F74-G74)</f>
        <v>52291.92</v>
      </c>
    </row>
    <row r="75" spans="1:8" s="204" customFormat="1" ht="12" customHeight="1" x14ac:dyDescent="0.2">
      <c r="A75" s="213"/>
      <c r="B75" s="220"/>
      <c r="C75" s="238">
        <v>4370</v>
      </c>
      <c r="D75" s="238" t="s">
        <v>285</v>
      </c>
      <c r="E75" s="232">
        <v>42191.92</v>
      </c>
      <c r="F75" s="232">
        <v>100</v>
      </c>
      <c r="G75" s="232"/>
      <c r="H75" s="232">
        <f t="shared" si="17"/>
        <v>42291.92</v>
      </c>
    </row>
    <row r="76" spans="1:8" s="204" customFormat="1" ht="12" customHeight="1" thickBot="1" x14ac:dyDescent="0.25">
      <c r="A76" s="220">
        <v>801</v>
      </c>
      <c r="B76" s="220"/>
      <c r="C76" s="221"/>
      <c r="D76" s="222" t="s">
        <v>286</v>
      </c>
      <c r="E76" s="218">
        <v>326889327.92000002</v>
      </c>
      <c r="F76" s="224">
        <f>SUM(F77,F103,F110,F114,F133,F136,F144,F151,F179,F184,F200,F219,F224,F229,F237,F240,F243,F247,F259,F265,F270,F282,F289)</f>
        <v>656697.37</v>
      </c>
      <c r="G76" s="224">
        <f>SUM(G77,G103,G110,G114,G133,G136,G144,G151,G179,G184,G200,G219,G224,G229,G237,G240,G243,G247,G259,G265,G270,G282,G289)</f>
        <v>413234.37</v>
      </c>
      <c r="H76" s="218">
        <f>SUM(E76+F76-G76)</f>
        <v>327132790.92000002</v>
      </c>
    </row>
    <row r="77" spans="1:8" s="204" customFormat="1" ht="12" customHeight="1" thickTop="1" x14ac:dyDescent="0.2">
      <c r="A77" s="220"/>
      <c r="B77" s="238">
        <v>80101</v>
      </c>
      <c r="C77" s="214"/>
      <c r="D77" s="227" t="s">
        <v>40</v>
      </c>
      <c r="E77" s="228">
        <v>87903546.439999998</v>
      </c>
      <c r="F77" s="229">
        <f>SUM(F78,F97)</f>
        <v>275451</v>
      </c>
      <c r="G77" s="229">
        <f>SUM(G78,G97)</f>
        <v>126718</v>
      </c>
      <c r="H77" s="228">
        <f>SUM(E77+F77-G77)</f>
        <v>88052279.439999998</v>
      </c>
    </row>
    <row r="78" spans="1:8" s="204" customFormat="1" ht="12" customHeight="1" x14ac:dyDescent="0.2">
      <c r="A78" s="220"/>
      <c r="B78" s="238"/>
      <c r="C78" s="214"/>
      <c r="D78" s="316" t="s">
        <v>175</v>
      </c>
      <c r="E78" s="288">
        <v>76651194.879999995</v>
      </c>
      <c r="F78" s="288">
        <f>SUM(F79:F96)</f>
        <v>119911</v>
      </c>
      <c r="G78" s="288">
        <f>SUM(G79:G96)</f>
        <v>126718</v>
      </c>
      <c r="H78" s="317">
        <f>SUM(E78+F78-G78)</f>
        <v>76644387.879999995</v>
      </c>
    </row>
    <row r="79" spans="1:8" s="204" customFormat="1" ht="12" customHeight="1" x14ac:dyDescent="0.2">
      <c r="A79" s="220"/>
      <c r="B79" s="238"/>
      <c r="C79" s="226">
        <v>3020</v>
      </c>
      <c r="D79" s="251" t="s">
        <v>287</v>
      </c>
      <c r="E79" s="252">
        <v>456231</v>
      </c>
      <c r="F79" s="252">
        <v>455</v>
      </c>
      <c r="G79" s="252">
        <v>184</v>
      </c>
      <c r="H79" s="236">
        <f t="shared" ref="H79:H96" si="18">SUM(E79+F79-G79)</f>
        <v>456502</v>
      </c>
    </row>
    <row r="80" spans="1:8" s="204" customFormat="1" ht="12" customHeight="1" x14ac:dyDescent="0.2">
      <c r="A80" s="220"/>
      <c r="B80" s="238"/>
      <c r="C80" s="226">
        <v>4010</v>
      </c>
      <c r="D80" s="251" t="s">
        <v>284</v>
      </c>
      <c r="E80" s="252">
        <v>9969981</v>
      </c>
      <c r="F80" s="252">
        <v>24600</v>
      </c>
      <c r="G80" s="252"/>
      <c r="H80" s="236">
        <f t="shared" si="18"/>
        <v>9994581</v>
      </c>
    </row>
    <row r="81" spans="1:8" s="204" customFormat="1" ht="12" customHeight="1" x14ac:dyDescent="0.2">
      <c r="A81" s="220"/>
      <c r="B81" s="238"/>
      <c r="C81" s="226">
        <v>4110</v>
      </c>
      <c r="D81" s="251" t="s">
        <v>288</v>
      </c>
      <c r="E81" s="252">
        <v>9146146.9399999995</v>
      </c>
      <c r="F81" s="252">
        <v>2400</v>
      </c>
      <c r="G81" s="252"/>
      <c r="H81" s="236">
        <f t="shared" si="18"/>
        <v>9148546.9399999995</v>
      </c>
    </row>
    <row r="82" spans="1:8" s="204" customFormat="1" ht="12" customHeight="1" x14ac:dyDescent="0.2">
      <c r="A82" s="220"/>
      <c r="B82" s="238"/>
      <c r="C82" s="226">
        <v>4120</v>
      </c>
      <c r="D82" s="251" t="s">
        <v>289</v>
      </c>
      <c r="E82" s="252">
        <v>990051.41</v>
      </c>
      <c r="F82" s="252"/>
      <c r="G82" s="252">
        <f>18+6160</f>
        <v>6178</v>
      </c>
      <c r="H82" s="236">
        <f t="shared" si="18"/>
        <v>983873.41</v>
      </c>
    </row>
    <row r="83" spans="1:8" s="204" customFormat="1" ht="12" customHeight="1" x14ac:dyDescent="0.2">
      <c r="A83" s="220"/>
      <c r="B83" s="238"/>
      <c r="C83" s="260">
        <v>4170</v>
      </c>
      <c r="D83" s="261" t="s">
        <v>278</v>
      </c>
      <c r="E83" s="252">
        <v>48940</v>
      </c>
      <c r="F83" s="252"/>
      <c r="G83" s="252">
        <f>402+4787</f>
        <v>5189</v>
      </c>
      <c r="H83" s="236">
        <f t="shared" si="18"/>
        <v>43751</v>
      </c>
    </row>
    <row r="84" spans="1:8" s="204" customFormat="1" ht="12" customHeight="1" x14ac:dyDescent="0.2">
      <c r="A84" s="220"/>
      <c r="B84" s="238"/>
      <c r="C84" s="258" t="s">
        <v>279</v>
      </c>
      <c r="D84" s="259" t="s">
        <v>280</v>
      </c>
      <c r="E84" s="252">
        <v>660718</v>
      </c>
      <c r="F84" s="252">
        <v>26132</v>
      </c>
      <c r="G84" s="252">
        <v>2500</v>
      </c>
      <c r="H84" s="236">
        <f t="shared" si="18"/>
        <v>684350</v>
      </c>
    </row>
    <row r="85" spans="1:8" s="204" customFormat="1" ht="12" customHeight="1" x14ac:dyDescent="0.2">
      <c r="A85" s="220"/>
      <c r="B85" s="238"/>
      <c r="C85" s="226">
        <v>4240</v>
      </c>
      <c r="D85" s="251" t="s">
        <v>290</v>
      </c>
      <c r="E85" s="244">
        <v>534816</v>
      </c>
      <c r="F85" s="252"/>
      <c r="G85" s="244">
        <v>10000</v>
      </c>
      <c r="H85" s="236">
        <f t="shared" si="18"/>
        <v>524816</v>
      </c>
    </row>
    <row r="86" spans="1:8" s="204" customFormat="1" ht="12" customHeight="1" x14ac:dyDescent="0.2">
      <c r="A86" s="220"/>
      <c r="B86" s="238"/>
      <c r="C86" s="226">
        <v>4260</v>
      </c>
      <c r="D86" s="251" t="s">
        <v>268</v>
      </c>
      <c r="E86" s="244">
        <v>4599674</v>
      </c>
      <c r="F86" s="244">
        <v>55000</v>
      </c>
      <c r="G86" s="244"/>
      <c r="H86" s="236">
        <f t="shared" si="18"/>
        <v>4654674</v>
      </c>
    </row>
    <row r="87" spans="1:8" s="204" customFormat="1" ht="12" customHeight="1" x14ac:dyDescent="0.2">
      <c r="A87" s="220"/>
      <c r="B87" s="238"/>
      <c r="C87" s="226">
        <v>4270</v>
      </c>
      <c r="D87" s="251" t="s">
        <v>269</v>
      </c>
      <c r="E87" s="244">
        <v>222828</v>
      </c>
      <c r="F87" s="244"/>
      <c r="G87" s="244">
        <v>20000</v>
      </c>
      <c r="H87" s="236">
        <f t="shared" si="18"/>
        <v>202828</v>
      </c>
    </row>
    <row r="88" spans="1:8" s="204" customFormat="1" ht="12" customHeight="1" x14ac:dyDescent="0.2">
      <c r="A88" s="220"/>
      <c r="B88" s="238"/>
      <c r="C88" s="226">
        <v>4280</v>
      </c>
      <c r="D88" s="251" t="s">
        <v>270</v>
      </c>
      <c r="E88" s="244">
        <v>76027</v>
      </c>
      <c r="F88" s="244"/>
      <c r="G88" s="244">
        <f>67+500</f>
        <v>567</v>
      </c>
      <c r="H88" s="236">
        <f t="shared" si="18"/>
        <v>75460</v>
      </c>
    </row>
    <row r="89" spans="1:8" s="204" customFormat="1" ht="12" customHeight="1" x14ac:dyDescent="0.2">
      <c r="A89" s="220"/>
      <c r="B89" s="238"/>
      <c r="C89" s="238">
        <v>4300</v>
      </c>
      <c r="D89" s="251" t="s">
        <v>266</v>
      </c>
      <c r="E89" s="244">
        <v>901455</v>
      </c>
      <c r="F89" s="244">
        <v>6564</v>
      </c>
      <c r="G89" s="244"/>
      <c r="H89" s="236">
        <f t="shared" si="18"/>
        <v>908019</v>
      </c>
    </row>
    <row r="90" spans="1:8" s="204" customFormat="1" ht="12" customHeight="1" x14ac:dyDescent="0.2">
      <c r="A90" s="220"/>
      <c r="B90" s="238"/>
      <c r="C90" s="226">
        <v>4360</v>
      </c>
      <c r="D90" s="251" t="s">
        <v>291</v>
      </c>
      <c r="E90" s="244">
        <v>55010</v>
      </c>
      <c r="F90" s="244">
        <v>1100</v>
      </c>
      <c r="G90" s="244"/>
      <c r="H90" s="236">
        <f t="shared" si="18"/>
        <v>56110</v>
      </c>
    </row>
    <row r="91" spans="1:8" s="204" customFormat="1" ht="12" customHeight="1" x14ac:dyDescent="0.2">
      <c r="A91" s="220"/>
      <c r="B91" s="238"/>
      <c r="C91" s="226">
        <v>4410</v>
      </c>
      <c r="D91" s="259" t="s">
        <v>292</v>
      </c>
      <c r="E91" s="244">
        <v>19428</v>
      </c>
      <c r="F91" s="244"/>
      <c r="G91" s="244">
        <v>400</v>
      </c>
      <c r="H91" s="236">
        <f t="shared" si="18"/>
        <v>19028</v>
      </c>
    </row>
    <row r="92" spans="1:8" s="204" customFormat="1" ht="12" customHeight="1" x14ac:dyDescent="0.2">
      <c r="A92" s="220"/>
      <c r="B92" s="238"/>
      <c r="C92" s="226">
        <v>4440</v>
      </c>
      <c r="D92" s="251" t="s">
        <v>293</v>
      </c>
      <c r="E92" s="244">
        <v>2368743</v>
      </c>
      <c r="F92" s="244">
        <f>887+2213</f>
        <v>3100</v>
      </c>
      <c r="G92" s="244"/>
      <c r="H92" s="236">
        <f t="shared" si="18"/>
        <v>2371843</v>
      </c>
    </row>
    <row r="93" spans="1:8" s="204" customFormat="1" ht="12" customHeight="1" x14ac:dyDescent="0.2">
      <c r="A93" s="220"/>
      <c r="B93" s="238"/>
      <c r="C93" s="226">
        <v>4510</v>
      </c>
      <c r="D93" s="251" t="s">
        <v>294</v>
      </c>
      <c r="E93" s="244">
        <v>17</v>
      </c>
      <c r="F93" s="244">
        <v>160</v>
      </c>
      <c r="G93" s="244"/>
      <c r="H93" s="236">
        <f t="shared" si="18"/>
        <v>177</v>
      </c>
    </row>
    <row r="94" spans="1:8" s="204" customFormat="1" ht="12" customHeight="1" x14ac:dyDescent="0.2">
      <c r="A94" s="220"/>
      <c r="B94" s="238"/>
      <c r="C94" s="226">
        <v>4610</v>
      </c>
      <c r="D94" s="262" t="s">
        <v>295</v>
      </c>
      <c r="E94" s="244">
        <v>0</v>
      </c>
      <c r="F94" s="244">
        <v>400</v>
      </c>
      <c r="G94" s="244"/>
      <c r="H94" s="236">
        <f t="shared" si="18"/>
        <v>400</v>
      </c>
    </row>
    <row r="95" spans="1:8" s="204" customFormat="1" ht="12" customHeight="1" x14ac:dyDescent="0.2">
      <c r="A95" s="245"/>
      <c r="B95" s="263"/>
      <c r="C95" s="264">
        <v>4710</v>
      </c>
      <c r="D95" s="265" t="s">
        <v>296</v>
      </c>
      <c r="E95" s="248">
        <v>99844.18</v>
      </c>
      <c r="F95" s="248"/>
      <c r="G95" s="248">
        <v>9300</v>
      </c>
      <c r="H95" s="228">
        <f t="shared" si="18"/>
        <v>90544.18</v>
      </c>
    </row>
    <row r="96" spans="1:8" s="204" customFormat="1" ht="12" customHeight="1" x14ac:dyDescent="0.2">
      <c r="A96" s="220"/>
      <c r="B96" s="238"/>
      <c r="C96" s="256">
        <v>4790</v>
      </c>
      <c r="D96" s="266" t="s">
        <v>297</v>
      </c>
      <c r="E96" s="244">
        <v>42539023.350000001</v>
      </c>
      <c r="F96" s="244"/>
      <c r="G96" s="244">
        <f>400+72000</f>
        <v>72400</v>
      </c>
      <c r="H96" s="236">
        <f t="shared" si="18"/>
        <v>42466623.350000001</v>
      </c>
    </row>
    <row r="97" spans="1:8" s="204" customFormat="1" ht="23.1" customHeight="1" x14ac:dyDescent="0.2">
      <c r="A97" s="220"/>
      <c r="B97" s="238"/>
      <c r="C97" s="214"/>
      <c r="D97" s="319" t="s">
        <v>298</v>
      </c>
      <c r="E97" s="288">
        <v>1334476.5</v>
      </c>
      <c r="F97" s="288">
        <f>SUM(F98:F102)</f>
        <v>155540</v>
      </c>
      <c r="G97" s="288">
        <f>SUM(G98:G102)</f>
        <v>0</v>
      </c>
      <c r="H97" s="317">
        <f>SUM(E97+F97-G97)</f>
        <v>1490016.5</v>
      </c>
    </row>
    <row r="98" spans="1:8" s="204" customFormat="1" ht="22.9" customHeight="1" x14ac:dyDescent="0.2">
      <c r="A98" s="220"/>
      <c r="B98" s="238"/>
      <c r="C98" s="267" t="s">
        <v>178</v>
      </c>
      <c r="D98" s="254" t="s">
        <v>299</v>
      </c>
      <c r="E98" s="244">
        <v>877192.2</v>
      </c>
      <c r="F98" s="252">
        <v>151255</v>
      </c>
      <c r="G98" s="252"/>
      <c r="H98" s="236">
        <f t="shared" ref="H98:H102" si="19">SUM(E98+F98-G98)</f>
        <v>1028447.2</v>
      </c>
    </row>
    <row r="99" spans="1:8" s="204" customFormat="1" ht="12" customHeight="1" x14ac:dyDescent="0.2">
      <c r="A99" s="220"/>
      <c r="B99" s="238"/>
      <c r="C99" s="238">
        <v>4370</v>
      </c>
      <c r="D99" s="238" t="s">
        <v>285</v>
      </c>
      <c r="E99" s="244">
        <v>17714.060000000001</v>
      </c>
      <c r="F99" s="252">
        <v>100</v>
      </c>
      <c r="G99" s="252"/>
      <c r="H99" s="236">
        <f t="shared" si="19"/>
        <v>17814.060000000001</v>
      </c>
    </row>
    <row r="100" spans="1:8" s="204" customFormat="1" ht="21.75" customHeight="1" x14ac:dyDescent="0.2">
      <c r="A100" s="220"/>
      <c r="B100" s="238"/>
      <c r="C100" s="242">
        <v>4750</v>
      </c>
      <c r="D100" s="268" t="s">
        <v>300</v>
      </c>
      <c r="E100" s="252">
        <v>223811.83</v>
      </c>
      <c r="F100" s="252">
        <v>2000</v>
      </c>
      <c r="G100" s="252"/>
      <c r="H100" s="236">
        <f t="shared" si="19"/>
        <v>225811.83</v>
      </c>
    </row>
    <row r="101" spans="1:8" s="204" customFormat="1" ht="23.1" customHeight="1" x14ac:dyDescent="0.2">
      <c r="A101" s="220"/>
      <c r="B101" s="238"/>
      <c r="C101" s="242">
        <v>4850</v>
      </c>
      <c r="D101" s="268" t="s">
        <v>301</v>
      </c>
      <c r="E101" s="252">
        <v>60366.14</v>
      </c>
      <c r="F101" s="252">
        <v>285</v>
      </c>
      <c r="G101" s="252"/>
      <c r="H101" s="236">
        <f t="shared" si="19"/>
        <v>60651.14</v>
      </c>
    </row>
    <row r="102" spans="1:8" s="204" customFormat="1" ht="20.25" customHeight="1" x14ac:dyDescent="0.2">
      <c r="A102" s="220"/>
      <c r="B102" s="238"/>
      <c r="C102" s="242">
        <v>4860</v>
      </c>
      <c r="D102" s="268" t="s">
        <v>302</v>
      </c>
      <c r="E102" s="252">
        <v>104514.32</v>
      </c>
      <c r="F102" s="252">
        <v>1900</v>
      </c>
      <c r="G102" s="252"/>
      <c r="H102" s="236">
        <f t="shared" si="19"/>
        <v>106414.32</v>
      </c>
    </row>
    <row r="103" spans="1:8" s="204" customFormat="1" ht="12" customHeight="1" x14ac:dyDescent="0.2">
      <c r="A103" s="220"/>
      <c r="B103" s="238">
        <v>80102</v>
      </c>
      <c r="C103" s="214"/>
      <c r="D103" s="227" t="s">
        <v>303</v>
      </c>
      <c r="E103" s="229">
        <v>11808129.27</v>
      </c>
      <c r="F103" s="229">
        <f>SUM(F104,F108)</f>
        <v>12700</v>
      </c>
      <c r="G103" s="229">
        <f>SUM(G104,G108)</f>
        <v>13200</v>
      </c>
      <c r="H103" s="228">
        <f>SUM(E103+F103-G103)</f>
        <v>11807629.27</v>
      </c>
    </row>
    <row r="104" spans="1:8" s="204" customFormat="1" ht="12" customHeight="1" x14ac:dyDescent="0.2">
      <c r="A104" s="220"/>
      <c r="B104" s="238"/>
      <c r="C104" s="214"/>
      <c r="D104" s="316" t="s">
        <v>175</v>
      </c>
      <c r="E104" s="288">
        <v>11772451.01</v>
      </c>
      <c r="F104" s="288">
        <f>SUM(F105:F107)</f>
        <v>586</v>
      </c>
      <c r="G104" s="288">
        <f>SUM(G105:G107)</f>
        <v>13200</v>
      </c>
      <c r="H104" s="317">
        <f>SUM(E104+F104-G104)</f>
        <v>11759837.01</v>
      </c>
    </row>
    <row r="105" spans="1:8" s="204" customFormat="1" ht="12" customHeight="1" x14ac:dyDescent="0.2">
      <c r="A105" s="220"/>
      <c r="B105" s="238"/>
      <c r="C105" s="226">
        <v>4440</v>
      </c>
      <c r="D105" s="251" t="s">
        <v>293</v>
      </c>
      <c r="E105" s="252">
        <v>320276</v>
      </c>
      <c r="F105" s="252">
        <v>586</v>
      </c>
      <c r="G105" s="252"/>
      <c r="H105" s="252">
        <f t="shared" ref="H105:H107" si="20">SUM(E105+F105-G105)</f>
        <v>320862</v>
      </c>
    </row>
    <row r="106" spans="1:8" s="204" customFormat="1" ht="12" customHeight="1" x14ac:dyDescent="0.2">
      <c r="A106" s="220"/>
      <c r="B106" s="238"/>
      <c r="C106" s="226">
        <v>4780</v>
      </c>
      <c r="D106" s="251" t="s">
        <v>304</v>
      </c>
      <c r="E106" s="252">
        <v>12033</v>
      </c>
      <c r="F106" s="252"/>
      <c r="G106" s="252">
        <v>1200</v>
      </c>
      <c r="H106" s="252">
        <f t="shared" si="20"/>
        <v>10833</v>
      </c>
    </row>
    <row r="107" spans="1:8" s="204" customFormat="1" ht="12" customHeight="1" x14ac:dyDescent="0.2">
      <c r="A107" s="220"/>
      <c r="B107" s="238"/>
      <c r="C107" s="256">
        <v>4790</v>
      </c>
      <c r="D107" s="266" t="s">
        <v>297</v>
      </c>
      <c r="E107" s="252">
        <v>7324629.0099999998</v>
      </c>
      <c r="F107" s="252"/>
      <c r="G107" s="252">
        <v>12000</v>
      </c>
      <c r="H107" s="252">
        <f t="shared" si="20"/>
        <v>7312629.0099999998</v>
      </c>
    </row>
    <row r="108" spans="1:8" s="204" customFormat="1" ht="24.75" customHeight="1" x14ac:dyDescent="0.2">
      <c r="A108" s="220"/>
      <c r="B108" s="238"/>
      <c r="C108" s="214"/>
      <c r="D108" s="319" t="s">
        <v>298</v>
      </c>
      <c r="E108" s="288">
        <v>35678.259999999995</v>
      </c>
      <c r="F108" s="288">
        <f>SUM(F109:F109)</f>
        <v>12114</v>
      </c>
      <c r="G108" s="288">
        <f>SUM(G109:G109)</f>
        <v>0</v>
      </c>
      <c r="H108" s="317">
        <f>SUM(E108+F108-G108)</f>
        <v>47792.259999999995</v>
      </c>
    </row>
    <row r="109" spans="1:8" s="204" customFormat="1" ht="21" customHeight="1" x14ac:dyDescent="0.2">
      <c r="A109" s="220"/>
      <c r="B109" s="238"/>
      <c r="C109" s="267" t="s">
        <v>178</v>
      </c>
      <c r="D109" s="254" t="s">
        <v>299</v>
      </c>
      <c r="E109" s="244">
        <v>25786</v>
      </c>
      <c r="F109" s="252">
        <v>12114</v>
      </c>
      <c r="G109" s="252"/>
      <c r="H109" s="236">
        <f t="shared" ref="H109" si="21">SUM(E109+F109-G109)</f>
        <v>37900</v>
      </c>
    </row>
    <row r="110" spans="1:8" s="204" customFormat="1" ht="12" customHeight="1" x14ac:dyDescent="0.2">
      <c r="A110" s="220"/>
      <c r="B110" s="238">
        <v>80103</v>
      </c>
      <c r="C110" s="214"/>
      <c r="D110" s="227" t="s">
        <v>85</v>
      </c>
      <c r="E110" s="228">
        <v>756739</v>
      </c>
      <c r="F110" s="229">
        <f>SUM(F111)</f>
        <v>925</v>
      </c>
      <c r="G110" s="229">
        <f>SUM(G111)</f>
        <v>3183</v>
      </c>
      <c r="H110" s="228">
        <f>SUM(E110+F110-G110)</f>
        <v>754481</v>
      </c>
    </row>
    <row r="111" spans="1:8" s="204" customFormat="1" ht="12" customHeight="1" x14ac:dyDescent="0.2">
      <c r="A111" s="220"/>
      <c r="B111" s="220"/>
      <c r="C111" s="214"/>
      <c r="D111" s="316" t="s">
        <v>175</v>
      </c>
      <c r="E111" s="288">
        <v>587052</v>
      </c>
      <c r="F111" s="288">
        <f>SUM(F112:F113)</f>
        <v>925</v>
      </c>
      <c r="G111" s="288">
        <f>SUM(G112:G113)</f>
        <v>3183</v>
      </c>
      <c r="H111" s="288">
        <f>SUM(E111+F111-G111)</f>
        <v>584794</v>
      </c>
    </row>
    <row r="112" spans="1:8" s="204" customFormat="1" ht="12" customHeight="1" x14ac:dyDescent="0.2">
      <c r="A112" s="220"/>
      <c r="B112" s="220"/>
      <c r="C112" s="226">
        <v>4710</v>
      </c>
      <c r="D112" s="259" t="s">
        <v>296</v>
      </c>
      <c r="E112" s="236">
        <v>5622</v>
      </c>
      <c r="F112" s="237"/>
      <c r="G112" s="237">
        <v>3183</v>
      </c>
      <c r="H112" s="237">
        <f t="shared" ref="H112:H113" si="22">SUM(E112+F112-G112)</f>
        <v>2439</v>
      </c>
    </row>
    <row r="113" spans="1:8" s="204" customFormat="1" ht="12" customHeight="1" x14ac:dyDescent="0.2">
      <c r="A113" s="220"/>
      <c r="B113" s="238"/>
      <c r="C113" s="256">
        <v>4790</v>
      </c>
      <c r="D113" s="266" t="s">
        <v>297</v>
      </c>
      <c r="E113" s="252">
        <v>348494</v>
      </c>
      <c r="F113" s="252">
        <v>925</v>
      </c>
      <c r="G113" s="252"/>
      <c r="H113" s="237">
        <f t="shared" si="22"/>
        <v>349419</v>
      </c>
    </row>
    <row r="114" spans="1:8" s="204" customFormat="1" ht="12" customHeight="1" x14ac:dyDescent="0.2">
      <c r="A114" s="220"/>
      <c r="B114" s="238">
        <v>80104</v>
      </c>
      <c r="C114" s="214"/>
      <c r="D114" s="227" t="s">
        <v>44</v>
      </c>
      <c r="E114" s="229">
        <v>44745961.760000005</v>
      </c>
      <c r="F114" s="229">
        <f>SUM(F115,F129)</f>
        <v>90790</v>
      </c>
      <c r="G114" s="229">
        <f>SUM(G115,G129)</f>
        <v>45713</v>
      </c>
      <c r="H114" s="228">
        <f>SUM(E114+F114-G114)</f>
        <v>44791038.760000005</v>
      </c>
    </row>
    <row r="115" spans="1:8" s="204" customFormat="1" ht="12" customHeight="1" x14ac:dyDescent="0.2">
      <c r="A115" s="220"/>
      <c r="B115" s="238"/>
      <c r="C115" s="214"/>
      <c r="D115" s="316" t="s">
        <v>175</v>
      </c>
      <c r="E115" s="288">
        <v>32561790.550000004</v>
      </c>
      <c r="F115" s="288">
        <f>SUM(F116:F128)</f>
        <v>51450</v>
      </c>
      <c r="G115" s="288">
        <f>SUM(G116:G128)</f>
        <v>45713</v>
      </c>
      <c r="H115" s="317">
        <f>SUM(E115+F115-G115)</f>
        <v>32567527.550000004</v>
      </c>
    </row>
    <row r="116" spans="1:8" s="204" customFormat="1" ht="12" customHeight="1" x14ac:dyDescent="0.2">
      <c r="A116" s="220"/>
      <c r="B116" s="238"/>
      <c r="C116" s="226">
        <v>4010</v>
      </c>
      <c r="D116" s="251" t="s">
        <v>284</v>
      </c>
      <c r="E116" s="252">
        <v>9261885</v>
      </c>
      <c r="F116" s="252">
        <v>2500</v>
      </c>
      <c r="G116" s="252">
        <f>500+2000</f>
        <v>2500</v>
      </c>
      <c r="H116" s="236">
        <f t="shared" ref="H116:H128" si="23">SUM(E116+F116-G116)</f>
        <v>9261885</v>
      </c>
    </row>
    <row r="117" spans="1:8" s="204" customFormat="1" ht="12" customHeight="1" x14ac:dyDescent="0.2">
      <c r="A117" s="220"/>
      <c r="B117" s="238"/>
      <c r="C117" s="226">
        <v>4110</v>
      </c>
      <c r="D117" s="251" t="s">
        <v>288</v>
      </c>
      <c r="E117" s="252">
        <v>4052353</v>
      </c>
      <c r="F117" s="252">
        <v>2000</v>
      </c>
      <c r="G117" s="252">
        <f>2000+2500</f>
        <v>4500</v>
      </c>
      <c r="H117" s="236">
        <f t="shared" si="23"/>
        <v>4049853</v>
      </c>
    </row>
    <row r="118" spans="1:8" s="204" customFormat="1" ht="12" customHeight="1" x14ac:dyDescent="0.2">
      <c r="A118" s="220"/>
      <c r="B118" s="238"/>
      <c r="C118" s="226">
        <v>4120</v>
      </c>
      <c r="D118" s="251" t="s">
        <v>289</v>
      </c>
      <c r="E118" s="252">
        <v>411221</v>
      </c>
      <c r="F118" s="252"/>
      <c r="G118" s="252">
        <v>8314</v>
      </c>
      <c r="H118" s="236">
        <f t="shared" si="23"/>
        <v>402907</v>
      </c>
    </row>
    <row r="119" spans="1:8" s="204" customFormat="1" ht="22.5" customHeight="1" x14ac:dyDescent="0.2">
      <c r="A119" s="220"/>
      <c r="B119" s="238"/>
      <c r="C119" s="253">
        <v>4140</v>
      </c>
      <c r="D119" s="254" t="s">
        <v>267</v>
      </c>
      <c r="E119" s="252">
        <v>15000</v>
      </c>
      <c r="F119" s="252"/>
      <c r="G119" s="252">
        <v>12000</v>
      </c>
      <c r="H119" s="236">
        <f t="shared" si="23"/>
        <v>3000</v>
      </c>
    </row>
    <row r="120" spans="1:8" s="204" customFormat="1" ht="12" customHeight="1" x14ac:dyDescent="0.2">
      <c r="A120" s="220"/>
      <c r="B120" s="238"/>
      <c r="C120" s="258" t="s">
        <v>279</v>
      </c>
      <c r="D120" s="259" t="s">
        <v>280</v>
      </c>
      <c r="E120" s="244">
        <v>682691.88</v>
      </c>
      <c r="F120" s="244">
        <v>13899</v>
      </c>
      <c r="G120" s="244"/>
      <c r="H120" s="236">
        <f t="shared" si="23"/>
        <v>696590.88</v>
      </c>
    </row>
    <row r="121" spans="1:8" s="204" customFormat="1" ht="12" customHeight="1" x14ac:dyDescent="0.2">
      <c r="A121" s="220"/>
      <c r="B121" s="238"/>
      <c r="C121" s="226">
        <v>4260</v>
      </c>
      <c r="D121" s="251" t="s">
        <v>268</v>
      </c>
      <c r="E121" s="244">
        <v>1545382</v>
      </c>
      <c r="F121" s="244">
        <v>15000</v>
      </c>
      <c r="G121" s="244"/>
      <c r="H121" s="236">
        <f t="shared" si="23"/>
        <v>1560382</v>
      </c>
    </row>
    <row r="122" spans="1:8" s="204" customFormat="1" ht="12" customHeight="1" x14ac:dyDescent="0.2">
      <c r="A122" s="220"/>
      <c r="B122" s="238"/>
      <c r="C122" s="226">
        <v>4270</v>
      </c>
      <c r="D122" s="251" t="s">
        <v>269</v>
      </c>
      <c r="E122" s="244">
        <v>205283</v>
      </c>
      <c r="F122" s="244">
        <v>7000</v>
      </c>
      <c r="G122" s="244">
        <v>5150</v>
      </c>
      <c r="H122" s="236">
        <f t="shared" si="23"/>
        <v>207133</v>
      </c>
    </row>
    <row r="123" spans="1:8" s="204" customFormat="1" ht="12" customHeight="1" x14ac:dyDescent="0.2">
      <c r="A123" s="220"/>
      <c r="B123" s="238"/>
      <c r="C123" s="226">
        <v>4280</v>
      </c>
      <c r="D123" s="251" t="s">
        <v>270</v>
      </c>
      <c r="E123" s="244">
        <v>32102</v>
      </c>
      <c r="F123" s="244">
        <v>500</v>
      </c>
      <c r="G123" s="244"/>
      <c r="H123" s="236">
        <f t="shared" si="23"/>
        <v>32602</v>
      </c>
    </row>
    <row r="124" spans="1:8" s="204" customFormat="1" ht="12" customHeight="1" x14ac:dyDescent="0.2">
      <c r="A124" s="220"/>
      <c r="B124" s="238"/>
      <c r="C124" s="238">
        <v>4300</v>
      </c>
      <c r="D124" s="251" t="s">
        <v>266</v>
      </c>
      <c r="E124" s="244">
        <v>617557.42000000004</v>
      </c>
      <c r="F124" s="244">
        <v>8500</v>
      </c>
      <c r="G124" s="244">
        <f>50+7000</f>
        <v>7050</v>
      </c>
      <c r="H124" s="236">
        <f t="shared" si="23"/>
        <v>619007.42000000004</v>
      </c>
    </row>
    <row r="125" spans="1:8" s="204" customFormat="1" ht="12" customHeight="1" x14ac:dyDescent="0.2">
      <c r="A125" s="220"/>
      <c r="B125" s="238"/>
      <c r="C125" s="226">
        <v>4440</v>
      </c>
      <c r="D125" s="251" t="s">
        <v>293</v>
      </c>
      <c r="E125" s="244">
        <v>1039731</v>
      </c>
      <c r="F125" s="244">
        <v>2001</v>
      </c>
      <c r="G125" s="244"/>
      <c r="H125" s="236">
        <f t="shared" si="23"/>
        <v>1041732</v>
      </c>
    </row>
    <row r="126" spans="1:8" s="204" customFormat="1" ht="12" customHeight="1" x14ac:dyDescent="0.2">
      <c r="A126" s="220"/>
      <c r="B126" s="238"/>
      <c r="C126" s="226">
        <v>4430</v>
      </c>
      <c r="D126" s="251" t="s">
        <v>271</v>
      </c>
      <c r="E126" s="244">
        <v>13523</v>
      </c>
      <c r="F126" s="244">
        <v>50</v>
      </c>
      <c r="G126" s="244"/>
      <c r="H126" s="236">
        <f t="shared" si="23"/>
        <v>13573</v>
      </c>
    </row>
    <row r="127" spans="1:8" s="204" customFormat="1" ht="11.25" customHeight="1" x14ac:dyDescent="0.2">
      <c r="A127" s="220"/>
      <c r="B127" s="238"/>
      <c r="C127" s="226">
        <v>4710</v>
      </c>
      <c r="D127" s="259" t="s">
        <v>296</v>
      </c>
      <c r="E127" s="244">
        <v>88573</v>
      </c>
      <c r="F127" s="244"/>
      <c r="G127" s="244">
        <v>3199</v>
      </c>
      <c r="H127" s="236">
        <f t="shared" si="23"/>
        <v>85374</v>
      </c>
    </row>
    <row r="128" spans="1:8" s="204" customFormat="1" ht="12" customHeight="1" x14ac:dyDescent="0.2">
      <c r="A128" s="220"/>
      <c r="B128" s="238"/>
      <c r="C128" s="256">
        <v>4800</v>
      </c>
      <c r="D128" s="266" t="s">
        <v>305</v>
      </c>
      <c r="E128" s="244">
        <v>889968</v>
      </c>
      <c r="F128" s="244"/>
      <c r="G128" s="244">
        <v>3000</v>
      </c>
      <c r="H128" s="236">
        <f t="shared" si="23"/>
        <v>886968</v>
      </c>
    </row>
    <row r="129" spans="1:8" s="204" customFormat="1" ht="23.1" customHeight="1" x14ac:dyDescent="0.2">
      <c r="A129" s="220"/>
      <c r="B129" s="238"/>
      <c r="C129" s="214"/>
      <c r="D129" s="319" t="s">
        <v>298</v>
      </c>
      <c r="E129" s="288">
        <v>164048.69</v>
      </c>
      <c r="F129" s="288">
        <f>SUM(F130:F132)</f>
        <v>39340</v>
      </c>
      <c r="G129" s="288">
        <f>SUM(G130:G132)</f>
        <v>0</v>
      </c>
      <c r="H129" s="317">
        <f>SUM(E129+F129-G129)</f>
        <v>203388.69</v>
      </c>
    </row>
    <row r="130" spans="1:8" s="204" customFormat="1" ht="23.1" customHeight="1" x14ac:dyDescent="0.2">
      <c r="A130" s="220"/>
      <c r="B130" s="238"/>
      <c r="C130" s="267" t="s">
        <v>178</v>
      </c>
      <c r="D130" s="254" t="s">
        <v>299</v>
      </c>
      <c r="E130" s="244">
        <v>115848.11</v>
      </c>
      <c r="F130" s="252">
        <v>38790</v>
      </c>
      <c r="G130" s="252"/>
      <c r="H130" s="236">
        <f t="shared" ref="H130:H132" si="24">SUM(E130+F130-G130)</f>
        <v>154638.10999999999</v>
      </c>
    </row>
    <row r="131" spans="1:8" s="204" customFormat="1" ht="12.6" customHeight="1" x14ac:dyDescent="0.2">
      <c r="A131" s="220"/>
      <c r="B131" s="238"/>
      <c r="C131" s="238">
        <v>4370</v>
      </c>
      <c r="D131" s="238" t="s">
        <v>285</v>
      </c>
      <c r="E131" s="244">
        <v>6541.7000000000007</v>
      </c>
      <c r="F131" s="252">
        <v>50</v>
      </c>
      <c r="G131" s="252"/>
      <c r="H131" s="236">
        <f t="shared" si="24"/>
        <v>6591.7000000000007</v>
      </c>
    </row>
    <row r="132" spans="1:8" s="204" customFormat="1" ht="23.1" customHeight="1" x14ac:dyDescent="0.2">
      <c r="A132" s="220"/>
      <c r="B132" s="238"/>
      <c r="C132" s="242">
        <v>4860</v>
      </c>
      <c r="D132" s="268" t="s">
        <v>302</v>
      </c>
      <c r="E132" s="252">
        <v>29034.120000000003</v>
      </c>
      <c r="F132" s="244">
        <v>500</v>
      </c>
      <c r="G132" s="244"/>
      <c r="H132" s="236">
        <f t="shared" si="24"/>
        <v>29534.120000000003</v>
      </c>
    </row>
    <row r="133" spans="1:8" s="204" customFormat="1" ht="12" customHeight="1" x14ac:dyDescent="0.2">
      <c r="A133" s="220"/>
      <c r="B133" s="238">
        <v>80105</v>
      </c>
      <c r="C133" s="214"/>
      <c r="D133" s="227" t="s">
        <v>306</v>
      </c>
      <c r="E133" s="229">
        <v>917532.38</v>
      </c>
      <c r="F133" s="229">
        <f>SUM(F134)</f>
        <v>5703</v>
      </c>
      <c r="G133" s="229">
        <f>SUM(G134)</f>
        <v>0</v>
      </c>
      <c r="H133" s="228">
        <f>SUM(E133+F133-G133)</f>
        <v>923235.38</v>
      </c>
    </row>
    <row r="134" spans="1:8" s="204" customFormat="1" ht="21.75" customHeight="1" x14ac:dyDescent="0.2">
      <c r="A134" s="220"/>
      <c r="B134" s="226"/>
      <c r="C134" s="214"/>
      <c r="D134" s="319" t="s">
        <v>298</v>
      </c>
      <c r="E134" s="288">
        <v>19423.419999999998</v>
      </c>
      <c r="F134" s="288">
        <f>SUM(F135:F135)</f>
        <v>5703</v>
      </c>
      <c r="G134" s="288">
        <f>SUM(G135:G135)</f>
        <v>0</v>
      </c>
      <c r="H134" s="317">
        <f>SUM(E134+F134-G134)</f>
        <v>25126.42</v>
      </c>
    </row>
    <row r="135" spans="1:8" s="204" customFormat="1" ht="20.45" customHeight="1" x14ac:dyDescent="0.2">
      <c r="A135" s="220"/>
      <c r="B135" s="226"/>
      <c r="C135" s="267" t="s">
        <v>178</v>
      </c>
      <c r="D135" s="254" t="s">
        <v>299</v>
      </c>
      <c r="E135" s="244">
        <v>18123.419999999998</v>
      </c>
      <c r="F135" s="252">
        <v>5703</v>
      </c>
      <c r="G135" s="252"/>
      <c r="H135" s="236">
        <f t="shared" ref="H135" si="25">SUM(E135+F135-G135)</f>
        <v>23826.42</v>
      </c>
    </row>
    <row r="136" spans="1:8" s="204" customFormat="1" ht="12" customHeight="1" x14ac:dyDescent="0.2">
      <c r="A136" s="220"/>
      <c r="B136" s="238">
        <v>80107</v>
      </c>
      <c r="C136" s="214"/>
      <c r="D136" s="269" t="s">
        <v>307</v>
      </c>
      <c r="E136" s="229">
        <v>5906144</v>
      </c>
      <c r="F136" s="229">
        <f>SUM(F137)</f>
        <v>7437</v>
      </c>
      <c r="G136" s="229">
        <f>SUM(G137)</f>
        <v>8749</v>
      </c>
      <c r="H136" s="228">
        <f>SUM(E136+F136-G136)</f>
        <v>5904832</v>
      </c>
    </row>
    <row r="137" spans="1:8" s="204" customFormat="1" ht="12" customHeight="1" x14ac:dyDescent="0.2">
      <c r="A137" s="220"/>
      <c r="B137" s="226"/>
      <c r="C137" s="214"/>
      <c r="D137" s="316" t="s">
        <v>175</v>
      </c>
      <c r="E137" s="288">
        <v>5906144</v>
      </c>
      <c r="F137" s="288">
        <f>SUM(F138:F143)</f>
        <v>7437</v>
      </c>
      <c r="G137" s="288">
        <f>SUM(G138:G143)</f>
        <v>8749</v>
      </c>
      <c r="H137" s="317">
        <f>SUM(E137+F137-G137)</f>
        <v>5904832</v>
      </c>
    </row>
    <row r="138" spans="1:8" s="204" customFormat="1" ht="12" customHeight="1" x14ac:dyDescent="0.2">
      <c r="A138" s="220"/>
      <c r="B138" s="226"/>
      <c r="C138" s="226">
        <v>3020</v>
      </c>
      <c r="D138" s="251" t="s">
        <v>287</v>
      </c>
      <c r="E138" s="252">
        <v>53424</v>
      </c>
      <c r="F138" s="252"/>
      <c r="G138" s="252">
        <v>455</v>
      </c>
      <c r="H138" s="236">
        <f t="shared" ref="H138:H143" si="26">SUM(E138+F138-G138)</f>
        <v>52969</v>
      </c>
    </row>
    <row r="139" spans="1:8" s="204" customFormat="1" ht="12" customHeight="1" x14ac:dyDescent="0.2">
      <c r="A139" s="220"/>
      <c r="B139" s="226"/>
      <c r="C139" s="226">
        <v>4110</v>
      </c>
      <c r="D139" s="251" t="s">
        <v>288</v>
      </c>
      <c r="E139" s="252">
        <v>805160</v>
      </c>
      <c r="F139" s="252">
        <v>956</v>
      </c>
      <c r="G139" s="252"/>
      <c r="H139" s="236">
        <f t="shared" si="26"/>
        <v>806116</v>
      </c>
    </row>
    <row r="140" spans="1:8" s="204" customFormat="1" ht="12" customHeight="1" x14ac:dyDescent="0.2">
      <c r="A140" s="220"/>
      <c r="B140" s="226"/>
      <c r="C140" s="226">
        <v>4120</v>
      </c>
      <c r="D140" s="251" t="s">
        <v>289</v>
      </c>
      <c r="E140" s="252">
        <v>96232</v>
      </c>
      <c r="F140" s="252"/>
      <c r="G140" s="252">
        <v>602</v>
      </c>
      <c r="H140" s="236">
        <f t="shared" si="26"/>
        <v>95630</v>
      </c>
    </row>
    <row r="141" spans="1:8" s="204" customFormat="1" ht="12" customHeight="1" x14ac:dyDescent="0.2">
      <c r="A141" s="220"/>
      <c r="B141" s="226"/>
      <c r="C141" s="226">
        <v>4440</v>
      </c>
      <c r="D141" s="251" t="s">
        <v>293</v>
      </c>
      <c r="E141" s="252">
        <v>221417</v>
      </c>
      <c r="F141" s="252">
        <v>5481</v>
      </c>
      <c r="G141" s="252">
        <v>283</v>
      </c>
      <c r="H141" s="236">
        <f t="shared" si="26"/>
        <v>226615</v>
      </c>
    </row>
    <row r="142" spans="1:8" s="204" customFormat="1" ht="12" customHeight="1" x14ac:dyDescent="0.2">
      <c r="A142" s="220"/>
      <c r="B142" s="226"/>
      <c r="C142" s="226">
        <v>4710</v>
      </c>
      <c r="D142" s="259" t="s">
        <v>296</v>
      </c>
      <c r="E142" s="252">
        <v>29338</v>
      </c>
      <c r="F142" s="252"/>
      <c r="G142" s="252">
        <v>7409</v>
      </c>
      <c r="H142" s="236">
        <f t="shared" si="26"/>
        <v>21929</v>
      </c>
    </row>
    <row r="143" spans="1:8" s="204" customFormat="1" ht="12" customHeight="1" x14ac:dyDescent="0.2">
      <c r="A143" s="245"/>
      <c r="B143" s="264"/>
      <c r="C143" s="270">
        <v>4790</v>
      </c>
      <c r="D143" s="271" t="s">
        <v>297</v>
      </c>
      <c r="E143" s="249">
        <v>4325184</v>
      </c>
      <c r="F143" s="249">
        <v>1000</v>
      </c>
      <c r="G143" s="249"/>
      <c r="H143" s="228">
        <f t="shared" si="26"/>
        <v>4326184</v>
      </c>
    </row>
    <row r="144" spans="1:8" s="204" customFormat="1" ht="12" customHeight="1" x14ac:dyDescent="0.2">
      <c r="A144" s="220"/>
      <c r="B144" s="256" t="s">
        <v>308</v>
      </c>
      <c r="C144" s="272"/>
      <c r="D144" s="269" t="s">
        <v>309</v>
      </c>
      <c r="E144" s="228">
        <v>796617</v>
      </c>
      <c r="F144" s="229">
        <f>SUM(F145)</f>
        <v>18000</v>
      </c>
      <c r="G144" s="229">
        <f>SUM(G145)</f>
        <v>809</v>
      </c>
      <c r="H144" s="228">
        <f>SUM(E144+F144-G144)</f>
        <v>813808</v>
      </c>
    </row>
    <row r="145" spans="1:8" s="204" customFormat="1" ht="12" customHeight="1" x14ac:dyDescent="0.2">
      <c r="A145" s="220"/>
      <c r="B145" s="220"/>
      <c r="C145" s="214"/>
      <c r="D145" s="316" t="s">
        <v>175</v>
      </c>
      <c r="E145" s="288">
        <v>661617</v>
      </c>
      <c r="F145" s="288">
        <f>SUM(F146:F150)</f>
        <v>18000</v>
      </c>
      <c r="G145" s="288">
        <f>SUM(G146:G150)</f>
        <v>809</v>
      </c>
      <c r="H145" s="288">
        <f t="shared" ref="H145:H150" si="27">SUM(E145+F145-G145)</f>
        <v>678808</v>
      </c>
    </row>
    <row r="146" spans="1:8" s="204" customFormat="1" ht="12" customHeight="1" x14ac:dyDescent="0.2">
      <c r="A146" s="220"/>
      <c r="B146" s="220"/>
      <c r="C146" s="226">
        <v>4010</v>
      </c>
      <c r="D146" s="251" t="s">
        <v>284</v>
      </c>
      <c r="E146" s="252">
        <v>338311</v>
      </c>
      <c r="F146" s="252">
        <v>12000</v>
      </c>
      <c r="G146" s="252"/>
      <c r="H146" s="237">
        <f t="shared" si="27"/>
        <v>350311</v>
      </c>
    </row>
    <row r="147" spans="1:8" s="204" customFormat="1" ht="12" customHeight="1" x14ac:dyDescent="0.2">
      <c r="A147" s="220"/>
      <c r="B147" s="213"/>
      <c r="C147" s="226">
        <v>4110</v>
      </c>
      <c r="D147" s="251" t="s">
        <v>288</v>
      </c>
      <c r="E147" s="236">
        <v>68531</v>
      </c>
      <c r="F147" s="236">
        <v>3000</v>
      </c>
      <c r="G147" s="237"/>
      <c r="H147" s="237">
        <f t="shared" si="27"/>
        <v>71531</v>
      </c>
    </row>
    <row r="148" spans="1:8" s="204" customFormat="1" ht="12" customHeight="1" x14ac:dyDescent="0.2">
      <c r="A148" s="220"/>
      <c r="B148" s="213"/>
      <c r="C148" s="258" t="s">
        <v>279</v>
      </c>
      <c r="D148" s="259" t="s">
        <v>280</v>
      </c>
      <c r="E148" s="236">
        <v>110510</v>
      </c>
      <c r="F148" s="236">
        <v>2500</v>
      </c>
      <c r="G148" s="237"/>
      <c r="H148" s="237">
        <f t="shared" si="27"/>
        <v>113010</v>
      </c>
    </row>
    <row r="149" spans="1:8" s="204" customFormat="1" ht="12" customHeight="1" x14ac:dyDescent="0.2">
      <c r="A149" s="220"/>
      <c r="B149" s="213"/>
      <c r="C149" s="226">
        <v>4280</v>
      </c>
      <c r="D149" s="251" t="s">
        <v>270</v>
      </c>
      <c r="E149" s="236">
        <v>1110</v>
      </c>
      <c r="F149" s="236">
        <v>500</v>
      </c>
      <c r="G149" s="237"/>
      <c r="H149" s="237">
        <f t="shared" si="27"/>
        <v>1610</v>
      </c>
    </row>
    <row r="150" spans="1:8" s="204" customFormat="1" ht="12" customHeight="1" x14ac:dyDescent="0.2">
      <c r="A150" s="220"/>
      <c r="B150" s="213"/>
      <c r="C150" s="226">
        <v>4440</v>
      </c>
      <c r="D150" s="251" t="s">
        <v>293</v>
      </c>
      <c r="E150" s="236">
        <v>14113</v>
      </c>
      <c r="F150" s="236"/>
      <c r="G150" s="237">
        <v>809</v>
      </c>
      <c r="H150" s="237">
        <f t="shared" si="27"/>
        <v>13304</v>
      </c>
    </row>
    <row r="151" spans="1:8" s="204" customFormat="1" ht="12" customHeight="1" x14ac:dyDescent="0.2">
      <c r="A151" s="220"/>
      <c r="B151" s="238">
        <v>80115</v>
      </c>
      <c r="C151" s="214"/>
      <c r="D151" s="227" t="s">
        <v>98</v>
      </c>
      <c r="E151" s="228">
        <v>46516853.189999998</v>
      </c>
      <c r="F151" s="229">
        <f>SUM(F152,F173)</f>
        <v>24473</v>
      </c>
      <c r="G151" s="229">
        <f>SUM(G152,G173)</f>
        <v>38389</v>
      </c>
      <c r="H151" s="228">
        <f>SUM(E151+F151-G151)</f>
        <v>46502937.189999998</v>
      </c>
    </row>
    <row r="152" spans="1:8" s="204" customFormat="1" ht="12" customHeight="1" x14ac:dyDescent="0.2">
      <c r="A152" s="220"/>
      <c r="B152" s="238"/>
      <c r="C152" s="226"/>
      <c r="D152" s="316" t="s">
        <v>175</v>
      </c>
      <c r="E152" s="288">
        <v>42649608.960000001</v>
      </c>
      <c r="F152" s="323">
        <f>SUM(F153:F172)</f>
        <v>16984</v>
      </c>
      <c r="G152" s="323">
        <f>SUM(G153:G172)</f>
        <v>38054</v>
      </c>
      <c r="H152" s="317">
        <f t="shared" ref="H152:H172" si="28">SUM(E152+F152-G152)</f>
        <v>42628538.960000001</v>
      </c>
    </row>
    <row r="153" spans="1:8" s="204" customFormat="1" ht="12" customHeight="1" x14ac:dyDescent="0.2">
      <c r="A153" s="220"/>
      <c r="B153" s="238"/>
      <c r="C153" s="226">
        <v>3020</v>
      </c>
      <c r="D153" s="251" t="s">
        <v>287</v>
      </c>
      <c r="E153" s="252">
        <v>190789</v>
      </c>
      <c r="F153" s="244">
        <v>1000</v>
      </c>
      <c r="G153" s="244"/>
      <c r="H153" s="236">
        <f t="shared" si="28"/>
        <v>191789</v>
      </c>
    </row>
    <row r="154" spans="1:8" s="204" customFormat="1" ht="12" customHeight="1" x14ac:dyDescent="0.2">
      <c r="A154" s="220"/>
      <c r="B154" s="238"/>
      <c r="C154" s="226">
        <v>4010</v>
      </c>
      <c r="D154" s="251" t="s">
        <v>284</v>
      </c>
      <c r="E154" s="252">
        <v>5407862</v>
      </c>
      <c r="F154" s="244">
        <v>3000</v>
      </c>
      <c r="G154" s="244"/>
      <c r="H154" s="236">
        <f t="shared" si="28"/>
        <v>5410862</v>
      </c>
    </row>
    <row r="155" spans="1:8" s="204" customFormat="1" ht="12" customHeight="1" x14ac:dyDescent="0.2">
      <c r="A155" s="220"/>
      <c r="B155" s="238"/>
      <c r="C155" s="226">
        <v>4110</v>
      </c>
      <c r="D155" s="251" t="s">
        <v>288</v>
      </c>
      <c r="E155" s="252">
        <v>5191700.38</v>
      </c>
      <c r="F155" s="244">
        <v>3300</v>
      </c>
      <c r="G155" s="244">
        <v>9070</v>
      </c>
      <c r="H155" s="236">
        <f t="shared" si="28"/>
        <v>5185930.38</v>
      </c>
    </row>
    <row r="156" spans="1:8" s="204" customFormat="1" ht="12" customHeight="1" x14ac:dyDescent="0.2">
      <c r="A156" s="220"/>
      <c r="B156" s="238"/>
      <c r="C156" s="226">
        <v>4120</v>
      </c>
      <c r="D156" s="251" t="s">
        <v>289</v>
      </c>
      <c r="E156" s="252">
        <v>616266.80000000005</v>
      </c>
      <c r="F156" s="244"/>
      <c r="G156" s="244">
        <f>2018+3600</f>
        <v>5618</v>
      </c>
      <c r="H156" s="236">
        <f t="shared" si="28"/>
        <v>610648.80000000005</v>
      </c>
    </row>
    <row r="157" spans="1:8" s="204" customFormat="1" ht="21" customHeight="1" x14ac:dyDescent="0.2">
      <c r="A157" s="220"/>
      <c r="B157" s="238"/>
      <c r="C157" s="253">
        <v>4140</v>
      </c>
      <c r="D157" s="254" t="s">
        <v>267</v>
      </c>
      <c r="E157" s="252">
        <v>12650</v>
      </c>
      <c r="F157" s="244"/>
      <c r="G157" s="244">
        <v>2000</v>
      </c>
      <c r="H157" s="236">
        <f t="shared" si="28"/>
        <v>10650</v>
      </c>
    </row>
    <row r="158" spans="1:8" s="204" customFormat="1" ht="12" customHeight="1" x14ac:dyDescent="0.2">
      <c r="A158" s="220"/>
      <c r="B158" s="238"/>
      <c r="C158" s="226">
        <v>4170</v>
      </c>
      <c r="D158" s="251" t="s">
        <v>278</v>
      </c>
      <c r="E158" s="244">
        <v>4130</v>
      </c>
      <c r="F158" s="252"/>
      <c r="G158" s="252">
        <v>2000</v>
      </c>
      <c r="H158" s="236">
        <f t="shared" si="28"/>
        <v>2130</v>
      </c>
    </row>
    <row r="159" spans="1:8" s="204" customFormat="1" ht="12" customHeight="1" x14ac:dyDescent="0.2">
      <c r="A159" s="220"/>
      <c r="B159" s="238"/>
      <c r="C159" s="258" t="s">
        <v>310</v>
      </c>
      <c r="D159" s="259" t="s">
        <v>311</v>
      </c>
      <c r="E159" s="244">
        <v>0</v>
      </c>
      <c r="F159" s="252">
        <v>230</v>
      </c>
      <c r="G159" s="252"/>
      <c r="H159" s="236">
        <f t="shared" si="28"/>
        <v>230</v>
      </c>
    </row>
    <row r="160" spans="1:8" s="204" customFormat="1" ht="12" customHeight="1" x14ac:dyDescent="0.2">
      <c r="A160" s="220"/>
      <c r="B160" s="238"/>
      <c r="C160" s="226">
        <v>4240</v>
      </c>
      <c r="D160" s="251" t="s">
        <v>290</v>
      </c>
      <c r="E160" s="244">
        <v>315510</v>
      </c>
      <c r="F160" s="252"/>
      <c r="G160" s="252">
        <v>230</v>
      </c>
      <c r="H160" s="236">
        <f t="shared" si="28"/>
        <v>315280</v>
      </c>
    </row>
    <row r="161" spans="1:8" s="204" customFormat="1" ht="12" customHeight="1" x14ac:dyDescent="0.2">
      <c r="A161" s="220"/>
      <c r="B161" s="238"/>
      <c r="C161" s="226">
        <v>4260</v>
      </c>
      <c r="D161" s="251" t="s">
        <v>268</v>
      </c>
      <c r="E161" s="244">
        <v>2098232</v>
      </c>
      <c r="F161" s="252">
        <v>3018</v>
      </c>
      <c r="G161" s="252"/>
      <c r="H161" s="236">
        <f t="shared" si="28"/>
        <v>2101250</v>
      </c>
    </row>
    <row r="162" spans="1:8" s="204" customFormat="1" ht="12" customHeight="1" x14ac:dyDescent="0.2">
      <c r="A162" s="220"/>
      <c r="B162" s="238"/>
      <c r="C162" s="226">
        <v>4270</v>
      </c>
      <c r="D162" s="251" t="s">
        <v>269</v>
      </c>
      <c r="E162" s="244">
        <v>198648</v>
      </c>
      <c r="F162" s="252"/>
      <c r="G162" s="252">
        <v>5000</v>
      </c>
      <c r="H162" s="236">
        <f t="shared" si="28"/>
        <v>193648</v>
      </c>
    </row>
    <row r="163" spans="1:8" s="204" customFormat="1" ht="12" customHeight="1" x14ac:dyDescent="0.2">
      <c r="A163" s="220"/>
      <c r="B163" s="238"/>
      <c r="C163" s="226">
        <v>4280</v>
      </c>
      <c r="D163" s="251" t="s">
        <v>270</v>
      </c>
      <c r="E163" s="244">
        <v>30807</v>
      </c>
      <c r="F163" s="252"/>
      <c r="G163" s="252">
        <v>700</v>
      </c>
      <c r="H163" s="236">
        <f t="shared" si="28"/>
        <v>30107</v>
      </c>
    </row>
    <row r="164" spans="1:8" s="204" customFormat="1" ht="12" customHeight="1" x14ac:dyDescent="0.2">
      <c r="A164" s="220"/>
      <c r="B164" s="238"/>
      <c r="C164" s="238">
        <v>4300</v>
      </c>
      <c r="D164" s="251" t="s">
        <v>266</v>
      </c>
      <c r="E164" s="244">
        <v>397917</v>
      </c>
      <c r="F164" s="252">
        <v>5000</v>
      </c>
      <c r="G164" s="252"/>
      <c r="H164" s="236">
        <f t="shared" si="28"/>
        <v>402917</v>
      </c>
    </row>
    <row r="165" spans="1:8" s="204" customFormat="1" ht="12" customHeight="1" x14ac:dyDescent="0.2">
      <c r="A165" s="220"/>
      <c r="B165" s="238"/>
      <c r="C165" s="226">
        <v>4360</v>
      </c>
      <c r="D165" s="251" t="s">
        <v>291</v>
      </c>
      <c r="E165" s="244">
        <v>27312</v>
      </c>
      <c r="F165" s="252"/>
      <c r="G165" s="252">
        <v>1777</v>
      </c>
      <c r="H165" s="236">
        <f t="shared" si="28"/>
        <v>25535</v>
      </c>
    </row>
    <row r="166" spans="1:8" s="204" customFormat="1" ht="21.75" customHeight="1" x14ac:dyDescent="0.2">
      <c r="A166" s="220"/>
      <c r="B166" s="238"/>
      <c r="C166" s="242">
        <v>4390</v>
      </c>
      <c r="D166" s="268" t="s">
        <v>312</v>
      </c>
      <c r="E166" s="244">
        <v>2310</v>
      </c>
      <c r="F166" s="252"/>
      <c r="G166" s="252">
        <v>1500</v>
      </c>
      <c r="H166" s="236">
        <f t="shared" si="28"/>
        <v>810</v>
      </c>
    </row>
    <row r="167" spans="1:8" s="204" customFormat="1" ht="12" customHeight="1" x14ac:dyDescent="0.2">
      <c r="A167" s="220"/>
      <c r="B167" s="238"/>
      <c r="C167" s="226">
        <v>4420</v>
      </c>
      <c r="D167" s="259" t="s">
        <v>313</v>
      </c>
      <c r="E167" s="244">
        <v>3300</v>
      </c>
      <c r="F167" s="252"/>
      <c r="G167" s="252">
        <v>123</v>
      </c>
      <c r="H167" s="236">
        <f t="shared" si="28"/>
        <v>3177</v>
      </c>
    </row>
    <row r="168" spans="1:8" s="204" customFormat="1" ht="12" customHeight="1" x14ac:dyDescent="0.2">
      <c r="A168" s="220"/>
      <c r="B168" s="238"/>
      <c r="C168" s="226">
        <v>4430</v>
      </c>
      <c r="D168" s="251" t="s">
        <v>271</v>
      </c>
      <c r="E168" s="244">
        <v>10123</v>
      </c>
      <c r="F168" s="252"/>
      <c r="G168" s="252">
        <v>3600</v>
      </c>
      <c r="H168" s="236">
        <f t="shared" si="28"/>
        <v>6523</v>
      </c>
    </row>
    <row r="169" spans="1:8" s="204" customFormat="1" ht="12" customHeight="1" x14ac:dyDescent="0.2">
      <c r="A169" s="220"/>
      <c r="B169" s="238"/>
      <c r="C169" s="226">
        <v>4440</v>
      </c>
      <c r="D169" s="251" t="s">
        <v>293</v>
      </c>
      <c r="E169" s="244">
        <v>1260903</v>
      </c>
      <c r="F169" s="252">
        <f>600+836</f>
        <v>1436</v>
      </c>
      <c r="G169" s="252"/>
      <c r="H169" s="236">
        <f t="shared" si="28"/>
        <v>1262339</v>
      </c>
    </row>
    <row r="170" spans="1:8" s="204" customFormat="1" ht="21.75" customHeight="1" x14ac:dyDescent="0.2">
      <c r="A170" s="220"/>
      <c r="B170" s="238"/>
      <c r="C170" s="242">
        <v>4700</v>
      </c>
      <c r="D170" s="254" t="s">
        <v>281</v>
      </c>
      <c r="E170" s="244">
        <v>30680</v>
      </c>
      <c r="F170" s="252"/>
      <c r="G170" s="252">
        <v>1500</v>
      </c>
      <c r="H170" s="236">
        <f t="shared" si="28"/>
        <v>29180</v>
      </c>
    </row>
    <row r="171" spans="1:8" s="204" customFormat="1" ht="12" customHeight="1" x14ac:dyDescent="0.2">
      <c r="A171" s="220"/>
      <c r="B171" s="238"/>
      <c r="C171" s="226">
        <v>4710</v>
      </c>
      <c r="D171" s="259" t="s">
        <v>296</v>
      </c>
      <c r="E171" s="244">
        <v>80949.16</v>
      </c>
      <c r="F171" s="252"/>
      <c r="G171" s="252">
        <f>1856+2150</f>
        <v>4006</v>
      </c>
      <c r="H171" s="236">
        <f t="shared" si="28"/>
        <v>76943.16</v>
      </c>
    </row>
    <row r="172" spans="1:8" s="204" customFormat="1" ht="12" customHeight="1" x14ac:dyDescent="0.2">
      <c r="A172" s="220"/>
      <c r="B172" s="238"/>
      <c r="C172" s="256">
        <v>4800</v>
      </c>
      <c r="D172" s="266" t="s">
        <v>305</v>
      </c>
      <c r="E172" s="244">
        <v>1849493</v>
      </c>
      <c r="F172" s="252"/>
      <c r="G172" s="252">
        <v>930</v>
      </c>
      <c r="H172" s="236">
        <f t="shared" si="28"/>
        <v>1848563</v>
      </c>
    </row>
    <row r="173" spans="1:8" s="204" customFormat="1" ht="23.1" customHeight="1" x14ac:dyDescent="0.2">
      <c r="A173" s="220"/>
      <c r="B173" s="238"/>
      <c r="C173" s="214"/>
      <c r="D173" s="319" t="s">
        <v>298</v>
      </c>
      <c r="E173" s="288">
        <v>28642.49</v>
      </c>
      <c r="F173" s="288">
        <f>SUM(F174:F178)</f>
        <v>7489</v>
      </c>
      <c r="G173" s="288">
        <f>SUM(G174:G178)</f>
        <v>335</v>
      </c>
      <c r="H173" s="317">
        <f>SUM(E173+F173-G173)</f>
        <v>35796.490000000005</v>
      </c>
    </row>
    <row r="174" spans="1:8" s="204" customFormat="1" ht="20.45" customHeight="1" x14ac:dyDescent="0.2">
      <c r="A174" s="220"/>
      <c r="B174" s="238"/>
      <c r="C174" s="267" t="s">
        <v>178</v>
      </c>
      <c r="D174" s="254" t="s">
        <v>299</v>
      </c>
      <c r="E174" s="252">
        <v>10986</v>
      </c>
      <c r="F174" s="252">
        <v>7460</v>
      </c>
      <c r="G174" s="252"/>
      <c r="H174" s="236">
        <f t="shared" ref="H174:H178" si="29">SUM(E174+F174-G174)</f>
        <v>18446</v>
      </c>
    </row>
    <row r="175" spans="1:8" s="204" customFormat="1" ht="12" customHeight="1" x14ac:dyDescent="0.2">
      <c r="A175" s="220"/>
      <c r="B175" s="238"/>
      <c r="C175" s="238">
        <v>4370</v>
      </c>
      <c r="D175" s="238" t="s">
        <v>285</v>
      </c>
      <c r="E175" s="252">
        <v>198.51</v>
      </c>
      <c r="F175" s="252">
        <v>1</v>
      </c>
      <c r="G175" s="252"/>
      <c r="H175" s="236">
        <f t="shared" si="29"/>
        <v>199.51</v>
      </c>
    </row>
    <row r="176" spans="1:8" s="204" customFormat="1" ht="23.1" customHeight="1" x14ac:dyDescent="0.2">
      <c r="A176" s="220"/>
      <c r="B176" s="238"/>
      <c r="C176" s="242">
        <v>4750</v>
      </c>
      <c r="D176" s="268" t="s">
        <v>300</v>
      </c>
      <c r="E176" s="252">
        <v>12839.19</v>
      </c>
      <c r="F176" s="244"/>
      <c r="G176" s="244">
        <v>286</v>
      </c>
      <c r="H176" s="236">
        <f t="shared" si="29"/>
        <v>12553.19</v>
      </c>
    </row>
    <row r="177" spans="1:8" s="204" customFormat="1" ht="23.1" customHeight="1" x14ac:dyDescent="0.2">
      <c r="A177" s="220"/>
      <c r="B177" s="238"/>
      <c r="C177" s="242">
        <v>4850</v>
      </c>
      <c r="D177" s="268" t="s">
        <v>301</v>
      </c>
      <c r="E177" s="252">
        <v>2683.4500000000007</v>
      </c>
      <c r="F177" s="252"/>
      <c r="G177" s="252">
        <v>49</v>
      </c>
      <c r="H177" s="236">
        <f t="shared" si="29"/>
        <v>2634.4500000000007</v>
      </c>
    </row>
    <row r="178" spans="1:8" s="204" customFormat="1" ht="20.25" customHeight="1" x14ac:dyDescent="0.2">
      <c r="A178" s="220"/>
      <c r="B178" s="238"/>
      <c r="C178" s="242">
        <v>4860</v>
      </c>
      <c r="D178" s="268" t="s">
        <v>302</v>
      </c>
      <c r="E178" s="252">
        <v>1935.34</v>
      </c>
      <c r="F178" s="252">
        <v>28</v>
      </c>
      <c r="G178" s="252"/>
      <c r="H178" s="236">
        <f t="shared" si="29"/>
        <v>1963.34</v>
      </c>
    </row>
    <row r="179" spans="1:8" s="204" customFormat="1" ht="12" customHeight="1" x14ac:dyDescent="0.2">
      <c r="A179" s="220"/>
      <c r="B179" s="238">
        <v>80116</v>
      </c>
      <c r="C179" s="214"/>
      <c r="D179" s="227" t="s">
        <v>100</v>
      </c>
      <c r="E179" s="249">
        <v>6485189.5800000001</v>
      </c>
      <c r="F179" s="229">
        <f>SUM(F180)</f>
        <v>15000</v>
      </c>
      <c r="G179" s="229">
        <f>SUM(G180)</f>
        <v>3536</v>
      </c>
      <c r="H179" s="228">
        <f>SUM(E179+F179-G179)</f>
        <v>6496653.5800000001</v>
      </c>
    </row>
    <row r="180" spans="1:8" s="204" customFormat="1" ht="12" customHeight="1" x14ac:dyDescent="0.2">
      <c r="A180" s="220"/>
      <c r="B180" s="238"/>
      <c r="C180" s="214"/>
      <c r="D180" s="316" t="s">
        <v>175</v>
      </c>
      <c r="E180" s="288">
        <v>900639.67</v>
      </c>
      <c r="F180" s="288">
        <f>SUM(F181:F183)</f>
        <v>15000</v>
      </c>
      <c r="G180" s="288">
        <f>SUM(G181:G183)</f>
        <v>3536</v>
      </c>
      <c r="H180" s="288">
        <f t="shared" ref="H180:H183" si="30">SUM(E180+F180-G180)</f>
        <v>912103.67</v>
      </c>
    </row>
    <row r="181" spans="1:8" s="204" customFormat="1" ht="12" customHeight="1" x14ac:dyDescent="0.2">
      <c r="A181" s="220"/>
      <c r="B181" s="238"/>
      <c r="C181" s="226">
        <v>4440</v>
      </c>
      <c r="D181" s="251" t="s">
        <v>293</v>
      </c>
      <c r="E181" s="237">
        <v>32278</v>
      </c>
      <c r="F181" s="237"/>
      <c r="G181" s="237">
        <v>536</v>
      </c>
      <c r="H181" s="237">
        <f t="shared" si="30"/>
        <v>31742</v>
      </c>
    </row>
    <row r="182" spans="1:8" s="204" customFormat="1" ht="12" customHeight="1" x14ac:dyDescent="0.2">
      <c r="A182" s="220"/>
      <c r="B182" s="238"/>
      <c r="C182" s="226">
        <v>4710</v>
      </c>
      <c r="D182" s="259" t="s">
        <v>296</v>
      </c>
      <c r="E182" s="237">
        <v>4403</v>
      </c>
      <c r="F182" s="237"/>
      <c r="G182" s="237">
        <v>3000</v>
      </c>
      <c r="H182" s="237">
        <f t="shared" si="30"/>
        <v>1403</v>
      </c>
    </row>
    <row r="183" spans="1:8" s="204" customFormat="1" ht="12" customHeight="1" x14ac:dyDescent="0.2">
      <c r="A183" s="220"/>
      <c r="B183" s="238"/>
      <c r="C183" s="256">
        <v>4790</v>
      </c>
      <c r="D183" s="266" t="s">
        <v>297</v>
      </c>
      <c r="E183" s="237">
        <v>528179.67000000004</v>
      </c>
      <c r="F183" s="237">
        <v>15000</v>
      </c>
      <c r="G183" s="237"/>
      <c r="H183" s="237">
        <f t="shared" si="30"/>
        <v>543179.67000000004</v>
      </c>
    </row>
    <row r="184" spans="1:8" s="204" customFormat="1" ht="12" customHeight="1" x14ac:dyDescent="0.2">
      <c r="A184" s="220"/>
      <c r="B184" s="238">
        <v>80117</v>
      </c>
      <c r="C184" s="214"/>
      <c r="D184" s="227" t="s">
        <v>50</v>
      </c>
      <c r="E184" s="249">
        <v>8839063.8699999992</v>
      </c>
      <c r="F184" s="229">
        <f>SUM(F185,F194)</f>
        <v>11251.54</v>
      </c>
      <c r="G184" s="229">
        <f>SUM(G185,G194)</f>
        <v>14660.900000000001</v>
      </c>
      <c r="H184" s="228">
        <f>SUM(E184+F184-G184)</f>
        <v>8835654.5099999979</v>
      </c>
    </row>
    <row r="185" spans="1:8" s="204" customFormat="1" ht="12" customHeight="1" x14ac:dyDescent="0.2">
      <c r="A185" s="220"/>
      <c r="B185" s="220"/>
      <c r="C185" s="214"/>
      <c r="D185" s="316" t="s">
        <v>175</v>
      </c>
      <c r="E185" s="288">
        <v>6390651.0499999998</v>
      </c>
      <c r="F185" s="288">
        <f>SUM(F186:F193)</f>
        <v>6850</v>
      </c>
      <c r="G185" s="288">
        <f>SUM(G186:G193)</f>
        <v>14480.36</v>
      </c>
      <c r="H185" s="288">
        <f t="shared" ref="H185:H193" si="31">SUM(E185+F185-G185)</f>
        <v>6383020.6899999995</v>
      </c>
    </row>
    <row r="186" spans="1:8" s="204" customFormat="1" ht="12" customHeight="1" x14ac:dyDescent="0.2">
      <c r="A186" s="220"/>
      <c r="B186" s="220"/>
      <c r="C186" s="226">
        <v>4040</v>
      </c>
      <c r="D186" s="251" t="s">
        <v>314</v>
      </c>
      <c r="E186" s="252">
        <v>14082</v>
      </c>
      <c r="F186" s="252"/>
      <c r="G186" s="252">
        <v>644</v>
      </c>
      <c r="H186" s="244">
        <f t="shared" si="31"/>
        <v>13438</v>
      </c>
    </row>
    <row r="187" spans="1:8" s="204" customFormat="1" ht="12" customHeight="1" x14ac:dyDescent="0.2">
      <c r="A187" s="220"/>
      <c r="B187" s="220"/>
      <c r="C187" s="226">
        <v>4110</v>
      </c>
      <c r="D187" s="251" t="s">
        <v>288</v>
      </c>
      <c r="E187" s="252">
        <v>747910.95</v>
      </c>
      <c r="F187" s="252">
        <v>4700</v>
      </c>
      <c r="G187" s="252">
        <v>1599.36</v>
      </c>
      <c r="H187" s="244">
        <f t="shared" si="31"/>
        <v>751011.59</v>
      </c>
    </row>
    <row r="188" spans="1:8" s="204" customFormat="1" ht="12" customHeight="1" x14ac:dyDescent="0.2">
      <c r="A188" s="220"/>
      <c r="B188" s="220"/>
      <c r="C188" s="226">
        <v>4120</v>
      </c>
      <c r="D188" s="251" t="s">
        <v>289</v>
      </c>
      <c r="E188" s="252">
        <v>98161.57</v>
      </c>
      <c r="F188" s="252"/>
      <c r="G188" s="252">
        <v>900</v>
      </c>
      <c r="H188" s="244">
        <f t="shared" si="31"/>
        <v>97261.57</v>
      </c>
    </row>
    <row r="189" spans="1:8" s="204" customFormat="1" ht="12" customHeight="1" x14ac:dyDescent="0.2">
      <c r="A189" s="220"/>
      <c r="B189" s="220"/>
      <c r="C189" s="238">
        <v>4300</v>
      </c>
      <c r="D189" s="251" t="s">
        <v>266</v>
      </c>
      <c r="E189" s="252">
        <v>80719</v>
      </c>
      <c r="F189" s="252">
        <v>33</v>
      </c>
      <c r="G189" s="252"/>
      <c r="H189" s="244">
        <f t="shared" si="31"/>
        <v>80752</v>
      </c>
    </row>
    <row r="190" spans="1:8" s="204" customFormat="1" ht="12" customHeight="1" x14ac:dyDescent="0.2">
      <c r="A190" s="220"/>
      <c r="B190" s="220"/>
      <c r="C190" s="226">
        <v>4440</v>
      </c>
      <c r="D190" s="251" t="s">
        <v>293</v>
      </c>
      <c r="E190" s="252">
        <v>185086</v>
      </c>
      <c r="F190" s="252">
        <v>2117</v>
      </c>
      <c r="G190" s="252">
        <v>67</v>
      </c>
      <c r="H190" s="244">
        <f t="shared" si="31"/>
        <v>187136</v>
      </c>
    </row>
    <row r="191" spans="1:8" s="204" customFormat="1" ht="12" customHeight="1" x14ac:dyDescent="0.2">
      <c r="A191" s="220"/>
      <c r="B191" s="220"/>
      <c r="C191" s="226">
        <v>4710</v>
      </c>
      <c r="D191" s="259" t="s">
        <v>296</v>
      </c>
      <c r="E191" s="252">
        <v>22475.03</v>
      </c>
      <c r="F191" s="252"/>
      <c r="G191" s="252">
        <v>3650</v>
      </c>
      <c r="H191" s="244">
        <f t="shared" si="31"/>
        <v>18825.03</v>
      </c>
    </row>
    <row r="192" spans="1:8" s="204" customFormat="1" ht="12" customHeight="1" x14ac:dyDescent="0.2">
      <c r="A192" s="220"/>
      <c r="B192" s="220"/>
      <c r="C192" s="256">
        <v>4790</v>
      </c>
      <c r="D192" s="266" t="s">
        <v>297</v>
      </c>
      <c r="E192" s="252">
        <v>3811236.5</v>
      </c>
      <c r="F192" s="252"/>
      <c r="G192" s="252">
        <v>4700</v>
      </c>
      <c r="H192" s="244">
        <f t="shared" si="31"/>
        <v>3806536.5</v>
      </c>
    </row>
    <row r="193" spans="1:8" s="204" customFormat="1" ht="12" customHeight="1" x14ac:dyDescent="0.2">
      <c r="A193" s="220"/>
      <c r="B193" s="220"/>
      <c r="C193" s="256">
        <v>4800</v>
      </c>
      <c r="D193" s="266" t="s">
        <v>305</v>
      </c>
      <c r="E193" s="252">
        <v>266642</v>
      </c>
      <c r="F193" s="252"/>
      <c r="G193" s="252">
        <v>2920</v>
      </c>
      <c r="H193" s="244">
        <f t="shared" si="31"/>
        <v>263722</v>
      </c>
    </row>
    <row r="194" spans="1:8" s="204" customFormat="1" ht="21.75" customHeight="1" x14ac:dyDescent="0.2">
      <c r="A194" s="220"/>
      <c r="B194" s="238"/>
      <c r="C194" s="214"/>
      <c r="D194" s="319" t="s">
        <v>298</v>
      </c>
      <c r="E194" s="288">
        <v>13743.120000000003</v>
      </c>
      <c r="F194" s="288">
        <f>SUM(F195:F199)</f>
        <v>4401.54</v>
      </c>
      <c r="G194" s="288">
        <f>SUM(G195:G199)</f>
        <v>180.54</v>
      </c>
      <c r="H194" s="317">
        <f>SUM(E194+F194-G194)</f>
        <v>17964.120000000003</v>
      </c>
    </row>
    <row r="195" spans="1:8" s="204" customFormat="1" ht="20.25" customHeight="1" x14ac:dyDescent="0.2">
      <c r="A195" s="245"/>
      <c r="B195" s="263"/>
      <c r="C195" s="273" t="s">
        <v>178</v>
      </c>
      <c r="D195" s="274" t="s">
        <v>299</v>
      </c>
      <c r="E195" s="249">
        <v>7874.7</v>
      </c>
      <c r="F195" s="249">
        <v>4195.33</v>
      </c>
      <c r="G195" s="249"/>
      <c r="H195" s="228">
        <f t="shared" ref="H195:H199" si="32">SUM(E195+F195-G195)</f>
        <v>12070.029999999999</v>
      </c>
    </row>
    <row r="196" spans="1:8" s="204" customFormat="1" ht="12" customHeight="1" x14ac:dyDescent="0.2">
      <c r="A196" s="220"/>
      <c r="B196" s="238"/>
      <c r="C196" s="238">
        <v>4370</v>
      </c>
      <c r="D196" s="238" t="s">
        <v>285</v>
      </c>
      <c r="E196" s="252">
        <v>58.88</v>
      </c>
      <c r="F196" s="252">
        <v>1.18</v>
      </c>
      <c r="G196" s="252"/>
      <c r="H196" s="236">
        <f t="shared" si="32"/>
        <v>60.06</v>
      </c>
    </row>
    <row r="197" spans="1:8" s="204" customFormat="1" ht="20.25" customHeight="1" x14ac:dyDescent="0.2">
      <c r="A197" s="220"/>
      <c r="B197" s="238"/>
      <c r="C197" s="242">
        <v>4750</v>
      </c>
      <c r="D197" s="268" t="s">
        <v>300</v>
      </c>
      <c r="E197" s="252">
        <v>2956.51</v>
      </c>
      <c r="F197" s="237"/>
      <c r="G197" s="237">
        <v>159.44999999999999</v>
      </c>
      <c r="H197" s="237">
        <f t="shared" si="32"/>
        <v>2797.0600000000004</v>
      </c>
    </row>
    <row r="198" spans="1:8" s="204" customFormat="1" ht="21" customHeight="1" x14ac:dyDescent="0.2">
      <c r="A198" s="220"/>
      <c r="B198" s="238"/>
      <c r="C198" s="242">
        <v>4850</v>
      </c>
      <c r="D198" s="268" t="s">
        <v>301</v>
      </c>
      <c r="E198" s="252">
        <v>548.34999999999991</v>
      </c>
      <c r="F198" s="252"/>
      <c r="G198" s="252">
        <v>21.09</v>
      </c>
      <c r="H198" s="244">
        <f t="shared" si="32"/>
        <v>527.25999999999988</v>
      </c>
    </row>
    <row r="199" spans="1:8" s="204" customFormat="1" ht="21" customHeight="1" x14ac:dyDescent="0.2">
      <c r="A199" s="220"/>
      <c r="B199" s="238"/>
      <c r="C199" s="242">
        <v>4860</v>
      </c>
      <c r="D199" s="268" t="s">
        <v>302</v>
      </c>
      <c r="E199" s="252">
        <v>2304.6800000000003</v>
      </c>
      <c r="F199" s="252">
        <v>205.03</v>
      </c>
      <c r="G199" s="252"/>
      <c r="H199" s="236">
        <f t="shared" si="32"/>
        <v>2509.7100000000005</v>
      </c>
    </row>
    <row r="200" spans="1:8" s="204" customFormat="1" ht="12" customHeight="1" x14ac:dyDescent="0.2">
      <c r="A200" s="220"/>
      <c r="B200" s="256">
        <v>80120</v>
      </c>
      <c r="C200" s="272"/>
      <c r="D200" s="269" t="s">
        <v>52</v>
      </c>
      <c r="E200" s="249">
        <v>32819387.93</v>
      </c>
      <c r="F200" s="229">
        <f>SUM(F201,F217)</f>
        <v>38884</v>
      </c>
      <c r="G200" s="229">
        <f>SUM(G201,G217)</f>
        <v>59980</v>
      </c>
      <c r="H200" s="228">
        <f>SUM(E200+F200-G200)</f>
        <v>32798291.93</v>
      </c>
    </row>
    <row r="201" spans="1:8" s="204" customFormat="1" ht="12" customHeight="1" x14ac:dyDescent="0.2">
      <c r="A201" s="220"/>
      <c r="B201" s="220"/>
      <c r="C201" s="214"/>
      <c r="D201" s="316" t="s">
        <v>175</v>
      </c>
      <c r="E201" s="288">
        <v>25573656.57</v>
      </c>
      <c r="F201" s="288">
        <f>SUM(F202:F216)</f>
        <v>24460</v>
      </c>
      <c r="G201" s="288">
        <f>SUM(G202:G216)</f>
        <v>59980</v>
      </c>
      <c r="H201" s="288">
        <f t="shared" ref="H201:H218" si="33">SUM(E201+F201-G201)</f>
        <v>25538136.57</v>
      </c>
    </row>
    <row r="202" spans="1:8" s="204" customFormat="1" ht="11.45" customHeight="1" x14ac:dyDescent="0.2">
      <c r="A202" s="220"/>
      <c r="B202" s="238"/>
      <c r="C202" s="242">
        <v>3020</v>
      </c>
      <c r="D202" s="275" t="s">
        <v>287</v>
      </c>
      <c r="E202" s="236">
        <v>24952</v>
      </c>
      <c r="F202" s="237"/>
      <c r="G202" s="237">
        <v>2560</v>
      </c>
      <c r="H202" s="237">
        <f t="shared" si="33"/>
        <v>22392</v>
      </c>
    </row>
    <row r="203" spans="1:8" s="204" customFormat="1" ht="11.45" customHeight="1" x14ac:dyDescent="0.2">
      <c r="A203" s="220"/>
      <c r="B203" s="238"/>
      <c r="C203" s="226">
        <v>4110</v>
      </c>
      <c r="D203" s="251" t="s">
        <v>288</v>
      </c>
      <c r="E203" s="236">
        <v>3187142.04</v>
      </c>
      <c r="F203" s="237">
        <v>1000</v>
      </c>
      <c r="G203" s="237">
        <v>28000</v>
      </c>
      <c r="H203" s="237">
        <f t="shared" si="33"/>
        <v>3160142.04</v>
      </c>
    </row>
    <row r="204" spans="1:8" s="204" customFormat="1" ht="11.45" customHeight="1" x14ac:dyDescent="0.2">
      <c r="A204" s="220"/>
      <c r="B204" s="238"/>
      <c r="C204" s="226">
        <v>4120</v>
      </c>
      <c r="D204" s="251" t="s">
        <v>289</v>
      </c>
      <c r="E204" s="236">
        <v>359694.69</v>
      </c>
      <c r="F204" s="237"/>
      <c r="G204" s="237">
        <f>681+14000</f>
        <v>14681</v>
      </c>
      <c r="H204" s="237">
        <f t="shared" si="33"/>
        <v>345013.69</v>
      </c>
    </row>
    <row r="205" spans="1:8" s="204" customFormat="1" ht="11.45" customHeight="1" x14ac:dyDescent="0.2">
      <c r="A205" s="220"/>
      <c r="B205" s="238"/>
      <c r="C205" s="258" t="s">
        <v>279</v>
      </c>
      <c r="D205" s="259" t="s">
        <v>280</v>
      </c>
      <c r="E205" s="252">
        <v>194308</v>
      </c>
      <c r="F205" s="252">
        <v>2000</v>
      </c>
      <c r="G205" s="252"/>
      <c r="H205" s="244">
        <f t="shared" si="33"/>
        <v>196308</v>
      </c>
    </row>
    <row r="206" spans="1:8" s="204" customFormat="1" ht="11.45" customHeight="1" x14ac:dyDescent="0.2">
      <c r="A206" s="220"/>
      <c r="B206" s="238"/>
      <c r="C206" s="242">
        <v>4260</v>
      </c>
      <c r="D206" s="275" t="s">
        <v>268</v>
      </c>
      <c r="E206" s="236">
        <v>1678067</v>
      </c>
      <c r="F206" s="252">
        <v>15363</v>
      </c>
      <c r="G206" s="252"/>
      <c r="H206" s="244">
        <f t="shared" si="33"/>
        <v>1693430</v>
      </c>
    </row>
    <row r="207" spans="1:8" s="204" customFormat="1" ht="11.45" customHeight="1" x14ac:dyDescent="0.2">
      <c r="A207" s="220"/>
      <c r="B207" s="238"/>
      <c r="C207" s="226">
        <v>4270</v>
      </c>
      <c r="D207" s="251" t="s">
        <v>269</v>
      </c>
      <c r="E207" s="236">
        <v>39744</v>
      </c>
      <c r="F207" s="252"/>
      <c r="G207" s="252">
        <v>4000</v>
      </c>
      <c r="H207" s="244">
        <f t="shared" si="33"/>
        <v>35744</v>
      </c>
    </row>
    <row r="208" spans="1:8" s="204" customFormat="1" ht="11.45" customHeight="1" x14ac:dyDescent="0.2">
      <c r="A208" s="220"/>
      <c r="B208" s="238"/>
      <c r="C208" s="226">
        <v>4280</v>
      </c>
      <c r="D208" s="251" t="s">
        <v>270</v>
      </c>
      <c r="E208" s="236">
        <v>16005</v>
      </c>
      <c r="F208" s="252"/>
      <c r="G208" s="252">
        <v>300</v>
      </c>
      <c r="H208" s="244">
        <f t="shared" si="33"/>
        <v>15705</v>
      </c>
    </row>
    <row r="209" spans="1:8" s="204" customFormat="1" ht="11.45" customHeight="1" x14ac:dyDescent="0.2">
      <c r="A209" s="220"/>
      <c r="B209" s="238"/>
      <c r="C209" s="226">
        <v>4300</v>
      </c>
      <c r="D209" s="251" t="s">
        <v>266</v>
      </c>
      <c r="E209" s="236">
        <v>233233</v>
      </c>
      <c r="F209" s="252"/>
      <c r="G209" s="252">
        <v>3500</v>
      </c>
      <c r="H209" s="244">
        <f t="shared" si="33"/>
        <v>229733</v>
      </c>
    </row>
    <row r="210" spans="1:8" s="204" customFormat="1" ht="11.45" customHeight="1" x14ac:dyDescent="0.2">
      <c r="A210" s="220"/>
      <c r="B210" s="238"/>
      <c r="C210" s="226">
        <v>4360</v>
      </c>
      <c r="D210" s="251" t="s">
        <v>291</v>
      </c>
      <c r="E210" s="236">
        <v>15701</v>
      </c>
      <c r="F210" s="252"/>
      <c r="G210" s="252">
        <v>89</v>
      </c>
      <c r="H210" s="244">
        <f t="shared" si="33"/>
        <v>15612</v>
      </c>
    </row>
    <row r="211" spans="1:8" s="204" customFormat="1" ht="11.45" customHeight="1" x14ac:dyDescent="0.2">
      <c r="A211" s="220"/>
      <c r="B211" s="238"/>
      <c r="C211" s="226">
        <v>4410</v>
      </c>
      <c r="D211" s="259" t="s">
        <v>292</v>
      </c>
      <c r="E211" s="236">
        <v>4935</v>
      </c>
      <c r="F211" s="252"/>
      <c r="G211" s="252">
        <v>200</v>
      </c>
      <c r="H211" s="244">
        <f t="shared" si="33"/>
        <v>4735</v>
      </c>
    </row>
    <row r="212" spans="1:8" s="204" customFormat="1" ht="11.45" customHeight="1" x14ac:dyDescent="0.2">
      <c r="A212" s="220"/>
      <c r="B212" s="238"/>
      <c r="C212" s="226">
        <v>4440</v>
      </c>
      <c r="D212" s="251" t="s">
        <v>293</v>
      </c>
      <c r="E212" s="236">
        <v>739951</v>
      </c>
      <c r="F212" s="252">
        <f>1619+2278</f>
        <v>3897</v>
      </c>
      <c r="G212" s="252"/>
      <c r="H212" s="244">
        <f t="shared" si="33"/>
        <v>743848</v>
      </c>
    </row>
    <row r="213" spans="1:8" s="204" customFormat="1" ht="11.45" customHeight="1" x14ac:dyDescent="0.2">
      <c r="A213" s="220"/>
      <c r="B213" s="238"/>
      <c r="C213" s="226">
        <v>4510</v>
      </c>
      <c r="D213" s="251" t="s">
        <v>294</v>
      </c>
      <c r="E213" s="236">
        <v>0</v>
      </c>
      <c r="F213" s="252">
        <v>200</v>
      </c>
      <c r="G213" s="252"/>
      <c r="H213" s="244">
        <f t="shared" si="33"/>
        <v>200</v>
      </c>
    </row>
    <row r="214" spans="1:8" s="204" customFormat="1" ht="21" customHeight="1" x14ac:dyDescent="0.2">
      <c r="A214" s="220"/>
      <c r="B214" s="238"/>
      <c r="C214" s="242">
        <v>4700</v>
      </c>
      <c r="D214" s="254" t="s">
        <v>281</v>
      </c>
      <c r="E214" s="236">
        <v>19180</v>
      </c>
      <c r="F214" s="252"/>
      <c r="G214" s="252">
        <v>1000</v>
      </c>
      <c r="H214" s="244">
        <f t="shared" si="33"/>
        <v>18180</v>
      </c>
    </row>
    <row r="215" spans="1:8" s="204" customFormat="1" ht="12" customHeight="1" x14ac:dyDescent="0.2">
      <c r="A215" s="220"/>
      <c r="B215" s="238"/>
      <c r="C215" s="226">
        <v>4710</v>
      </c>
      <c r="D215" s="259" t="s">
        <v>296</v>
      </c>
      <c r="E215" s="236">
        <v>61699.96</v>
      </c>
      <c r="F215" s="252"/>
      <c r="G215" s="252">
        <f>4000+1650</f>
        <v>5650</v>
      </c>
      <c r="H215" s="244">
        <f t="shared" si="33"/>
        <v>56049.96</v>
      </c>
    </row>
    <row r="216" spans="1:8" s="204" customFormat="1" ht="11.45" customHeight="1" x14ac:dyDescent="0.2">
      <c r="A216" s="220"/>
      <c r="B216" s="238"/>
      <c r="C216" s="256">
        <v>4790</v>
      </c>
      <c r="D216" s="266" t="s">
        <v>297</v>
      </c>
      <c r="E216" s="236">
        <v>14884650.880000001</v>
      </c>
      <c r="F216" s="252">
        <v>2000</v>
      </c>
      <c r="G216" s="252"/>
      <c r="H216" s="244">
        <f t="shared" si="33"/>
        <v>14886650.880000001</v>
      </c>
    </row>
    <row r="217" spans="1:8" s="204" customFormat="1" ht="23.1" customHeight="1" x14ac:dyDescent="0.2">
      <c r="A217" s="220"/>
      <c r="B217" s="238"/>
      <c r="C217" s="214"/>
      <c r="D217" s="319" t="s">
        <v>298</v>
      </c>
      <c r="E217" s="288">
        <v>101991.68000000001</v>
      </c>
      <c r="F217" s="288">
        <f>SUM(F218:F218)</f>
        <v>14424</v>
      </c>
      <c r="G217" s="288">
        <f>SUM(G218:G218)</f>
        <v>0</v>
      </c>
      <c r="H217" s="288">
        <f t="shared" si="33"/>
        <v>116415.68000000001</v>
      </c>
    </row>
    <row r="218" spans="1:8" s="204" customFormat="1" ht="21" customHeight="1" x14ac:dyDescent="0.2">
      <c r="A218" s="220"/>
      <c r="B218" s="238"/>
      <c r="C218" s="267" t="s">
        <v>178</v>
      </c>
      <c r="D218" s="254" t="s">
        <v>299</v>
      </c>
      <c r="E218" s="252">
        <v>56570.520000000004</v>
      </c>
      <c r="F218" s="252">
        <v>14424</v>
      </c>
      <c r="G218" s="252"/>
      <c r="H218" s="236">
        <f t="shared" si="33"/>
        <v>70994.52</v>
      </c>
    </row>
    <row r="219" spans="1:8" s="204" customFormat="1" ht="11.45" customHeight="1" x14ac:dyDescent="0.2">
      <c r="A219" s="220"/>
      <c r="B219" s="226">
        <v>80132</v>
      </c>
      <c r="C219" s="214"/>
      <c r="D219" s="227" t="s">
        <v>315</v>
      </c>
      <c r="E219" s="228">
        <v>14467178.52</v>
      </c>
      <c r="F219" s="229">
        <f>SUM(F220,F222)</f>
        <v>4967</v>
      </c>
      <c r="G219" s="229">
        <f>SUM(G220,G222)</f>
        <v>218</v>
      </c>
      <c r="H219" s="228">
        <f>SUM(E219+F219-G219)</f>
        <v>14471927.52</v>
      </c>
    </row>
    <row r="220" spans="1:8" s="204" customFormat="1" ht="11.45" customHeight="1" x14ac:dyDescent="0.2">
      <c r="A220" s="220"/>
      <c r="B220" s="226"/>
      <c r="C220" s="214"/>
      <c r="D220" s="316" t="s">
        <v>175</v>
      </c>
      <c r="E220" s="317">
        <v>5801243.6699999999</v>
      </c>
      <c r="F220" s="323">
        <f>SUM(F221:F221)</f>
        <v>0</v>
      </c>
      <c r="G220" s="323">
        <f>SUM(G221:G221)</f>
        <v>218</v>
      </c>
      <c r="H220" s="288">
        <f t="shared" ref="H220:H223" si="34">SUM(E220+F220-G220)</f>
        <v>5801025.6699999999</v>
      </c>
    </row>
    <row r="221" spans="1:8" s="204" customFormat="1" ht="11.45" customHeight="1" x14ac:dyDescent="0.2">
      <c r="A221" s="220"/>
      <c r="B221" s="226"/>
      <c r="C221" s="226">
        <v>4440</v>
      </c>
      <c r="D221" s="251" t="s">
        <v>293</v>
      </c>
      <c r="E221" s="252">
        <v>205026</v>
      </c>
      <c r="F221" s="244"/>
      <c r="G221" s="244">
        <v>218</v>
      </c>
      <c r="H221" s="244">
        <f t="shared" si="34"/>
        <v>204808</v>
      </c>
    </row>
    <row r="222" spans="1:8" s="204" customFormat="1" ht="23.1" customHeight="1" x14ac:dyDescent="0.2">
      <c r="A222" s="220"/>
      <c r="B222" s="226"/>
      <c r="C222" s="214"/>
      <c r="D222" s="319" t="s">
        <v>298</v>
      </c>
      <c r="E222" s="288">
        <v>15934.849999999999</v>
      </c>
      <c r="F222" s="288">
        <f>SUM(F223:F223)</f>
        <v>4967</v>
      </c>
      <c r="G222" s="288">
        <f>SUM(G223:G223)</f>
        <v>0</v>
      </c>
      <c r="H222" s="288">
        <f t="shared" si="34"/>
        <v>20901.849999999999</v>
      </c>
    </row>
    <row r="223" spans="1:8" s="204" customFormat="1" ht="21.75" customHeight="1" x14ac:dyDescent="0.2">
      <c r="A223" s="220"/>
      <c r="B223" s="238"/>
      <c r="C223" s="267" t="s">
        <v>178</v>
      </c>
      <c r="D223" s="254" t="s">
        <v>299</v>
      </c>
      <c r="E223" s="252">
        <v>3600</v>
      </c>
      <c r="F223" s="237">
        <v>4967</v>
      </c>
      <c r="G223" s="237"/>
      <c r="H223" s="237">
        <f t="shared" si="34"/>
        <v>8567</v>
      </c>
    </row>
    <row r="224" spans="1:8" s="204" customFormat="1" ht="11.45" customHeight="1" x14ac:dyDescent="0.2">
      <c r="A224" s="220"/>
      <c r="B224" s="238">
        <v>80134</v>
      </c>
      <c r="C224" s="214"/>
      <c r="D224" s="276" t="s">
        <v>316</v>
      </c>
      <c r="E224" s="249">
        <v>10331322.17</v>
      </c>
      <c r="F224" s="229">
        <f>SUM(F225)</f>
        <v>1200</v>
      </c>
      <c r="G224" s="229">
        <f>SUM(G225)</f>
        <v>335</v>
      </c>
      <c r="H224" s="228">
        <f>SUM(E224+F224-G224)</f>
        <v>10332187.17</v>
      </c>
    </row>
    <row r="225" spans="1:8" s="204" customFormat="1" ht="11.45" customHeight="1" x14ac:dyDescent="0.2">
      <c r="A225" s="220"/>
      <c r="B225" s="220"/>
      <c r="C225" s="214"/>
      <c r="D225" s="316" t="s">
        <v>175</v>
      </c>
      <c r="E225" s="288">
        <v>10206499.93</v>
      </c>
      <c r="F225" s="288">
        <f>SUM(F226:F227)</f>
        <v>1200</v>
      </c>
      <c r="G225" s="288">
        <f>SUM(G226:G227)</f>
        <v>335</v>
      </c>
      <c r="H225" s="317">
        <f>SUM(E225+F225-G225)</f>
        <v>10207364.93</v>
      </c>
    </row>
    <row r="226" spans="1:8" s="204" customFormat="1" ht="11.45" customHeight="1" x14ac:dyDescent="0.2">
      <c r="A226" s="220"/>
      <c r="B226" s="220"/>
      <c r="C226" s="226">
        <v>4440</v>
      </c>
      <c r="D226" s="251" t="s">
        <v>293</v>
      </c>
      <c r="E226" s="252">
        <v>276319</v>
      </c>
      <c r="F226" s="252"/>
      <c r="G226" s="252">
        <v>335</v>
      </c>
      <c r="H226" s="236">
        <f t="shared" ref="H226:H227" si="35">SUM(E226+F226-G226)</f>
        <v>275984</v>
      </c>
    </row>
    <row r="227" spans="1:8" s="204" customFormat="1" ht="11.45" customHeight="1" x14ac:dyDescent="0.2">
      <c r="A227" s="220"/>
      <c r="B227" s="220"/>
      <c r="C227" s="226">
        <v>4780</v>
      </c>
      <c r="D227" s="251" t="s">
        <v>304</v>
      </c>
      <c r="E227" s="252">
        <v>8892</v>
      </c>
      <c r="F227" s="252">
        <v>1200</v>
      </c>
      <c r="G227" s="252"/>
      <c r="H227" s="236">
        <f t="shared" si="35"/>
        <v>10092</v>
      </c>
    </row>
    <row r="228" spans="1:8" s="204" customFormat="1" ht="11.45" customHeight="1" x14ac:dyDescent="0.2">
      <c r="A228" s="220"/>
      <c r="B228" s="226">
        <v>80140</v>
      </c>
      <c r="C228" s="258"/>
      <c r="D228" s="277" t="s">
        <v>317</v>
      </c>
      <c r="E228" s="252"/>
      <c r="F228" s="252"/>
      <c r="G228" s="252"/>
      <c r="H228" s="236"/>
    </row>
    <row r="229" spans="1:8" s="204" customFormat="1" ht="11.45" customHeight="1" x14ac:dyDescent="0.2">
      <c r="A229" s="220"/>
      <c r="B229" s="226"/>
      <c r="C229" s="214"/>
      <c r="D229" s="227" t="s">
        <v>318</v>
      </c>
      <c r="E229" s="228">
        <v>3625910.12</v>
      </c>
      <c r="F229" s="229">
        <f>SUM(F230)</f>
        <v>27773</v>
      </c>
      <c r="G229" s="229">
        <f>SUM(G230)</f>
        <v>3000</v>
      </c>
      <c r="H229" s="228">
        <f>SUM(E229+F229-G229)</f>
        <v>3650683.12</v>
      </c>
    </row>
    <row r="230" spans="1:8" s="204" customFormat="1" ht="11.45" customHeight="1" x14ac:dyDescent="0.2">
      <c r="A230" s="220"/>
      <c r="B230" s="219"/>
      <c r="C230" s="214"/>
      <c r="D230" s="316" t="s">
        <v>175</v>
      </c>
      <c r="E230" s="288">
        <v>3625910.12</v>
      </c>
      <c r="F230" s="288">
        <f>SUM(F231:F236)</f>
        <v>27773</v>
      </c>
      <c r="G230" s="288">
        <f>SUM(G231:G236)</f>
        <v>3000</v>
      </c>
      <c r="H230" s="288">
        <f t="shared" ref="H230:H236" si="36">SUM(E230+F230-G230)</f>
        <v>3650683.12</v>
      </c>
    </row>
    <row r="231" spans="1:8" s="204" customFormat="1" ht="11.45" customHeight="1" x14ac:dyDescent="0.2">
      <c r="A231" s="220"/>
      <c r="B231" s="219"/>
      <c r="C231" s="258" t="s">
        <v>279</v>
      </c>
      <c r="D231" s="259" t="s">
        <v>280</v>
      </c>
      <c r="E231" s="252">
        <v>29000</v>
      </c>
      <c r="F231" s="252">
        <v>2000</v>
      </c>
      <c r="G231" s="252"/>
      <c r="H231" s="236">
        <f t="shared" si="36"/>
        <v>31000</v>
      </c>
    </row>
    <row r="232" spans="1:8" s="204" customFormat="1" ht="11.45" customHeight="1" x14ac:dyDescent="0.2">
      <c r="A232" s="220"/>
      <c r="B232" s="219"/>
      <c r="C232" s="226">
        <v>4240</v>
      </c>
      <c r="D232" s="251" t="s">
        <v>290</v>
      </c>
      <c r="E232" s="252">
        <v>30000</v>
      </c>
      <c r="F232" s="252">
        <v>1000</v>
      </c>
      <c r="G232" s="252"/>
      <c r="H232" s="236">
        <f t="shared" si="36"/>
        <v>31000</v>
      </c>
    </row>
    <row r="233" spans="1:8" s="204" customFormat="1" ht="11.45" customHeight="1" x14ac:dyDescent="0.2">
      <c r="A233" s="220"/>
      <c r="B233" s="219"/>
      <c r="C233" s="242">
        <v>4260</v>
      </c>
      <c r="D233" s="275" t="s">
        <v>268</v>
      </c>
      <c r="E233" s="252">
        <v>415563</v>
      </c>
      <c r="F233" s="252">
        <v>15500</v>
      </c>
      <c r="G233" s="252"/>
      <c r="H233" s="236">
        <f t="shared" si="36"/>
        <v>431063</v>
      </c>
    </row>
    <row r="234" spans="1:8" s="204" customFormat="1" ht="11.45" customHeight="1" x14ac:dyDescent="0.2">
      <c r="A234" s="220"/>
      <c r="B234" s="219"/>
      <c r="C234" s="226">
        <v>4300</v>
      </c>
      <c r="D234" s="251" t="s">
        <v>266</v>
      </c>
      <c r="E234" s="252">
        <v>154970</v>
      </c>
      <c r="F234" s="252">
        <v>8000</v>
      </c>
      <c r="G234" s="252"/>
      <c r="H234" s="236">
        <f t="shared" si="36"/>
        <v>162970</v>
      </c>
    </row>
    <row r="235" spans="1:8" s="204" customFormat="1" ht="11.45" customHeight="1" x14ac:dyDescent="0.2">
      <c r="A235" s="220"/>
      <c r="B235" s="219"/>
      <c r="C235" s="226">
        <v>4440</v>
      </c>
      <c r="D235" s="251" t="s">
        <v>293</v>
      </c>
      <c r="E235" s="252">
        <v>89751</v>
      </c>
      <c r="F235" s="252">
        <v>1273</v>
      </c>
      <c r="G235" s="252"/>
      <c r="H235" s="236">
        <f t="shared" si="36"/>
        <v>91024</v>
      </c>
    </row>
    <row r="236" spans="1:8" s="204" customFormat="1" ht="11.45" customHeight="1" x14ac:dyDescent="0.2">
      <c r="A236" s="220"/>
      <c r="B236" s="219"/>
      <c r="C236" s="226">
        <v>4710</v>
      </c>
      <c r="D236" s="259" t="s">
        <v>296</v>
      </c>
      <c r="E236" s="252">
        <v>9145</v>
      </c>
      <c r="F236" s="252"/>
      <c r="G236" s="252">
        <v>3000</v>
      </c>
      <c r="H236" s="244">
        <f t="shared" si="36"/>
        <v>6145</v>
      </c>
    </row>
    <row r="237" spans="1:8" s="204" customFormat="1" ht="11.45" customHeight="1" x14ac:dyDescent="0.2">
      <c r="A237" s="220"/>
      <c r="B237" s="226">
        <v>80142</v>
      </c>
      <c r="C237" s="214"/>
      <c r="D237" s="278" t="s">
        <v>319</v>
      </c>
      <c r="E237" s="228">
        <v>106407</v>
      </c>
      <c r="F237" s="229">
        <f>SUM(F238)</f>
        <v>2000</v>
      </c>
      <c r="G237" s="229">
        <f>SUM(G238)</f>
        <v>0</v>
      </c>
      <c r="H237" s="228">
        <f>SUM(E237+F237-G237)</f>
        <v>108407</v>
      </c>
    </row>
    <row r="238" spans="1:8" s="204" customFormat="1" ht="11.45" customHeight="1" x14ac:dyDescent="0.2">
      <c r="A238" s="220"/>
      <c r="B238" s="238"/>
      <c r="C238" s="214"/>
      <c r="D238" s="316" t="s">
        <v>175</v>
      </c>
      <c r="E238" s="317">
        <v>106407</v>
      </c>
      <c r="F238" s="323">
        <f>SUM(F239:F239)</f>
        <v>2000</v>
      </c>
      <c r="G238" s="323">
        <f>SUM(G239:G239)</f>
        <v>0</v>
      </c>
      <c r="H238" s="288">
        <f t="shared" ref="H238:H239" si="37">SUM(E238+F238-G238)</f>
        <v>108407</v>
      </c>
    </row>
    <row r="239" spans="1:8" s="204" customFormat="1" ht="11.45" customHeight="1" x14ac:dyDescent="0.2">
      <c r="A239" s="220"/>
      <c r="B239" s="238"/>
      <c r="C239" s="226">
        <v>4010</v>
      </c>
      <c r="D239" s="251" t="s">
        <v>284</v>
      </c>
      <c r="E239" s="236">
        <v>85616</v>
      </c>
      <c r="F239" s="244">
        <v>2000</v>
      </c>
      <c r="G239" s="244"/>
      <c r="H239" s="237">
        <f t="shared" si="37"/>
        <v>87616</v>
      </c>
    </row>
    <row r="240" spans="1:8" s="204" customFormat="1" ht="11.45" customHeight="1" x14ac:dyDescent="0.2">
      <c r="A240" s="220"/>
      <c r="B240" s="279">
        <v>80144</v>
      </c>
      <c r="C240" s="214"/>
      <c r="D240" s="278" t="s">
        <v>320</v>
      </c>
      <c r="E240" s="249">
        <v>111283</v>
      </c>
      <c r="F240" s="229">
        <f>SUM(F241)</f>
        <v>2500</v>
      </c>
      <c r="G240" s="229">
        <f>SUM(G241)</f>
        <v>0</v>
      </c>
      <c r="H240" s="228">
        <f>SUM(E240+F240-G240)</f>
        <v>113783</v>
      </c>
    </row>
    <row r="241" spans="1:8" s="204" customFormat="1" ht="11.45" customHeight="1" x14ac:dyDescent="0.2">
      <c r="A241" s="220"/>
      <c r="B241" s="220"/>
      <c r="C241" s="214"/>
      <c r="D241" s="316" t="s">
        <v>175</v>
      </c>
      <c r="E241" s="288">
        <v>111283</v>
      </c>
      <c r="F241" s="288">
        <f>SUM(F242:F242)</f>
        <v>2500</v>
      </c>
      <c r="G241" s="288">
        <f>SUM(G242:G242)</f>
        <v>0</v>
      </c>
      <c r="H241" s="288">
        <f t="shared" ref="H241:H242" si="38">SUM(E241+F241-G241)</f>
        <v>113783</v>
      </c>
    </row>
    <row r="242" spans="1:8" s="204" customFormat="1" ht="11.45" customHeight="1" x14ac:dyDescent="0.2">
      <c r="A242" s="220"/>
      <c r="B242" s="220"/>
      <c r="C242" s="226">
        <v>4010</v>
      </c>
      <c r="D242" s="251" t="s">
        <v>284</v>
      </c>
      <c r="E242" s="252">
        <v>89880</v>
      </c>
      <c r="F242" s="252">
        <v>2500</v>
      </c>
      <c r="G242" s="252"/>
      <c r="H242" s="237">
        <f t="shared" si="38"/>
        <v>92380</v>
      </c>
    </row>
    <row r="243" spans="1:8" s="204" customFormat="1" ht="12" customHeight="1" x14ac:dyDescent="0.2">
      <c r="A243" s="220"/>
      <c r="B243" s="257">
        <v>80146</v>
      </c>
      <c r="C243" s="258"/>
      <c r="D243" s="227" t="s">
        <v>321</v>
      </c>
      <c r="E243" s="228">
        <v>1332789</v>
      </c>
      <c r="F243" s="229">
        <f>SUM(F244)</f>
        <v>101</v>
      </c>
      <c r="G243" s="229">
        <f>SUM(G244)</f>
        <v>101</v>
      </c>
      <c r="H243" s="228">
        <f>SUM(E243+F243-G243)</f>
        <v>1332789</v>
      </c>
    </row>
    <row r="244" spans="1:8" s="204" customFormat="1" ht="12" customHeight="1" x14ac:dyDescent="0.2">
      <c r="A244" s="220"/>
      <c r="B244" s="238"/>
      <c r="C244" s="214"/>
      <c r="D244" s="316" t="s">
        <v>175</v>
      </c>
      <c r="E244" s="317">
        <v>1117333</v>
      </c>
      <c r="F244" s="323">
        <f>SUM(F245:F246)</f>
        <v>101</v>
      </c>
      <c r="G244" s="323">
        <f>SUM(G245:G246)</f>
        <v>101</v>
      </c>
      <c r="H244" s="288">
        <f t="shared" ref="H244:H246" si="39">SUM(E244+F244-G244)</f>
        <v>1117333</v>
      </c>
    </row>
    <row r="245" spans="1:8" s="204" customFormat="1" ht="12" customHeight="1" x14ac:dyDescent="0.2">
      <c r="A245" s="220"/>
      <c r="B245" s="238"/>
      <c r="C245" s="226">
        <v>4440</v>
      </c>
      <c r="D245" s="251" t="s">
        <v>293</v>
      </c>
      <c r="E245" s="252">
        <v>14673</v>
      </c>
      <c r="F245" s="244"/>
      <c r="G245" s="244">
        <v>101</v>
      </c>
      <c r="H245" s="244">
        <f t="shared" si="39"/>
        <v>14572</v>
      </c>
    </row>
    <row r="246" spans="1:8" s="204" customFormat="1" ht="12" customHeight="1" x14ac:dyDescent="0.2">
      <c r="A246" s="220"/>
      <c r="B246" s="238"/>
      <c r="C246" s="256">
        <v>4790</v>
      </c>
      <c r="D246" s="266" t="s">
        <v>297</v>
      </c>
      <c r="E246" s="252">
        <v>231710</v>
      </c>
      <c r="F246" s="244">
        <v>101</v>
      </c>
      <c r="G246" s="244"/>
      <c r="H246" s="244">
        <f t="shared" si="39"/>
        <v>231811</v>
      </c>
    </row>
    <row r="247" spans="1:8" s="204" customFormat="1" ht="12" customHeight="1" x14ac:dyDescent="0.2">
      <c r="A247" s="220"/>
      <c r="B247" s="238">
        <v>80148</v>
      </c>
      <c r="C247" s="214"/>
      <c r="D247" s="227" t="s">
        <v>322</v>
      </c>
      <c r="E247" s="249">
        <v>3520188</v>
      </c>
      <c r="F247" s="229">
        <f>SUM(F248)</f>
        <v>3615</v>
      </c>
      <c r="G247" s="229">
        <f>SUM(G248)</f>
        <v>10345</v>
      </c>
      <c r="H247" s="228">
        <f>SUM(E247+F247-G247)</f>
        <v>3513458</v>
      </c>
    </row>
    <row r="248" spans="1:8" s="204" customFormat="1" ht="12" customHeight="1" x14ac:dyDescent="0.2">
      <c r="A248" s="220"/>
      <c r="B248" s="220"/>
      <c r="C248" s="214"/>
      <c r="D248" s="316" t="s">
        <v>175</v>
      </c>
      <c r="E248" s="288">
        <v>3520188</v>
      </c>
      <c r="F248" s="288">
        <f>SUM(F249:F255)</f>
        <v>3615</v>
      </c>
      <c r="G248" s="288">
        <f>SUM(G249:G255)</f>
        <v>10345</v>
      </c>
      <c r="H248" s="288">
        <f t="shared" ref="H248:H255" si="40">SUM(E248+F248-G248)</f>
        <v>3513458</v>
      </c>
    </row>
    <row r="249" spans="1:8" s="204" customFormat="1" ht="12" customHeight="1" x14ac:dyDescent="0.2">
      <c r="A249" s="220"/>
      <c r="B249" s="220"/>
      <c r="C249" s="226">
        <v>4010</v>
      </c>
      <c r="D249" s="251" t="s">
        <v>284</v>
      </c>
      <c r="E249" s="252">
        <v>2465183</v>
      </c>
      <c r="F249" s="252">
        <v>2000</v>
      </c>
      <c r="G249" s="252"/>
      <c r="H249" s="237">
        <f t="shared" si="40"/>
        <v>2467183</v>
      </c>
    </row>
    <row r="250" spans="1:8" s="204" customFormat="1" ht="12" customHeight="1" x14ac:dyDescent="0.2">
      <c r="A250" s="220"/>
      <c r="B250" s="220"/>
      <c r="C250" s="242">
        <v>4110</v>
      </c>
      <c r="D250" s="275" t="s">
        <v>288</v>
      </c>
      <c r="E250" s="252">
        <v>482961</v>
      </c>
      <c r="F250" s="252"/>
      <c r="G250" s="252">
        <v>3000</v>
      </c>
      <c r="H250" s="237">
        <f t="shared" si="40"/>
        <v>479961</v>
      </c>
    </row>
    <row r="251" spans="1:8" s="204" customFormat="1" ht="12" customHeight="1" x14ac:dyDescent="0.2">
      <c r="A251" s="245"/>
      <c r="B251" s="263"/>
      <c r="C251" s="264">
        <v>4120</v>
      </c>
      <c r="D251" s="227" t="s">
        <v>289</v>
      </c>
      <c r="E251" s="249">
        <v>55826</v>
      </c>
      <c r="F251" s="248"/>
      <c r="G251" s="248">
        <v>2000</v>
      </c>
      <c r="H251" s="229">
        <f t="shared" si="40"/>
        <v>53826</v>
      </c>
    </row>
    <row r="252" spans="1:8" s="204" customFormat="1" ht="12" customHeight="1" x14ac:dyDescent="0.2">
      <c r="A252" s="220"/>
      <c r="B252" s="238"/>
      <c r="C252" s="258" t="s">
        <v>279</v>
      </c>
      <c r="D252" s="259" t="s">
        <v>280</v>
      </c>
      <c r="E252" s="252">
        <v>58379</v>
      </c>
      <c r="F252" s="244"/>
      <c r="G252" s="244">
        <v>500</v>
      </c>
      <c r="H252" s="237">
        <f t="shared" si="40"/>
        <v>57879</v>
      </c>
    </row>
    <row r="253" spans="1:8" s="204" customFormat="1" ht="12" customHeight="1" x14ac:dyDescent="0.2">
      <c r="A253" s="220"/>
      <c r="B253" s="238"/>
      <c r="C253" s="226">
        <v>4430</v>
      </c>
      <c r="D253" s="251" t="s">
        <v>271</v>
      </c>
      <c r="E253" s="252">
        <v>0</v>
      </c>
      <c r="F253" s="244">
        <v>500</v>
      </c>
      <c r="G253" s="244"/>
      <c r="H253" s="237">
        <f t="shared" si="40"/>
        <v>500</v>
      </c>
    </row>
    <row r="254" spans="1:8" s="204" customFormat="1" ht="12" customHeight="1" x14ac:dyDescent="0.2">
      <c r="A254" s="220"/>
      <c r="B254" s="238"/>
      <c r="C254" s="226">
        <v>4440</v>
      </c>
      <c r="D254" s="251" t="s">
        <v>293</v>
      </c>
      <c r="E254" s="252">
        <v>89637</v>
      </c>
      <c r="F254" s="244">
        <v>1115</v>
      </c>
      <c r="G254" s="244"/>
      <c r="H254" s="237">
        <f t="shared" si="40"/>
        <v>90752</v>
      </c>
    </row>
    <row r="255" spans="1:8" s="204" customFormat="1" ht="12" customHeight="1" x14ac:dyDescent="0.2">
      <c r="A255" s="220"/>
      <c r="B255" s="238"/>
      <c r="C255" s="226">
        <v>4710</v>
      </c>
      <c r="D255" s="259" t="s">
        <v>296</v>
      </c>
      <c r="E255" s="252">
        <v>15520</v>
      </c>
      <c r="F255" s="244"/>
      <c r="G255" s="244">
        <v>4845</v>
      </c>
      <c r="H255" s="237">
        <f t="shared" si="40"/>
        <v>10675</v>
      </c>
    </row>
    <row r="256" spans="1:8" s="204" customFormat="1" ht="12" customHeight="1" x14ac:dyDescent="0.2">
      <c r="A256" s="220"/>
      <c r="B256" s="238">
        <v>80149</v>
      </c>
      <c r="C256" s="258"/>
      <c r="D256" s="259" t="s">
        <v>323</v>
      </c>
      <c r="E256" s="237"/>
      <c r="F256" s="237"/>
      <c r="G256" s="237"/>
      <c r="H256" s="237"/>
    </row>
    <row r="257" spans="1:8" s="204" customFormat="1" ht="12" customHeight="1" x14ac:dyDescent="0.2">
      <c r="A257" s="220"/>
      <c r="B257" s="238"/>
      <c r="C257" s="258"/>
      <c r="D257" s="259" t="s">
        <v>324</v>
      </c>
      <c r="E257" s="237"/>
      <c r="F257" s="237"/>
      <c r="G257" s="237"/>
      <c r="H257" s="237"/>
    </row>
    <row r="258" spans="1:8" s="204" customFormat="1" ht="12" customHeight="1" x14ac:dyDescent="0.2">
      <c r="A258" s="220"/>
      <c r="B258" s="238"/>
      <c r="C258" s="258"/>
      <c r="D258" s="259" t="s">
        <v>325</v>
      </c>
      <c r="E258" s="237"/>
      <c r="F258" s="237"/>
      <c r="G258" s="237"/>
      <c r="H258" s="237"/>
    </row>
    <row r="259" spans="1:8" s="204" customFormat="1" ht="12" customHeight="1" x14ac:dyDescent="0.2">
      <c r="A259" s="220"/>
      <c r="B259" s="238"/>
      <c r="C259" s="214"/>
      <c r="D259" s="227" t="s">
        <v>326</v>
      </c>
      <c r="E259" s="228">
        <v>4767591</v>
      </c>
      <c r="F259" s="229">
        <f>SUM(F260)</f>
        <v>0</v>
      </c>
      <c r="G259" s="229">
        <f>SUM(G260)</f>
        <v>1880</v>
      </c>
      <c r="H259" s="228">
        <f>SUM(E259+F259-G259)</f>
        <v>4765711</v>
      </c>
    </row>
    <row r="260" spans="1:8" s="204" customFormat="1" ht="12" customHeight="1" x14ac:dyDescent="0.2">
      <c r="A260" s="220"/>
      <c r="B260" s="220"/>
      <c r="C260" s="214"/>
      <c r="D260" s="316" t="s">
        <v>175</v>
      </c>
      <c r="E260" s="288">
        <v>2289511</v>
      </c>
      <c r="F260" s="288">
        <f>SUM(F261:F262)</f>
        <v>0</v>
      </c>
      <c r="G260" s="288">
        <f>SUM(G261:G262)</f>
        <v>1880</v>
      </c>
      <c r="H260" s="288">
        <f t="shared" ref="H260:H262" si="41">SUM(E260+F260-G260)</f>
        <v>2287631</v>
      </c>
    </row>
    <row r="261" spans="1:8" s="204" customFormat="1" ht="11.45" customHeight="1" x14ac:dyDescent="0.2">
      <c r="A261" s="220"/>
      <c r="B261" s="220"/>
      <c r="C261" s="226">
        <v>4440</v>
      </c>
      <c r="D261" s="251" t="s">
        <v>293</v>
      </c>
      <c r="E261" s="236">
        <v>101001</v>
      </c>
      <c r="F261" s="237"/>
      <c r="G261" s="237">
        <v>771</v>
      </c>
      <c r="H261" s="237">
        <f t="shared" si="41"/>
        <v>100230</v>
      </c>
    </row>
    <row r="262" spans="1:8" s="204" customFormat="1" ht="11.45" customHeight="1" x14ac:dyDescent="0.2">
      <c r="A262" s="220"/>
      <c r="B262" s="220"/>
      <c r="C262" s="226">
        <v>4710</v>
      </c>
      <c r="D262" s="259" t="s">
        <v>296</v>
      </c>
      <c r="E262" s="236">
        <v>12775</v>
      </c>
      <c r="F262" s="237"/>
      <c r="G262" s="237">
        <v>1109</v>
      </c>
      <c r="H262" s="237">
        <f t="shared" si="41"/>
        <v>11666</v>
      </c>
    </row>
    <row r="263" spans="1:8" s="204" customFormat="1" ht="11.45" customHeight="1" x14ac:dyDescent="0.2">
      <c r="A263" s="220"/>
      <c r="B263" s="238">
        <v>80150</v>
      </c>
      <c r="C263" s="258"/>
      <c r="D263" s="259" t="s">
        <v>323</v>
      </c>
      <c r="E263" s="237"/>
      <c r="F263" s="237"/>
      <c r="G263" s="237"/>
      <c r="H263" s="237"/>
    </row>
    <row r="264" spans="1:8" s="204" customFormat="1" ht="11.45" customHeight="1" x14ac:dyDescent="0.2">
      <c r="A264" s="220"/>
      <c r="B264" s="238"/>
      <c r="C264" s="258"/>
      <c r="D264" s="259" t="s">
        <v>327</v>
      </c>
      <c r="E264" s="237"/>
      <c r="F264" s="237"/>
      <c r="G264" s="237"/>
      <c r="H264" s="237"/>
    </row>
    <row r="265" spans="1:8" s="204" customFormat="1" ht="11.45" customHeight="1" x14ac:dyDescent="0.2">
      <c r="A265" s="220"/>
      <c r="B265" s="238"/>
      <c r="C265" s="214"/>
      <c r="D265" s="227" t="s">
        <v>328</v>
      </c>
      <c r="E265" s="228">
        <v>9874186</v>
      </c>
      <c r="F265" s="229">
        <f>SUM(F266)</f>
        <v>770</v>
      </c>
      <c r="G265" s="229">
        <f>SUM(G266)</f>
        <v>7032</v>
      </c>
      <c r="H265" s="228">
        <f>SUM(E265+F265-G265)</f>
        <v>9867924</v>
      </c>
    </row>
    <row r="266" spans="1:8" s="204" customFormat="1" ht="12" customHeight="1" x14ac:dyDescent="0.2">
      <c r="A266" s="220"/>
      <c r="B266" s="238"/>
      <c r="C266" s="214"/>
      <c r="D266" s="316" t="s">
        <v>175</v>
      </c>
      <c r="E266" s="288">
        <v>9648887</v>
      </c>
      <c r="F266" s="288">
        <f>SUM(F267:F269)</f>
        <v>770</v>
      </c>
      <c r="G266" s="288">
        <f>SUM(G267:G269)</f>
        <v>7032</v>
      </c>
      <c r="H266" s="288">
        <f t="shared" ref="H266:H269" si="42">SUM(E266+F266-G266)</f>
        <v>9642625</v>
      </c>
    </row>
    <row r="267" spans="1:8" s="204" customFormat="1" ht="12" customHeight="1" x14ac:dyDescent="0.2">
      <c r="A267" s="220"/>
      <c r="B267" s="238"/>
      <c r="C267" s="226">
        <v>4440</v>
      </c>
      <c r="D267" s="251" t="s">
        <v>293</v>
      </c>
      <c r="E267" s="244">
        <v>341246</v>
      </c>
      <c r="F267" s="237">
        <v>65</v>
      </c>
      <c r="G267" s="237">
        <v>134</v>
      </c>
      <c r="H267" s="237">
        <f t="shared" si="42"/>
        <v>341177</v>
      </c>
    </row>
    <row r="268" spans="1:8" s="204" customFormat="1" ht="12" customHeight="1" x14ac:dyDescent="0.2">
      <c r="A268" s="220"/>
      <c r="B268" s="238"/>
      <c r="C268" s="226">
        <v>4710</v>
      </c>
      <c r="D268" s="259" t="s">
        <v>296</v>
      </c>
      <c r="E268" s="244">
        <v>35073</v>
      </c>
      <c r="F268" s="237"/>
      <c r="G268" s="237">
        <v>6898</v>
      </c>
      <c r="H268" s="237">
        <f t="shared" si="42"/>
        <v>28175</v>
      </c>
    </row>
    <row r="269" spans="1:8" s="204" customFormat="1" ht="12" customHeight="1" x14ac:dyDescent="0.2">
      <c r="A269" s="220"/>
      <c r="B269" s="238"/>
      <c r="C269" s="256">
        <v>4790</v>
      </c>
      <c r="D269" s="266" t="s">
        <v>297</v>
      </c>
      <c r="E269" s="237">
        <v>7144462</v>
      </c>
      <c r="F269" s="237">
        <v>705</v>
      </c>
      <c r="G269" s="237"/>
      <c r="H269" s="237">
        <f t="shared" si="42"/>
        <v>7145167</v>
      </c>
    </row>
    <row r="270" spans="1:8" s="204" customFormat="1" ht="12" customHeight="1" x14ac:dyDescent="0.2">
      <c r="A270" s="220"/>
      <c r="B270" s="226">
        <v>80151</v>
      </c>
      <c r="C270" s="214"/>
      <c r="D270" s="227" t="s">
        <v>132</v>
      </c>
      <c r="E270" s="249">
        <v>465893</v>
      </c>
      <c r="F270" s="229">
        <f>SUM(F271)</f>
        <v>0</v>
      </c>
      <c r="G270" s="229">
        <f>SUM(G271)</f>
        <v>37168</v>
      </c>
      <c r="H270" s="228">
        <f>SUM(E270+F270-G270)</f>
        <v>428725</v>
      </c>
    </row>
    <row r="271" spans="1:8" s="204" customFormat="1" ht="12" customHeight="1" x14ac:dyDescent="0.2">
      <c r="A271" s="220"/>
      <c r="B271" s="226"/>
      <c r="C271" s="214"/>
      <c r="D271" s="316" t="s">
        <v>175</v>
      </c>
      <c r="E271" s="288">
        <v>465483</v>
      </c>
      <c r="F271" s="288">
        <f>SUM(F272:F274)</f>
        <v>0</v>
      </c>
      <c r="G271" s="288">
        <f>SUM(G272:G274)</f>
        <v>37168</v>
      </c>
      <c r="H271" s="288">
        <f t="shared" ref="H271:H274" si="43">SUM(E271+F271-G271)</f>
        <v>428315</v>
      </c>
    </row>
    <row r="272" spans="1:8" s="204" customFormat="1" ht="12" customHeight="1" x14ac:dyDescent="0.2">
      <c r="A272" s="220"/>
      <c r="B272" s="226"/>
      <c r="C272" s="226">
        <v>4440</v>
      </c>
      <c r="D272" s="251" t="s">
        <v>293</v>
      </c>
      <c r="E272" s="237">
        <v>9165</v>
      </c>
      <c r="F272" s="237"/>
      <c r="G272" s="237">
        <v>168</v>
      </c>
      <c r="H272" s="237">
        <f t="shared" si="43"/>
        <v>8997</v>
      </c>
    </row>
    <row r="273" spans="1:8" s="204" customFormat="1" ht="12" customHeight="1" x14ac:dyDescent="0.2">
      <c r="A273" s="220"/>
      <c r="B273" s="226"/>
      <c r="C273" s="226">
        <v>4710</v>
      </c>
      <c r="D273" s="259" t="s">
        <v>296</v>
      </c>
      <c r="E273" s="237">
        <v>2822</v>
      </c>
      <c r="F273" s="237"/>
      <c r="G273" s="237">
        <v>2000</v>
      </c>
      <c r="H273" s="237">
        <f t="shared" si="43"/>
        <v>822</v>
      </c>
    </row>
    <row r="274" spans="1:8" s="204" customFormat="1" ht="12" customHeight="1" x14ac:dyDescent="0.2">
      <c r="A274" s="220"/>
      <c r="B274" s="226"/>
      <c r="C274" s="256">
        <v>4790</v>
      </c>
      <c r="D274" s="266" t="s">
        <v>297</v>
      </c>
      <c r="E274" s="237">
        <v>176424</v>
      </c>
      <c r="F274" s="237"/>
      <c r="G274" s="237">
        <v>35000</v>
      </c>
      <c r="H274" s="237">
        <f t="shared" si="43"/>
        <v>141424</v>
      </c>
    </row>
    <row r="275" spans="1:8" s="204" customFormat="1" ht="11.45" customHeight="1" x14ac:dyDescent="0.2">
      <c r="A275" s="220"/>
      <c r="B275" s="238">
        <v>80152</v>
      </c>
      <c r="C275" s="258"/>
      <c r="D275" s="259" t="s">
        <v>323</v>
      </c>
      <c r="E275" s="237"/>
      <c r="F275" s="237"/>
      <c r="G275" s="237"/>
      <c r="H275" s="237"/>
    </row>
    <row r="276" spans="1:8" s="204" customFormat="1" ht="11.45" customHeight="1" x14ac:dyDescent="0.2">
      <c r="A276" s="220"/>
      <c r="B276" s="238"/>
      <c r="C276" s="258"/>
      <c r="D276" s="259" t="s">
        <v>327</v>
      </c>
      <c r="E276" s="237"/>
      <c r="F276" s="237"/>
      <c r="G276" s="237"/>
      <c r="H276" s="237"/>
    </row>
    <row r="277" spans="1:8" s="204" customFormat="1" ht="11.45" customHeight="1" x14ac:dyDescent="0.2">
      <c r="A277" s="220"/>
      <c r="B277" s="238"/>
      <c r="C277" s="258"/>
      <c r="D277" s="259" t="s">
        <v>329</v>
      </c>
      <c r="E277" s="237"/>
      <c r="F277" s="237"/>
      <c r="G277" s="237"/>
      <c r="H277" s="237"/>
    </row>
    <row r="278" spans="1:8" s="204" customFormat="1" ht="11.45" customHeight="1" x14ac:dyDescent="0.2">
      <c r="A278" s="220"/>
      <c r="B278" s="238"/>
      <c r="C278" s="258"/>
      <c r="D278" s="257" t="s">
        <v>330</v>
      </c>
      <c r="E278" s="237"/>
      <c r="F278" s="237"/>
      <c r="G278" s="237"/>
      <c r="H278" s="237"/>
    </row>
    <row r="279" spans="1:8" s="204" customFormat="1" ht="11.45" customHeight="1" x14ac:dyDescent="0.2">
      <c r="A279" s="220"/>
      <c r="B279" s="238"/>
      <c r="C279" s="258"/>
      <c r="D279" s="257" t="s">
        <v>331</v>
      </c>
      <c r="E279" s="237"/>
      <c r="F279" s="237"/>
      <c r="G279" s="237"/>
      <c r="H279" s="237"/>
    </row>
    <row r="280" spans="1:8" s="204" customFormat="1" ht="11.45" customHeight="1" x14ac:dyDescent="0.2">
      <c r="A280" s="220"/>
      <c r="B280" s="238"/>
      <c r="C280" s="258"/>
      <c r="D280" s="259" t="s">
        <v>332</v>
      </c>
      <c r="E280" s="237"/>
      <c r="F280" s="237"/>
      <c r="G280" s="237"/>
      <c r="H280" s="237"/>
    </row>
    <row r="281" spans="1:8" s="204" customFormat="1" ht="11.45" customHeight="1" x14ac:dyDescent="0.2">
      <c r="A281" s="220"/>
      <c r="B281" s="238"/>
      <c r="C281" s="258"/>
      <c r="D281" s="257" t="s">
        <v>333</v>
      </c>
      <c r="E281" s="237"/>
      <c r="F281" s="237"/>
      <c r="G281" s="237"/>
      <c r="H281" s="237"/>
    </row>
    <row r="282" spans="1:8" s="204" customFormat="1" ht="11.45" customHeight="1" x14ac:dyDescent="0.2">
      <c r="A282" s="220"/>
      <c r="B282" s="238"/>
      <c r="C282" s="214"/>
      <c r="D282" s="269" t="s">
        <v>334</v>
      </c>
      <c r="E282" s="228">
        <v>3439757</v>
      </c>
      <c r="F282" s="229">
        <f>SUM(F283)</f>
        <v>4054</v>
      </c>
      <c r="G282" s="229">
        <f>SUM(G283)</f>
        <v>15363</v>
      </c>
      <c r="H282" s="228">
        <f>SUM(E282+F282-G282)</f>
        <v>3428448</v>
      </c>
    </row>
    <row r="283" spans="1:8" s="204" customFormat="1" ht="11.45" customHeight="1" x14ac:dyDescent="0.2">
      <c r="A283" s="220"/>
      <c r="B283" s="220"/>
      <c r="C283" s="214"/>
      <c r="D283" s="316" t="s">
        <v>175</v>
      </c>
      <c r="E283" s="288">
        <v>2895922</v>
      </c>
      <c r="F283" s="288">
        <f>SUM(F284:F288)</f>
        <v>4054</v>
      </c>
      <c r="G283" s="288">
        <f>SUM(G284:G288)</f>
        <v>15363</v>
      </c>
      <c r="H283" s="288">
        <f t="shared" ref="H283:H288" si="44">SUM(E283+F283-G283)</f>
        <v>2884613</v>
      </c>
    </row>
    <row r="284" spans="1:8" s="204" customFormat="1" ht="11.45" customHeight="1" x14ac:dyDescent="0.2">
      <c r="A284" s="220"/>
      <c r="B284" s="220"/>
      <c r="C284" s="226">
        <v>4110</v>
      </c>
      <c r="D284" s="251" t="s">
        <v>288</v>
      </c>
      <c r="E284" s="252">
        <v>410994</v>
      </c>
      <c r="F284" s="252">
        <v>2000</v>
      </c>
      <c r="G284" s="252">
        <v>8000</v>
      </c>
      <c r="H284" s="237">
        <f t="shared" si="44"/>
        <v>404994</v>
      </c>
    </row>
    <row r="285" spans="1:8" s="204" customFormat="1" ht="11.45" customHeight="1" x14ac:dyDescent="0.2">
      <c r="A285" s="220"/>
      <c r="B285" s="220"/>
      <c r="C285" s="226">
        <v>4120</v>
      </c>
      <c r="D285" s="251" t="s">
        <v>289</v>
      </c>
      <c r="E285" s="252">
        <v>49518</v>
      </c>
      <c r="F285" s="252"/>
      <c r="G285" s="252">
        <f>2000+1500</f>
        <v>3500</v>
      </c>
      <c r="H285" s="237">
        <f t="shared" si="44"/>
        <v>46018</v>
      </c>
    </row>
    <row r="286" spans="1:8" s="204" customFormat="1" ht="11.45" customHeight="1" x14ac:dyDescent="0.2">
      <c r="A286" s="220"/>
      <c r="B286" s="220"/>
      <c r="C286" s="242">
        <v>4240</v>
      </c>
      <c r="D286" s="275" t="s">
        <v>290</v>
      </c>
      <c r="E286" s="252">
        <v>39850</v>
      </c>
      <c r="F286" s="252"/>
      <c r="G286" s="252">
        <v>2000</v>
      </c>
      <c r="H286" s="237">
        <f t="shared" si="44"/>
        <v>37850</v>
      </c>
    </row>
    <row r="287" spans="1:8" s="204" customFormat="1" ht="11.45" customHeight="1" x14ac:dyDescent="0.2">
      <c r="A287" s="220"/>
      <c r="B287" s="220"/>
      <c r="C287" s="226">
        <v>4440</v>
      </c>
      <c r="D287" s="251" t="s">
        <v>293</v>
      </c>
      <c r="E287" s="252">
        <v>101521</v>
      </c>
      <c r="F287" s="252">
        <f>151+1903</f>
        <v>2054</v>
      </c>
      <c r="G287" s="252"/>
      <c r="H287" s="237">
        <f t="shared" si="44"/>
        <v>103575</v>
      </c>
    </row>
    <row r="288" spans="1:8" s="204" customFormat="1" ht="11.45" customHeight="1" x14ac:dyDescent="0.2">
      <c r="A288" s="220"/>
      <c r="B288" s="220"/>
      <c r="C288" s="226">
        <v>4710</v>
      </c>
      <c r="D288" s="259" t="s">
        <v>296</v>
      </c>
      <c r="E288" s="252">
        <v>17062</v>
      </c>
      <c r="F288" s="252"/>
      <c r="G288" s="252">
        <v>1863</v>
      </c>
      <c r="H288" s="237">
        <f t="shared" si="44"/>
        <v>15199</v>
      </c>
    </row>
    <row r="289" spans="1:8" s="204" customFormat="1" ht="12" customHeight="1" x14ac:dyDescent="0.2">
      <c r="A289" s="220"/>
      <c r="B289" s="226">
        <v>80195</v>
      </c>
      <c r="C289" s="214"/>
      <c r="D289" s="227" t="s">
        <v>253</v>
      </c>
      <c r="E289" s="228">
        <v>27278921.68999999</v>
      </c>
      <c r="F289" s="229">
        <f>SUM(F290,F293,F297)</f>
        <v>109102.83</v>
      </c>
      <c r="G289" s="229">
        <f>SUM(G290,G293,G297)</f>
        <v>22854.47</v>
      </c>
      <c r="H289" s="228">
        <f>SUM(E289+F289-G289)</f>
        <v>27365170.04999999</v>
      </c>
    </row>
    <row r="290" spans="1:8" s="204" customFormat="1" ht="12" customHeight="1" x14ac:dyDescent="0.2">
      <c r="A290" s="220"/>
      <c r="B290" s="226"/>
      <c r="C290" s="258"/>
      <c r="D290" s="316" t="s">
        <v>183</v>
      </c>
      <c r="E290" s="288">
        <v>1186562.92</v>
      </c>
      <c r="F290" s="288">
        <f>SUM(F291:F292)</f>
        <v>100</v>
      </c>
      <c r="G290" s="288">
        <f>SUM(G291:G292)</f>
        <v>100</v>
      </c>
      <c r="H290" s="317">
        <f>SUM(E290+F290-G290)</f>
        <v>1186562.92</v>
      </c>
    </row>
    <row r="291" spans="1:8" s="204" customFormat="1" ht="21" customHeight="1" x14ac:dyDescent="0.2">
      <c r="A291" s="220"/>
      <c r="B291" s="226"/>
      <c r="C291" s="242">
        <v>3040</v>
      </c>
      <c r="D291" s="268" t="s">
        <v>335</v>
      </c>
      <c r="E291" s="237">
        <v>20910</v>
      </c>
      <c r="F291" s="236">
        <v>100</v>
      </c>
      <c r="G291" s="236"/>
      <c r="H291" s="252">
        <f t="shared" ref="H291:H312" si="45">SUM(E291+F291-G291)</f>
        <v>21010</v>
      </c>
    </row>
    <row r="292" spans="1:8" s="204" customFormat="1" ht="12" customHeight="1" x14ac:dyDescent="0.2">
      <c r="A292" s="220"/>
      <c r="B292" s="226"/>
      <c r="C292" s="258" t="s">
        <v>279</v>
      </c>
      <c r="D292" s="259" t="s">
        <v>280</v>
      </c>
      <c r="E292" s="237">
        <v>249037</v>
      </c>
      <c r="F292" s="236"/>
      <c r="G292" s="236">
        <v>100</v>
      </c>
      <c r="H292" s="252">
        <f t="shared" si="45"/>
        <v>248937</v>
      </c>
    </row>
    <row r="293" spans="1:8" s="204" customFormat="1" ht="12" customHeight="1" x14ac:dyDescent="0.2">
      <c r="A293" s="220"/>
      <c r="B293" s="226"/>
      <c r="C293" s="214"/>
      <c r="D293" s="316" t="s">
        <v>175</v>
      </c>
      <c r="E293" s="288">
        <v>1846868</v>
      </c>
      <c r="F293" s="288">
        <f>SUM(F294:F296)</f>
        <v>88240.36</v>
      </c>
      <c r="G293" s="288">
        <f>SUM(G294:G296)</f>
        <v>1992</v>
      </c>
      <c r="H293" s="288">
        <f t="shared" si="45"/>
        <v>1933116.36</v>
      </c>
    </row>
    <row r="294" spans="1:8" s="204" customFormat="1" ht="12" customHeight="1" x14ac:dyDescent="0.2">
      <c r="A294" s="220"/>
      <c r="B294" s="226"/>
      <c r="C294" s="258" t="s">
        <v>279</v>
      </c>
      <c r="D294" s="259" t="s">
        <v>280</v>
      </c>
      <c r="E294" s="252">
        <v>20751</v>
      </c>
      <c r="F294" s="252"/>
      <c r="G294" s="252">
        <v>140</v>
      </c>
      <c r="H294" s="244">
        <f t="shared" si="45"/>
        <v>20611</v>
      </c>
    </row>
    <row r="295" spans="1:8" s="204" customFormat="1" ht="12" customHeight="1" x14ac:dyDescent="0.2">
      <c r="A295" s="220"/>
      <c r="B295" s="226"/>
      <c r="C295" s="226">
        <v>4300</v>
      </c>
      <c r="D295" s="251" t="s">
        <v>266</v>
      </c>
      <c r="E295" s="252">
        <v>52581</v>
      </c>
      <c r="F295" s="252">
        <v>86249.36</v>
      </c>
      <c r="G295" s="252">
        <v>1851</v>
      </c>
      <c r="H295" s="244">
        <f t="shared" si="45"/>
        <v>136979.35999999999</v>
      </c>
    </row>
    <row r="296" spans="1:8" s="204" customFormat="1" ht="12" customHeight="1" x14ac:dyDescent="0.2">
      <c r="A296" s="220"/>
      <c r="B296" s="226"/>
      <c r="C296" s="226">
        <v>4440</v>
      </c>
      <c r="D296" s="251" t="s">
        <v>293</v>
      </c>
      <c r="E296" s="244">
        <v>1681936</v>
      </c>
      <c r="F296" s="237">
        <v>1991</v>
      </c>
      <c r="G296" s="237">
        <v>1</v>
      </c>
      <c r="H296" s="237">
        <f t="shared" si="45"/>
        <v>1683926</v>
      </c>
    </row>
    <row r="297" spans="1:8" s="204" customFormat="1" ht="22.15" customHeight="1" x14ac:dyDescent="0.2">
      <c r="A297" s="220"/>
      <c r="B297" s="220"/>
      <c r="C297" s="258"/>
      <c r="D297" s="319" t="s">
        <v>336</v>
      </c>
      <c r="E297" s="317">
        <v>498915</v>
      </c>
      <c r="F297" s="318">
        <f>SUM(F298:F306)</f>
        <v>20762.47</v>
      </c>
      <c r="G297" s="318">
        <f>SUM(G298:G306)</f>
        <v>20762.47</v>
      </c>
      <c r="H297" s="288">
        <f t="shared" si="45"/>
        <v>498915</v>
      </c>
    </row>
    <row r="298" spans="1:8" s="204" customFormat="1" ht="12" customHeight="1" x14ac:dyDescent="0.2">
      <c r="A298" s="220"/>
      <c r="B298" s="220"/>
      <c r="C298" s="256">
        <v>4017</v>
      </c>
      <c r="D298" s="257" t="s">
        <v>284</v>
      </c>
      <c r="E298" s="252">
        <v>18984.88</v>
      </c>
      <c r="F298" s="244"/>
      <c r="G298" s="244">
        <f>7127.3+5001.92+6855.66</f>
        <v>18984.88</v>
      </c>
      <c r="H298" s="244">
        <f t="shared" si="45"/>
        <v>0</v>
      </c>
    </row>
    <row r="299" spans="1:8" s="204" customFormat="1" ht="12" customHeight="1" x14ac:dyDescent="0.2">
      <c r="A299" s="220"/>
      <c r="B299" s="220"/>
      <c r="C299" s="226">
        <v>4117</v>
      </c>
      <c r="D299" s="251" t="s">
        <v>337</v>
      </c>
      <c r="E299" s="252">
        <v>24491.64</v>
      </c>
      <c r="F299" s="244">
        <v>0.01</v>
      </c>
      <c r="G299" s="244">
        <f>81.78+82.78</f>
        <v>164.56</v>
      </c>
      <c r="H299" s="237">
        <f t="shared" si="45"/>
        <v>24327.089999999997</v>
      </c>
    </row>
    <row r="300" spans="1:8" s="204" customFormat="1" ht="12" customHeight="1" x14ac:dyDescent="0.2">
      <c r="A300" s="220"/>
      <c r="B300" s="220"/>
      <c r="C300" s="226">
        <v>4127</v>
      </c>
      <c r="D300" s="251" t="s">
        <v>289</v>
      </c>
      <c r="E300" s="252">
        <v>3278.74</v>
      </c>
      <c r="F300" s="244"/>
      <c r="G300" s="244">
        <f>1.76+99.89</f>
        <v>101.65</v>
      </c>
      <c r="H300" s="237">
        <f t="shared" si="45"/>
        <v>3177.0899999999997</v>
      </c>
    </row>
    <row r="301" spans="1:8" s="204" customFormat="1" ht="12" customHeight="1" x14ac:dyDescent="0.2">
      <c r="A301" s="220"/>
      <c r="B301" s="220"/>
      <c r="C301" s="226">
        <v>4177</v>
      </c>
      <c r="D301" s="251" t="s">
        <v>278</v>
      </c>
      <c r="E301" s="252">
        <v>109056.01</v>
      </c>
      <c r="F301" s="244"/>
      <c r="G301" s="244">
        <f>0.24+0.24</f>
        <v>0.48</v>
      </c>
      <c r="H301" s="237">
        <f t="shared" si="45"/>
        <v>109055.53</v>
      </c>
    </row>
    <row r="302" spans="1:8" s="204" customFormat="1" ht="12" customHeight="1" x14ac:dyDescent="0.2">
      <c r="A302" s="220"/>
      <c r="B302" s="220"/>
      <c r="C302" s="256">
        <v>4217</v>
      </c>
      <c r="D302" s="259" t="s">
        <v>280</v>
      </c>
      <c r="E302" s="252">
        <v>68042.25</v>
      </c>
      <c r="F302" s="244">
        <f>842.73+934.85</f>
        <v>1777.58</v>
      </c>
      <c r="G302" s="244"/>
      <c r="H302" s="237">
        <f t="shared" si="45"/>
        <v>69819.83</v>
      </c>
    </row>
    <row r="303" spans="1:8" s="204" customFormat="1" ht="12" customHeight="1" x14ac:dyDescent="0.2">
      <c r="A303" s="220"/>
      <c r="B303" s="220"/>
      <c r="C303" s="226">
        <v>4247</v>
      </c>
      <c r="D303" s="251" t="s">
        <v>290</v>
      </c>
      <c r="E303" s="252">
        <v>198812.18</v>
      </c>
      <c r="F303" s="244"/>
      <c r="G303" s="244">
        <f>26.71+19.7</f>
        <v>46.41</v>
      </c>
      <c r="H303" s="237">
        <f t="shared" si="45"/>
        <v>198765.77</v>
      </c>
    </row>
    <row r="304" spans="1:8" s="204" customFormat="1" ht="12" customHeight="1" x14ac:dyDescent="0.2">
      <c r="A304" s="220"/>
      <c r="B304" s="220"/>
      <c r="C304" s="238">
        <v>4307</v>
      </c>
      <c r="D304" s="251" t="s">
        <v>266</v>
      </c>
      <c r="E304" s="252">
        <v>13081.3</v>
      </c>
      <c r="F304" s="244"/>
      <c r="G304" s="244">
        <f>732+732</f>
        <v>1464</v>
      </c>
      <c r="H304" s="237">
        <f t="shared" si="45"/>
        <v>11617.3</v>
      </c>
    </row>
    <row r="305" spans="1:8" s="204" customFormat="1" ht="12" customHeight="1" x14ac:dyDescent="0.2">
      <c r="A305" s="220"/>
      <c r="B305" s="220"/>
      <c r="C305" s="226">
        <v>4717</v>
      </c>
      <c r="D305" s="259" t="s">
        <v>296</v>
      </c>
      <c r="E305" s="252">
        <v>494.26</v>
      </c>
      <c r="F305" s="244"/>
      <c r="G305" s="244">
        <v>0.01</v>
      </c>
      <c r="H305" s="237">
        <f t="shared" si="45"/>
        <v>494.25</v>
      </c>
    </row>
    <row r="306" spans="1:8" s="204" customFormat="1" ht="12" customHeight="1" x14ac:dyDescent="0.2">
      <c r="A306" s="220"/>
      <c r="B306" s="220"/>
      <c r="C306" s="256">
        <v>4797</v>
      </c>
      <c r="D306" s="266" t="s">
        <v>297</v>
      </c>
      <c r="E306" s="252">
        <v>59525.16</v>
      </c>
      <c r="F306" s="244">
        <f>7127.3+5001.92+6855.66</f>
        <v>18984.88</v>
      </c>
      <c r="G306" s="244">
        <f>0.24+0.24</f>
        <v>0.48</v>
      </c>
      <c r="H306" s="237">
        <f t="shared" si="45"/>
        <v>78509.560000000012</v>
      </c>
    </row>
    <row r="307" spans="1:8" s="204" customFormat="1" ht="12" customHeight="1" thickBot="1" x14ac:dyDescent="0.25">
      <c r="A307" s="221" t="s">
        <v>338</v>
      </c>
      <c r="B307" s="219"/>
      <c r="C307" s="221"/>
      <c r="D307" s="222" t="s">
        <v>339</v>
      </c>
      <c r="E307" s="280">
        <v>6914106.1899999995</v>
      </c>
      <c r="F307" s="280">
        <f>SUM(F308)</f>
        <v>45909</v>
      </c>
      <c r="G307" s="280">
        <f>SUM(G308)</f>
        <v>45909</v>
      </c>
      <c r="H307" s="218">
        <f t="shared" si="45"/>
        <v>6914106.1899999995</v>
      </c>
    </row>
    <row r="308" spans="1:8" s="204" customFormat="1" ht="12" customHeight="1" thickTop="1" x14ac:dyDescent="0.2">
      <c r="A308" s="220"/>
      <c r="B308" s="256">
        <v>85154</v>
      </c>
      <c r="C308" s="272"/>
      <c r="D308" s="269" t="s">
        <v>340</v>
      </c>
      <c r="E308" s="229">
        <v>4331513.1899999995</v>
      </c>
      <c r="F308" s="229">
        <f>SUM(F309,F313)</f>
        <v>45909</v>
      </c>
      <c r="G308" s="229">
        <f>SUM(G309,G313)</f>
        <v>45909</v>
      </c>
      <c r="H308" s="228">
        <f t="shared" si="45"/>
        <v>4331513.1899999995</v>
      </c>
    </row>
    <row r="309" spans="1:8" s="204" customFormat="1" ht="12" customHeight="1" x14ac:dyDescent="0.2">
      <c r="A309" s="220"/>
      <c r="B309" s="220"/>
      <c r="C309" s="256"/>
      <c r="D309" s="316" t="s">
        <v>158</v>
      </c>
      <c r="E309" s="318">
        <v>2337137</v>
      </c>
      <c r="F309" s="318">
        <f>SUM(F310:F312)</f>
        <v>5000</v>
      </c>
      <c r="G309" s="318">
        <f>SUM(G310:G312)</f>
        <v>5000</v>
      </c>
      <c r="H309" s="288">
        <f t="shared" si="45"/>
        <v>2337137</v>
      </c>
    </row>
    <row r="310" spans="1:8" s="204" customFormat="1" ht="12" customHeight="1" x14ac:dyDescent="0.2">
      <c r="A310" s="220"/>
      <c r="B310" s="220"/>
      <c r="C310" s="226">
        <v>4170</v>
      </c>
      <c r="D310" s="251" t="s">
        <v>278</v>
      </c>
      <c r="E310" s="237">
        <v>36763</v>
      </c>
      <c r="F310" s="237"/>
      <c r="G310" s="237">
        <v>3139</v>
      </c>
      <c r="H310" s="237">
        <f t="shared" si="45"/>
        <v>33624</v>
      </c>
    </row>
    <row r="311" spans="1:8" s="204" customFormat="1" ht="12" customHeight="1" x14ac:dyDescent="0.2">
      <c r="A311" s="245"/>
      <c r="B311" s="245"/>
      <c r="C311" s="281" t="s">
        <v>279</v>
      </c>
      <c r="D311" s="265" t="s">
        <v>280</v>
      </c>
      <c r="E311" s="229">
        <v>111309</v>
      </c>
      <c r="F311" s="229">
        <v>5000</v>
      </c>
      <c r="G311" s="229"/>
      <c r="H311" s="229">
        <f t="shared" si="45"/>
        <v>116309</v>
      </c>
    </row>
    <row r="312" spans="1:8" s="204" customFormat="1" ht="12" customHeight="1" x14ac:dyDescent="0.2">
      <c r="A312" s="220"/>
      <c r="B312" s="220"/>
      <c r="C312" s="226">
        <v>4440</v>
      </c>
      <c r="D312" s="251" t="s">
        <v>293</v>
      </c>
      <c r="E312" s="237">
        <v>30181</v>
      </c>
      <c r="F312" s="237"/>
      <c r="G312" s="237">
        <v>1861</v>
      </c>
      <c r="H312" s="237">
        <f t="shared" si="45"/>
        <v>28320</v>
      </c>
    </row>
    <row r="313" spans="1:8" s="204" customFormat="1" ht="12" customHeight="1" x14ac:dyDescent="0.2">
      <c r="A313" s="220"/>
      <c r="B313" s="220"/>
      <c r="C313" s="214"/>
      <c r="D313" s="324" t="s">
        <v>341</v>
      </c>
      <c r="E313" s="288">
        <v>723599.25</v>
      </c>
      <c r="F313" s="318">
        <f>SUM(F314:F318)</f>
        <v>40909</v>
      </c>
      <c r="G313" s="318">
        <f>SUM(G314:G318)</f>
        <v>40909</v>
      </c>
      <c r="H313" s="317">
        <f>SUM(E313+F313-G313)</f>
        <v>723599.25</v>
      </c>
    </row>
    <row r="314" spans="1:8" s="204" customFormat="1" ht="12" customHeight="1" x14ac:dyDescent="0.2">
      <c r="A314" s="220"/>
      <c r="B314" s="220"/>
      <c r="C314" s="226">
        <v>4110</v>
      </c>
      <c r="D314" s="251" t="s">
        <v>288</v>
      </c>
      <c r="E314" s="252">
        <v>24000</v>
      </c>
      <c r="F314" s="252">
        <v>240</v>
      </c>
      <c r="G314" s="252"/>
      <c r="H314" s="236">
        <f t="shared" ref="H314:H318" si="46">SUM(E314+F314-G314)</f>
        <v>24240</v>
      </c>
    </row>
    <row r="315" spans="1:8" s="204" customFormat="1" ht="12" customHeight="1" x14ac:dyDescent="0.2">
      <c r="A315" s="220"/>
      <c r="B315" s="220"/>
      <c r="C315" s="226">
        <v>4170</v>
      </c>
      <c r="D315" s="251" t="s">
        <v>278</v>
      </c>
      <c r="E315" s="252">
        <v>4000</v>
      </c>
      <c r="F315" s="252">
        <v>500</v>
      </c>
      <c r="G315" s="252"/>
      <c r="H315" s="236">
        <f t="shared" si="46"/>
        <v>4500</v>
      </c>
    </row>
    <row r="316" spans="1:8" s="204" customFormat="1" ht="12" customHeight="1" x14ac:dyDescent="0.2">
      <c r="A316" s="220"/>
      <c r="B316" s="220"/>
      <c r="C316" s="258" t="s">
        <v>279</v>
      </c>
      <c r="D316" s="259" t="s">
        <v>280</v>
      </c>
      <c r="E316" s="252">
        <v>83599.25</v>
      </c>
      <c r="F316" s="252">
        <v>40000</v>
      </c>
      <c r="G316" s="252"/>
      <c r="H316" s="236">
        <f t="shared" si="46"/>
        <v>123599.25</v>
      </c>
    </row>
    <row r="317" spans="1:8" s="204" customFormat="1" ht="12" customHeight="1" x14ac:dyDescent="0.2">
      <c r="A317" s="220"/>
      <c r="B317" s="220"/>
      <c r="C317" s="226">
        <v>4280</v>
      </c>
      <c r="D317" s="251" t="s">
        <v>270</v>
      </c>
      <c r="E317" s="252">
        <v>138678</v>
      </c>
      <c r="F317" s="252"/>
      <c r="G317" s="252">
        <v>40909</v>
      </c>
      <c r="H317" s="236">
        <f t="shared" si="46"/>
        <v>97769</v>
      </c>
    </row>
    <row r="318" spans="1:8" s="204" customFormat="1" ht="12" customHeight="1" x14ac:dyDescent="0.2">
      <c r="A318" s="220"/>
      <c r="B318" s="220"/>
      <c r="C318" s="226">
        <v>4410</v>
      </c>
      <c r="D318" s="259" t="s">
        <v>292</v>
      </c>
      <c r="E318" s="252">
        <v>1500</v>
      </c>
      <c r="F318" s="252">
        <v>169</v>
      </c>
      <c r="G318" s="252"/>
      <c r="H318" s="236">
        <f t="shared" si="46"/>
        <v>1669</v>
      </c>
    </row>
    <row r="319" spans="1:8" s="204" customFormat="1" ht="12" customHeight="1" thickBot="1" x14ac:dyDescent="0.25">
      <c r="A319" s="221" t="s">
        <v>156</v>
      </c>
      <c r="B319" s="220"/>
      <c r="C319" s="221"/>
      <c r="D319" s="222" t="s">
        <v>342</v>
      </c>
      <c r="E319" s="218">
        <v>68184378.439999998</v>
      </c>
      <c r="F319" s="224">
        <f>SUM(F320,F339,F345,F352,F360,F367)</f>
        <v>62161.04</v>
      </c>
      <c r="G319" s="224">
        <f>SUM(G320,G339,G345,G352,G360,G367)</f>
        <v>62161.04</v>
      </c>
      <c r="H319" s="218">
        <f t="shared" ref="H319:H338" si="47">SUM(E319+F319-G319)</f>
        <v>68184378.439999998</v>
      </c>
    </row>
    <row r="320" spans="1:8" s="204" customFormat="1" ht="12" customHeight="1" thickTop="1" x14ac:dyDescent="0.2">
      <c r="A320" s="221"/>
      <c r="B320" s="238">
        <v>85202</v>
      </c>
      <c r="C320" s="214"/>
      <c r="D320" s="276" t="s">
        <v>343</v>
      </c>
      <c r="E320" s="249">
        <v>17047784.259999998</v>
      </c>
      <c r="F320" s="229">
        <f>SUM(F321,F330)</f>
        <v>25874</v>
      </c>
      <c r="G320" s="229">
        <f>SUM(G321,G330)</f>
        <v>25874</v>
      </c>
      <c r="H320" s="228">
        <f t="shared" si="47"/>
        <v>17047784.259999998</v>
      </c>
    </row>
    <row r="321" spans="1:8" s="204" customFormat="1" ht="12" customHeight="1" x14ac:dyDescent="0.2">
      <c r="A321" s="221"/>
      <c r="B321" s="238"/>
      <c r="C321" s="214"/>
      <c r="D321" s="316" t="s">
        <v>344</v>
      </c>
      <c r="E321" s="317">
        <v>4038688.26</v>
      </c>
      <c r="F321" s="318">
        <f>SUM(F322:F329)</f>
        <v>8050</v>
      </c>
      <c r="G321" s="318">
        <f>SUM(G322:G329)</f>
        <v>8050</v>
      </c>
      <c r="H321" s="317">
        <f t="shared" ref="H321:H329" si="48">SUM(E321+F321-G321)</f>
        <v>4038688.26</v>
      </c>
    </row>
    <row r="322" spans="1:8" s="204" customFormat="1" ht="12" customHeight="1" x14ac:dyDescent="0.2">
      <c r="A322" s="221"/>
      <c r="B322" s="238"/>
      <c r="C322" s="226">
        <v>4040</v>
      </c>
      <c r="D322" s="251" t="s">
        <v>314</v>
      </c>
      <c r="E322" s="252">
        <v>142870</v>
      </c>
      <c r="F322" s="244"/>
      <c r="G322" s="244">
        <v>200</v>
      </c>
      <c r="H322" s="244">
        <f t="shared" si="48"/>
        <v>142670</v>
      </c>
    </row>
    <row r="323" spans="1:8" s="204" customFormat="1" ht="12" customHeight="1" x14ac:dyDescent="0.2">
      <c r="A323" s="221"/>
      <c r="B323" s="238"/>
      <c r="C323" s="226">
        <v>4120</v>
      </c>
      <c r="D323" s="251" t="s">
        <v>289</v>
      </c>
      <c r="E323" s="252">
        <v>45640</v>
      </c>
      <c r="F323" s="244">
        <v>600</v>
      </c>
      <c r="G323" s="244"/>
      <c r="H323" s="244">
        <f t="shared" si="48"/>
        <v>46240</v>
      </c>
    </row>
    <row r="324" spans="1:8" s="204" customFormat="1" ht="12" customHeight="1" x14ac:dyDescent="0.2">
      <c r="A324" s="221"/>
      <c r="B324" s="238"/>
      <c r="C324" s="226">
        <v>4170</v>
      </c>
      <c r="D324" s="251" t="s">
        <v>278</v>
      </c>
      <c r="E324" s="252">
        <v>15950</v>
      </c>
      <c r="F324" s="244"/>
      <c r="G324" s="244">
        <v>400</v>
      </c>
      <c r="H324" s="244">
        <f t="shared" si="48"/>
        <v>15550</v>
      </c>
    </row>
    <row r="325" spans="1:8" s="204" customFormat="1" ht="12" customHeight="1" x14ac:dyDescent="0.2">
      <c r="A325" s="221"/>
      <c r="B325" s="238"/>
      <c r="C325" s="226">
        <v>4220</v>
      </c>
      <c r="D325" s="251" t="s">
        <v>345</v>
      </c>
      <c r="E325" s="252">
        <v>268640</v>
      </c>
      <c r="F325" s="244">
        <v>4400</v>
      </c>
      <c r="G325" s="244"/>
      <c r="H325" s="244">
        <f t="shared" si="48"/>
        <v>273040</v>
      </c>
    </row>
    <row r="326" spans="1:8" s="204" customFormat="1" ht="12" customHeight="1" x14ac:dyDescent="0.2">
      <c r="A326" s="221"/>
      <c r="B326" s="238"/>
      <c r="C326" s="226">
        <v>4260</v>
      </c>
      <c r="D326" s="251" t="s">
        <v>268</v>
      </c>
      <c r="E326" s="252">
        <v>285528</v>
      </c>
      <c r="F326" s="244"/>
      <c r="G326" s="244">
        <v>4000</v>
      </c>
      <c r="H326" s="244">
        <f t="shared" si="48"/>
        <v>281528</v>
      </c>
    </row>
    <row r="327" spans="1:8" s="204" customFormat="1" ht="12" customHeight="1" x14ac:dyDescent="0.2">
      <c r="A327" s="221"/>
      <c r="B327" s="238"/>
      <c r="C327" s="226">
        <v>4270</v>
      </c>
      <c r="D327" s="251" t="s">
        <v>269</v>
      </c>
      <c r="E327" s="252">
        <v>30605</v>
      </c>
      <c r="F327" s="244"/>
      <c r="G327" s="244">
        <v>3050</v>
      </c>
      <c r="H327" s="244">
        <f t="shared" si="48"/>
        <v>27555</v>
      </c>
    </row>
    <row r="328" spans="1:8" s="204" customFormat="1" ht="12" customHeight="1" x14ac:dyDescent="0.2">
      <c r="A328" s="221"/>
      <c r="B328" s="238"/>
      <c r="C328" s="226">
        <v>4300</v>
      </c>
      <c r="D328" s="251" t="s">
        <v>266</v>
      </c>
      <c r="E328" s="252">
        <v>134737</v>
      </c>
      <c r="F328" s="244">
        <v>3050</v>
      </c>
      <c r="G328" s="244"/>
      <c r="H328" s="244">
        <f t="shared" si="48"/>
        <v>137787</v>
      </c>
    </row>
    <row r="329" spans="1:8" s="204" customFormat="1" ht="12" customHeight="1" x14ac:dyDescent="0.2">
      <c r="A329" s="221"/>
      <c r="B329" s="238"/>
      <c r="C329" s="242">
        <v>4430</v>
      </c>
      <c r="D329" s="275" t="s">
        <v>271</v>
      </c>
      <c r="E329" s="252">
        <v>7470</v>
      </c>
      <c r="F329" s="244"/>
      <c r="G329" s="244">
        <v>400</v>
      </c>
      <c r="H329" s="244">
        <f t="shared" si="48"/>
        <v>7070</v>
      </c>
    </row>
    <row r="330" spans="1:8" s="204" customFormat="1" ht="12" customHeight="1" x14ac:dyDescent="0.2">
      <c r="A330" s="221"/>
      <c r="B330" s="238"/>
      <c r="C330" s="214"/>
      <c r="D330" s="316" t="s">
        <v>346</v>
      </c>
      <c r="E330" s="317">
        <v>3510251</v>
      </c>
      <c r="F330" s="323">
        <f>SUM(F331:F338)</f>
        <v>17824</v>
      </c>
      <c r="G330" s="323">
        <f>SUM(G331:G338)</f>
        <v>17824</v>
      </c>
      <c r="H330" s="288">
        <f t="shared" si="47"/>
        <v>3510251</v>
      </c>
    </row>
    <row r="331" spans="1:8" s="204" customFormat="1" ht="12" customHeight="1" x14ac:dyDescent="0.2">
      <c r="A331" s="221"/>
      <c r="B331" s="238"/>
      <c r="C331" s="226">
        <v>4110</v>
      </c>
      <c r="D331" s="251" t="s">
        <v>288</v>
      </c>
      <c r="E331" s="244">
        <v>333028</v>
      </c>
      <c r="F331" s="252">
        <v>7135</v>
      </c>
      <c r="G331" s="252"/>
      <c r="H331" s="237">
        <f t="shared" si="47"/>
        <v>340163</v>
      </c>
    </row>
    <row r="332" spans="1:8" s="204" customFormat="1" ht="12" customHeight="1" x14ac:dyDescent="0.2">
      <c r="A332" s="221"/>
      <c r="B332" s="238"/>
      <c r="C332" s="226">
        <v>4120</v>
      </c>
      <c r="D332" s="251" t="s">
        <v>289</v>
      </c>
      <c r="E332" s="244">
        <v>42030</v>
      </c>
      <c r="F332" s="252"/>
      <c r="G332" s="252">
        <v>2000</v>
      </c>
      <c r="H332" s="237">
        <f t="shared" si="47"/>
        <v>40030</v>
      </c>
    </row>
    <row r="333" spans="1:8" s="204" customFormat="1" ht="12" customHeight="1" x14ac:dyDescent="0.2">
      <c r="A333" s="221"/>
      <c r="B333" s="238"/>
      <c r="C333" s="267" t="s">
        <v>279</v>
      </c>
      <c r="D333" s="282" t="s">
        <v>280</v>
      </c>
      <c r="E333" s="244">
        <v>104608</v>
      </c>
      <c r="F333" s="252">
        <v>10000</v>
      </c>
      <c r="G333" s="252"/>
      <c r="H333" s="237">
        <f t="shared" si="47"/>
        <v>114608</v>
      </c>
    </row>
    <row r="334" spans="1:8" s="204" customFormat="1" ht="12" customHeight="1" x14ac:dyDescent="0.2">
      <c r="A334" s="221"/>
      <c r="B334" s="238"/>
      <c r="C334" s="226">
        <v>4260</v>
      </c>
      <c r="D334" s="251" t="s">
        <v>268</v>
      </c>
      <c r="E334" s="244">
        <v>230000</v>
      </c>
      <c r="F334" s="252"/>
      <c r="G334" s="252">
        <v>11395</v>
      </c>
      <c r="H334" s="237">
        <f t="shared" si="47"/>
        <v>218605</v>
      </c>
    </row>
    <row r="335" spans="1:8" s="204" customFormat="1" ht="12" customHeight="1" x14ac:dyDescent="0.2">
      <c r="A335" s="221"/>
      <c r="B335" s="238"/>
      <c r="C335" s="226">
        <v>4280</v>
      </c>
      <c r="D335" s="251" t="s">
        <v>270</v>
      </c>
      <c r="E335" s="244">
        <v>5700</v>
      </c>
      <c r="F335" s="252">
        <v>689</v>
      </c>
      <c r="G335" s="252"/>
      <c r="H335" s="237">
        <f t="shared" si="47"/>
        <v>6389</v>
      </c>
    </row>
    <row r="336" spans="1:8" s="204" customFormat="1" ht="12" customHeight="1" x14ac:dyDescent="0.2">
      <c r="A336" s="221"/>
      <c r="B336" s="238"/>
      <c r="C336" s="226">
        <v>4300</v>
      </c>
      <c r="D336" s="251" t="s">
        <v>266</v>
      </c>
      <c r="E336" s="244">
        <v>89150</v>
      </c>
      <c r="F336" s="252"/>
      <c r="G336" s="252">
        <v>3000</v>
      </c>
      <c r="H336" s="237">
        <f t="shared" si="47"/>
        <v>86150</v>
      </c>
    </row>
    <row r="337" spans="1:8" s="204" customFormat="1" ht="12" customHeight="1" x14ac:dyDescent="0.2">
      <c r="A337" s="221"/>
      <c r="B337" s="238"/>
      <c r="C337" s="242">
        <v>4410</v>
      </c>
      <c r="D337" s="282" t="s">
        <v>292</v>
      </c>
      <c r="E337" s="244">
        <v>2430</v>
      </c>
      <c r="F337" s="252"/>
      <c r="G337" s="252">
        <v>654</v>
      </c>
      <c r="H337" s="237">
        <f t="shared" si="47"/>
        <v>1776</v>
      </c>
    </row>
    <row r="338" spans="1:8" s="204" customFormat="1" ht="21.75" customHeight="1" x14ac:dyDescent="0.2">
      <c r="A338" s="221"/>
      <c r="B338" s="238"/>
      <c r="C338" s="242">
        <v>4700</v>
      </c>
      <c r="D338" s="254" t="s">
        <v>281</v>
      </c>
      <c r="E338" s="244">
        <v>4050</v>
      </c>
      <c r="F338" s="252"/>
      <c r="G338" s="252">
        <v>775</v>
      </c>
      <c r="H338" s="237">
        <f t="shared" si="47"/>
        <v>3275</v>
      </c>
    </row>
    <row r="339" spans="1:8" s="204" customFormat="1" ht="12" customHeight="1" x14ac:dyDescent="0.2">
      <c r="A339" s="221"/>
      <c r="B339" s="256">
        <v>85203</v>
      </c>
      <c r="C339" s="283"/>
      <c r="D339" s="269" t="s">
        <v>347</v>
      </c>
      <c r="E339" s="249">
        <v>861023</v>
      </c>
      <c r="F339" s="229">
        <f>SUM(F341)</f>
        <v>3700</v>
      </c>
      <c r="G339" s="229">
        <f>SUM(G341)</f>
        <v>3700</v>
      </c>
      <c r="H339" s="228">
        <f t="shared" ref="H339" si="49">SUM(E339+F339-G339)</f>
        <v>861023</v>
      </c>
    </row>
    <row r="340" spans="1:8" s="204" customFormat="1" ht="12" customHeight="1" x14ac:dyDescent="0.2">
      <c r="A340" s="221"/>
      <c r="B340" s="256"/>
      <c r="C340" s="283"/>
      <c r="D340" s="257" t="s">
        <v>348</v>
      </c>
      <c r="E340" s="252"/>
      <c r="F340" s="237"/>
      <c r="G340" s="237"/>
      <c r="H340" s="236"/>
    </row>
    <row r="341" spans="1:8" s="204" customFormat="1" ht="12" customHeight="1" x14ac:dyDescent="0.2">
      <c r="A341" s="221"/>
      <c r="B341" s="238"/>
      <c r="C341" s="214"/>
      <c r="D341" s="324" t="s">
        <v>349</v>
      </c>
      <c r="E341" s="317">
        <v>685305</v>
      </c>
      <c r="F341" s="323">
        <f>SUM(F342:F344)</f>
        <v>3700</v>
      </c>
      <c r="G341" s="323">
        <f>SUM(G342:G344)</f>
        <v>3700</v>
      </c>
      <c r="H341" s="288">
        <f t="shared" ref="H341:H345" si="50">SUM(E341+F341-G341)</f>
        <v>685305</v>
      </c>
    </row>
    <row r="342" spans="1:8" s="204" customFormat="1" ht="12" customHeight="1" x14ac:dyDescent="0.2">
      <c r="A342" s="221"/>
      <c r="B342" s="238"/>
      <c r="C342" s="226">
        <v>4270</v>
      </c>
      <c r="D342" s="251" t="s">
        <v>269</v>
      </c>
      <c r="E342" s="244">
        <v>5560</v>
      </c>
      <c r="F342" s="252"/>
      <c r="G342" s="252">
        <v>3000</v>
      </c>
      <c r="H342" s="237">
        <f t="shared" si="50"/>
        <v>2560</v>
      </c>
    </row>
    <row r="343" spans="1:8" s="204" customFormat="1" ht="12" customHeight="1" x14ac:dyDescent="0.2">
      <c r="A343" s="221"/>
      <c r="B343" s="238"/>
      <c r="C343" s="226">
        <v>4300</v>
      </c>
      <c r="D343" s="251" t="s">
        <v>266</v>
      </c>
      <c r="E343" s="244">
        <v>23966</v>
      </c>
      <c r="F343" s="252">
        <v>3700</v>
      </c>
      <c r="G343" s="252"/>
      <c r="H343" s="237">
        <f t="shared" si="50"/>
        <v>27666</v>
      </c>
    </row>
    <row r="344" spans="1:8" s="204" customFormat="1" ht="21" customHeight="1" x14ac:dyDescent="0.2">
      <c r="A344" s="221"/>
      <c r="B344" s="238"/>
      <c r="C344" s="242">
        <v>4700</v>
      </c>
      <c r="D344" s="254" t="s">
        <v>281</v>
      </c>
      <c r="E344" s="244">
        <v>1132</v>
      </c>
      <c r="F344" s="252"/>
      <c r="G344" s="252">
        <v>700</v>
      </c>
      <c r="H344" s="237">
        <f t="shared" si="50"/>
        <v>432</v>
      </c>
    </row>
    <row r="345" spans="1:8" s="204" customFormat="1" ht="12" customHeight="1" x14ac:dyDescent="0.2">
      <c r="A345" s="221"/>
      <c r="B345" s="238">
        <v>85219</v>
      </c>
      <c r="C345" s="214"/>
      <c r="D345" s="284" t="s">
        <v>350</v>
      </c>
      <c r="E345" s="249">
        <v>15046259.6</v>
      </c>
      <c r="F345" s="229">
        <f>SUM(F346)</f>
        <v>6000</v>
      </c>
      <c r="G345" s="229">
        <f>SUM(G346)</f>
        <v>6000</v>
      </c>
      <c r="H345" s="228">
        <f t="shared" si="50"/>
        <v>15046259.6</v>
      </c>
    </row>
    <row r="346" spans="1:8" s="204" customFormat="1" ht="12" customHeight="1" x14ac:dyDescent="0.2">
      <c r="A346" s="221"/>
      <c r="B346" s="220"/>
      <c r="C346" s="214"/>
      <c r="D346" s="316" t="s">
        <v>158</v>
      </c>
      <c r="E346" s="317">
        <v>14999393</v>
      </c>
      <c r="F346" s="318">
        <f>SUM(F347:F350)</f>
        <v>6000</v>
      </c>
      <c r="G346" s="318">
        <f>SUM(G347:G350)</f>
        <v>6000</v>
      </c>
      <c r="H346" s="317">
        <f>SUM(E346+F346-G346)</f>
        <v>14999393</v>
      </c>
    </row>
    <row r="347" spans="1:8" s="204" customFormat="1" ht="12" customHeight="1" x14ac:dyDescent="0.2">
      <c r="A347" s="221"/>
      <c r="B347" s="238"/>
      <c r="C347" s="226">
        <v>4360</v>
      </c>
      <c r="D347" s="251" t="s">
        <v>291</v>
      </c>
      <c r="E347" s="252">
        <v>35000</v>
      </c>
      <c r="F347" s="237"/>
      <c r="G347" s="237">
        <v>2000</v>
      </c>
      <c r="H347" s="237">
        <f t="shared" ref="H347:H350" si="51">SUM(E347+F347-G347)</f>
        <v>33000</v>
      </c>
    </row>
    <row r="348" spans="1:8" s="204" customFormat="1" ht="12" customHeight="1" x14ac:dyDescent="0.2">
      <c r="A348" s="221"/>
      <c r="B348" s="238"/>
      <c r="C348" s="242">
        <v>4410</v>
      </c>
      <c r="D348" s="282" t="s">
        <v>292</v>
      </c>
      <c r="E348" s="252">
        <v>25154</v>
      </c>
      <c r="F348" s="237"/>
      <c r="G348" s="237">
        <v>3252</v>
      </c>
      <c r="H348" s="237">
        <f t="shared" si="51"/>
        <v>21902</v>
      </c>
    </row>
    <row r="349" spans="1:8" s="204" customFormat="1" ht="12" customHeight="1" x14ac:dyDescent="0.2">
      <c r="A349" s="221"/>
      <c r="B349" s="238"/>
      <c r="C349" s="242">
        <v>4430</v>
      </c>
      <c r="D349" s="275" t="s">
        <v>271</v>
      </c>
      <c r="E349" s="252">
        <v>47256</v>
      </c>
      <c r="F349" s="237">
        <v>6000</v>
      </c>
      <c r="G349" s="237"/>
      <c r="H349" s="237">
        <f t="shared" si="51"/>
        <v>53256</v>
      </c>
    </row>
    <row r="350" spans="1:8" s="204" customFormat="1" ht="12" customHeight="1" x14ac:dyDescent="0.2">
      <c r="A350" s="221"/>
      <c r="B350" s="238"/>
      <c r="C350" s="242">
        <v>4440</v>
      </c>
      <c r="D350" s="275" t="s">
        <v>293</v>
      </c>
      <c r="E350" s="252">
        <v>320257</v>
      </c>
      <c r="F350" s="237"/>
      <c r="G350" s="237">
        <v>748</v>
      </c>
      <c r="H350" s="237">
        <f t="shared" si="51"/>
        <v>319509</v>
      </c>
    </row>
    <row r="351" spans="1:8" s="204" customFormat="1" ht="12" customHeight="1" x14ac:dyDescent="0.2">
      <c r="A351" s="221"/>
      <c r="B351" s="256">
        <v>85220</v>
      </c>
      <c r="C351" s="272"/>
      <c r="D351" s="257" t="s">
        <v>351</v>
      </c>
      <c r="E351" s="252"/>
      <c r="F351" s="237"/>
      <c r="G351" s="237"/>
      <c r="H351" s="237"/>
    </row>
    <row r="352" spans="1:8" s="204" customFormat="1" ht="12" customHeight="1" x14ac:dyDescent="0.2">
      <c r="A352" s="221"/>
      <c r="B352" s="285"/>
      <c r="C352" s="272"/>
      <c r="D352" s="269" t="s">
        <v>352</v>
      </c>
      <c r="E352" s="249">
        <v>805107</v>
      </c>
      <c r="F352" s="229">
        <f>SUM(F353,F357)</f>
        <v>2285</v>
      </c>
      <c r="G352" s="229">
        <f>SUM(G353,G357)</f>
        <v>2285</v>
      </c>
      <c r="H352" s="228">
        <f>SUM(E352+F352-G352)</f>
        <v>805107</v>
      </c>
    </row>
    <row r="353" spans="1:8" s="204" customFormat="1" ht="12" customHeight="1" x14ac:dyDescent="0.2">
      <c r="A353" s="221"/>
      <c r="B353" s="285"/>
      <c r="C353" s="272"/>
      <c r="D353" s="325" t="s">
        <v>353</v>
      </c>
      <c r="E353" s="326">
        <v>29000</v>
      </c>
      <c r="F353" s="327">
        <f>SUM(F354:F355)</f>
        <v>269</v>
      </c>
      <c r="G353" s="327">
        <f>SUM(G354:G355)</f>
        <v>269</v>
      </c>
      <c r="H353" s="317">
        <f t="shared" ref="H353:H355" si="52">SUM(E353+F353-G353)</f>
        <v>29000</v>
      </c>
    </row>
    <row r="354" spans="1:8" s="204" customFormat="1" ht="12" customHeight="1" x14ac:dyDescent="0.2">
      <c r="A354" s="221"/>
      <c r="B354" s="285"/>
      <c r="C354" s="226">
        <v>4300</v>
      </c>
      <c r="D354" s="251" t="s">
        <v>266</v>
      </c>
      <c r="E354" s="252">
        <v>3000</v>
      </c>
      <c r="F354" s="237"/>
      <c r="G354" s="237">
        <v>269</v>
      </c>
      <c r="H354" s="236">
        <f t="shared" si="52"/>
        <v>2731</v>
      </c>
    </row>
    <row r="355" spans="1:8" s="204" customFormat="1" ht="21.75" customHeight="1" x14ac:dyDescent="0.2">
      <c r="A355" s="221"/>
      <c r="B355" s="285"/>
      <c r="C355" s="242">
        <v>4400</v>
      </c>
      <c r="D355" s="286" t="s">
        <v>354</v>
      </c>
      <c r="E355" s="252">
        <v>7000</v>
      </c>
      <c r="F355" s="237">
        <v>269</v>
      </c>
      <c r="G355" s="237"/>
      <c r="H355" s="236">
        <f t="shared" si="52"/>
        <v>7269</v>
      </c>
    </row>
    <row r="356" spans="1:8" s="204" customFormat="1" ht="12" customHeight="1" x14ac:dyDescent="0.2">
      <c r="A356" s="221"/>
      <c r="B356" s="238"/>
      <c r="C356" s="242"/>
      <c r="D356" s="257" t="s">
        <v>355</v>
      </c>
      <c r="E356" s="252"/>
      <c r="F356" s="237"/>
      <c r="G356" s="237"/>
      <c r="H356" s="237"/>
    </row>
    <row r="357" spans="1:8" s="204" customFormat="1" ht="12" customHeight="1" x14ac:dyDescent="0.2">
      <c r="A357" s="221"/>
      <c r="B357" s="238"/>
      <c r="C357" s="242"/>
      <c r="D357" s="324" t="s">
        <v>356</v>
      </c>
      <c r="E357" s="317">
        <v>776107</v>
      </c>
      <c r="F357" s="318">
        <f>SUM(F358:F359)</f>
        <v>2016</v>
      </c>
      <c r="G357" s="318">
        <f>SUM(G358:G359)</f>
        <v>2016</v>
      </c>
      <c r="H357" s="317">
        <f t="shared" ref="H357:H359" si="53">SUM(E357+F357-G357)</f>
        <v>776107</v>
      </c>
    </row>
    <row r="358" spans="1:8" s="204" customFormat="1" ht="12" customHeight="1" x14ac:dyDescent="0.2">
      <c r="A358" s="221"/>
      <c r="B358" s="238"/>
      <c r="C358" s="226">
        <v>4260</v>
      </c>
      <c r="D358" s="251" t="s">
        <v>268</v>
      </c>
      <c r="E358" s="244">
        <v>14600</v>
      </c>
      <c r="F358" s="237">
        <v>2016</v>
      </c>
      <c r="G358" s="237"/>
      <c r="H358" s="237">
        <f t="shared" si="53"/>
        <v>16616</v>
      </c>
    </row>
    <row r="359" spans="1:8" s="204" customFormat="1" ht="12" customHeight="1" x14ac:dyDescent="0.2">
      <c r="A359" s="221"/>
      <c r="B359" s="238"/>
      <c r="C359" s="242">
        <v>4440</v>
      </c>
      <c r="D359" s="275" t="s">
        <v>293</v>
      </c>
      <c r="E359" s="252">
        <v>15503</v>
      </c>
      <c r="F359" s="237"/>
      <c r="G359" s="237">
        <v>2016</v>
      </c>
      <c r="H359" s="237">
        <f t="shared" si="53"/>
        <v>13487</v>
      </c>
    </row>
    <row r="360" spans="1:8" s="204" customFormat="1" ht="12" customHeight="1" x14ac:dyDescent="0.2">
      <c r="A360" s="221"/>
      <c r="B360" s="256">
        <v>85230</v>
      </c>
      <c r="C360" s="272"/>
      <c r="D360" s="269" t="s">
        <v>357</v>
      </c>
      <c r="E360" s="249">
        <v>5638539</v>
      </c>
      <c r="F360" s="229">
        <f>SUM(F361,F364)</f>
        <v>18804.419999999998</v>
      </c>
      <c r="G360" s="229">
        <f>SUM(G361,G364)</f>
        <v>18804.419999999998</v>
      </c>
      <c r="H360" s="228">
        <f>SUM(E360+F360-G360)</f>
        <v>5638539</v>
      </c>
    </row>
    <row r="361" spans="1:8" s="204" customFormat="1" ht="12" customHeight="1" x14ac:dyDescent="0.2">
      <c r="A361" s="221"/>
      <c r="B361" s="220"/>
      <c r="C361" s="258"/>
      <c r="D361" s="316" t="s">
        <v>158</v>
      </c>
      <c r="E361" s="326">
        <v>5567833</v>
      </c>
      <c r="F361" s="327">
        <f>SUM(F362:F363)</f>
        <v>18734.419999999998</v>
      </c>
      <c r="G361" s="327">
        <f>SUM(G362:G363)</f>
        <v>18734.419999999998</v>
      </c>
      <c r="H361" s="317">
        <f t="shared" ref="H361:H363" si="54">SUM(E361+F361-G361)</f>
        <v>5567833</v>
      </c>
    </row>
    <row r="362" spans="1:8" s="204" customFormat="1" ht="12" customHeight="1" x14ac:dyDescent="0.2">
      <c r="A362" s="221"/>
      <c r="B362" s="220"/>
      <c r="C362" s="226">
        <v>3110</v>
      </c>
      <c r="D362" s="251" t="s">
        <v>358</v>
      </c>
      <c r="E362" s="252">
        <v>3477957</v>
      </c>
      <c r="F362" s="237"/>
      <c r="G362" s="237">
        <v>18734.419999999998</v>
      </c>
      <c r="H362" s="237">
        <f t="shared" si="54"/>
        <v>3459222.58</v>
      </c>
    </row>
    <row r="363" spans="1:8" s="204" customFormat="1" ht="12" customHeight="1" x14ac:dyDescent="0.2">
      <c r="A363" s="221"/>
      <c r="B363" s="220"/>
      <c r="C363" s="257">
        <v>4300</v>
      </c>
      <c r="D363" s="259" t="s">
        <v>266</v>
      </c>
      <c r="E363" s="252">
        <v>2089876</v>
      </c>
      <c r="F363" s="237">
        <v>18734.419999999998</v>
      </c>
      <c r="G363" s="237"/>
      <c r="H363" s="237">
        <f t="shared" si="54"/>
        <v>2108610.42</v>
      </c>
    </row>
    <row r="364" spans="1:8" s="204" customFormat="1" ht="20.25" customHeight="1" x14ac:dyDescent="0.2">
      <c r="A364" s="221"/>
      <c r="B364" s="220"/>
      <c r="C364" s="214"/>
      <c r="D364" s="322" t="s">
        <v>359</v>
      </c>
      <c r="E364" s="317">
        <v>69249</v>
      </c>
      <c r="F364" s="318">
        <f>SUM(F365:F366)</f>
        <v>70</v>
      </c>
      <c r="G364" s="318">
        <f>SUM(G365:G366)</f>
        <v>70</v>
      </c>
      <c r="H364" s="317">
        <f>SUM(E364+F364-G364)</f>
        <v>69249</v>
      </c>
    </row>
    <row r="365" spans="1:8" s="204" customFormat="1" ht="21" customHeight="1" x14ac:dyDescent="0.2">
      <c r="A365" s="221"/>
      <c r="B365" s="220"/>
      <c r="C365" s="242">
        <v>3290</v>
      </c>
      <c r="D365" s="268" t="s">
        <v>360</v>
      </c>
      <c r="E365" s="252">
        <v>13270</v>
      </c>
      <c r="F365" s="244"/>
      <c r="G365" s="244">
        <v>70</v>
      </c>
      <c r="H365" s="237">
        <f t="shared" ref="H365:H366" si="55">SUM(E365+F365-G365)</f>
        <v>13200</v>
      </c>
    </row>
    <row r="366" spans="1:8" s="204" customFormat="1" ht="12" customHeight="1" x14ac:dyDescent="0.2">
      <c r="A366" s="287"/>
      <c r="B366" s="245"/>
      <c r="C366" s="263">
        <v>4370</v>
      </c>
      <c r="D366" s="263" t="s">
        <v>285</v>
      </c>
      <c r="E366" s="249">
        <v>55979</v>
      </c>
      <c r="F366" s="248">
        <v>70</v>
      </c>
      <c r="G366" s="248"/>
      <c r="H366" s="229">
        <f t="shared" si="55"/>
        <v>56049</v>
      </c>
    </row>
    <row r="367" spans="1:8" s="204" customFormat="1" ht="12" customHeight="1" x14ac:dyDescent="0.2">
      <c r="A367" s="221"/>
      <c r="B367" s="238">
        <v>85295</v>
      </c>
      <c r="C367" s="214"/>
      <c r="D367" s="227" t="s">
        <v>253</v>
      </c>
      <c r="E367" s="228">
        <v>5525681.4400000004</v>
      </c>
      <c r="F367" s="229">
        <f>SUM(F368,F371,F380,F389)</f>
        <v>5497.62</v>
      </c>
      <c r="G367" s="229">
        <f>SUM(G368,G371,G380,G389)</f>
        <v>5497.62</v>
      </c>
      <c r="H367" s="228">
        <f>SUM(E367+F367-G367)</f>
        <v>5525681.4400000004</v>
      </c>
    </row>
    <row r="368" spans="1:8" s="204" customFormat="1" ht="12" customHeight="1" x14ac:dyDescent="0.2">
      <c r="A368" s="221"/>
      <c r="B368" s="220"/>
      <c r="C368" s="258"/>
      <c r="D368" s="316" t="s">
        <v>158</v>
      </c>
      <c r="E368" s="317">
        <v>1277960</v>
      </c>
      <c r="F368" s="318">
        <f>SUM(F369:F370)</f>
        <v>349</v>
      </c>
      <c r="G368" s="318">
        <f>SUM(G369:G370)</f>
        <v>349</v>
      </c>
      <c r="H368" s="317">
        <f t="shared" ref="H368:H407" si="56">SUM(E368+F368-G368)</f>
        <v>1277960</v>
      </c>
    </row>
    <row r="369" spans="1:8" s="204" customFormat="1" ht="12" customHeight="1" x14ac:dyDescent="0.2">
      <c r="A369" s="221"/>
      <c r="B369" s="220"/>
      <c r="C369" s="257">
        <v>4300</v>
      </c>
      <c r="D369" s="259" t="s">
        <v>266</v>
      </c>
      <c r="E369" s="252">
        <v>35375</v>
      </c>
      <c r="F369" s="244"/>
      <c r="G369" s="244">
        <v>349</v>
      </c>
      <c r="H369" s="237">
        <f t="shared" si="56"/>
        <v>35026</v>
      </c>
    </row>
    <row r="370" spans="1:8" s="204" customFormat="1" ht="12" customHeight="1" x14ac:dyDescent="0.2">
      <c r="A370" s="221"/>
      <c r="B370" s="220"/>
      <c r="C370" s="242">
        <v>4440</v>
      </c>
      <c r="D370" s="275" t="s">
        <v>293</v>
      </c>
      <c r="E370" s="237">
        <v>32428</v>
      </c>
      <c r="F370" s="236">
        <v>349</v>
      </c>
      <c r="G370" s="237"/>
      <c r="H370" s="237">
        <f t="shared" si="56"/>
        <v>32777</v>
      </c>
    </row>
    <row r="371" spans="1:8" s="204" customFormat="1" ht="45" customHeight="1" x14ac:dyDescent="0.2">
      <c r="A371" s="221"/>
      <c r="B371" s="220"/>
      <c r="C371" s="214"/>
      <c r="D371" s="320" t="s">
        <v>361</v>
      </c>
      <c r="E371" s="317">
        <v>76900</v>
      </c>
      <c r="F371" s="323">
        <f>SUM(F372:F379)</f>
        <v>103.78</v>
      </c>
      <c r="G371" s="323">
        <f>SUM(G372:G379)</f>
        <v>4103.78</v>
      </c>
      <c r="H371" s="288">
        <f>SUM(E371+F371-G371)</f>
        <v>72900</v>
      </c>
    </row>
    <row r="372" spans="1:8" s="204" customFormat="1" ht="12" customHeight="1" x14ac:dyDescent="0.2">
      <c r="A372" s="221"/>
      <c r="B372" s="220"/>
      <c r="C372" s="256">
        <v>4017</v>
      </c>
      <c r="D372" s="257" t="s">
        <v>284</v>
      </c>
      <c r="E372" s="244">
        <v>22772.69</v>
      </c>
      <c r="F372" s="244"/>
      <c r="G372" s="244">
        <f>2811.44+72.94</f>
        <v>2884.38</v>
      </c>
      <c r="H372" s="237">
        <f t="shared" ref="H372:H379" si="57">SUM(E372+F372-G372)</f>
        <v>19888.309999999998</v>
      </c>
    </row>
    <row r="373" spans="1:8" s="204" customFormat="1" ht="12" customHeight="1" x14ac:dyDescent="0.2">
      <c r="A373" s="221"/>
      <c r="B373" s="220"/>
      <c r="C373" s="256">
        <v>4019</v>
      </c>
      <c r="D373" s="257" t="s">
        <v>284</v>
      </c>
      <c r="E373" s="244">
        <v>4247.58</v>
      </c>
      <c r="F373" s="244"/>
      <c r="G373" s="244">
        <f>524.39+13.6</f>
        <v>537.99</v>
      </c>
      <c r="H373" s="237">
        <f t="shared" si="57"/>
        <v>3709.59</v>
      </c>
    </row>
    <row r="374" spans="1:8" s="204" customFormat="1" ht="12" customHeight="1" x14ac:dyDescent="0.2">
      <c r="A374" s="221"/>
      <c r="B374" s="220"/>
      <c r="C374" s="226">
        <v>4117</v>
      </c>
      <c r="D374" s="251" t="s">
        <v>337</v>
      </c>
      <c r="E374" s="244">
        <v>8884.84</v>
      </c>
      <c r="F374" s="244"/>
      <c r="G374" s="244">
        <f>490.88+12.71</f>
        <v>503.59</v>
      </c>
      <c r="H374" s="237">
        <f t="shared" si="57"/>
        <v>8381.25</v>
      </c>
    </row>
    <row r="375" spans="1:8" s="204" customFormat="1" ht="12" customHeight="1" x14ac:dyDescent="0.2">
      <c r="A375" s="221"/>
      <c r="B375" s="220"/>
      <c r="C375" s="226">
        <v>4119</v>
      </c>
      <c r="D375" s="251" t="s">
        <v>337</v>
      </c>
      <c r="E375" s="244">
        <v>1657.23</v>
      </c>
      <c r="F375" s="244"/>
      <c r="G375" s="244">
        <f>91.56+2.37</f>
        <v>93.93</v>
      </c>
      <c r="H375" s="237">
        <f t="shared" si="57"/>
        <v>1563.3</v>
      </c>
    </row>
    <row r="376" spans="1:8" s="204" customFormat="1" ht="12" customHeight="1" x14ac:dyDescent="0.2">
      <c r="A376" s="221"/>
      <c r="B376" s="220"/>
      <c r="C376" s="226">
        <v>4127</v>
      </c>
      <c r="D376" s="259" t="s">
        <v>362</v>
      </c>
      <c r="E376" s="244">
        <v>1246.77</v>
      </c>
      <c r="F376" s="244"/>
      <c r="G376" s="244">
        <f>68.88+1.82</f>
        <v>70.699999999999989</v>
      </c>
      <c r="H376" s="237">
        <f t="shared" si="57"/>
        <v>1176.07</v>
      </c>
    </row>
    <row r="377" spans="1:8" s="204" customFormat="1" ht="12" customHeight="1" x14ac:dyDescent="0.2">
      <c r="A377" s="221"/>
      <c r="B377" s="220"/>
      <c r="C377" s="226">
        <v>4129</v>
      </c>
      <c r="D377" s="259" t="s">
        <v>362</v>
      </c>
      <c r="E377" s="244">
        <v>232.54</v>
      </c>
      <c r="F377" s="244"/>
      <c r="G377" s="244">
        <f>12.85+0.34</f>
        <v>13.19</v>
      </c>
      <c r="H377" s="237">
        <f t="shared" si="57"/>
        <v>219.35</v>
      </c>
    </row>
    <row r="378" spans="1:8" s="204" customFormat="1" ht="12" customHeight="1" x14ac:dyDescent="0.2">
      <c r="A378" s="221"/>
      <c r="B378" s="220"/>
      <c r="C378" s="226">
        <v>4717</v>
      </c>
      <c r="D378" s="259" t="s">
        <v>296</v>
      </c>
      <c r="E378" s="244">
        <v>0</v>
      </c>
      <c r="F378" s="244">
        <v>87.47</v>
      </c>
      <c r="G378" s="244"/>
      <c r="H378" s="237">
        <f t="shared" si="57"/>
        <v>87.47</v>
      </c>
    </row>
    <row r="379" spans="1:8" s="204" customFormat="1" ht="12" customHeight="1" x14ac:dyDescent="0.2">
      <c r="A379" s="221"/>
      <c r="B379" s="220"/>
      <c r="C379" s="226">
        <v>4719</v>
      </c>
      <c r="D379" s="259" t="s">
        <v>296</v>
      </c>
      <c r="E379" s="244">
        <v>0</v>
      </c>
      <c r="F379" s="244">
        <v>16.309999999999999</v>
      </c>
      <c r="G379" s="244"/>
      <c r="H379" s="237">
        <f t="shared" si="57"/>
        <v>16.309999999999999</v>
      </c>
    </row>
    <row r="380" spans="1:8" s="204" customFormat="1" ht="45" customHeight="1" x14ac:dyDescent="0.2">
      <c r="A380" s="221"/>
      <c r="B380" s="220"/>
      <c r="C380" s="214"/>
      <c r="D380" s="320" t="s">
        <v>363</v>
      </c>
      <c r="E380" s="317">
        <v>925974.77000000014</v>
      </c>
      <c r="F380" s="323">
        <f>SUM(F381:F386)</f>
        <v>4000</v>
      </c>
      <c r="G380" s="323">
        <f>SUM(G381:G386)</f>
        <v>0</v>
      </c>
      <c r="H380" s="288">
        <f>SUM(E380+F380-G380)</f>
        <v>929974.77000000014</v>
      </c>
    </row>
    <row r="381" spans="1:8" s="204" customFormat="1" ht="12" customHeight="1" x14ac:dyDescent="0.2">
      <c r="A381" s="221"/>
      <c r="B381" s="220"/>
      <c r="C381" s="256">
        <v>4017</v>
      </c>
      <c r="D381" s="257" t="s">
        <v>284</v>
      </c>
      <c r="E381" s="244">
        <v>53773.62</v>
      </c>
      <c r="F381" s="244">
        <v>2811.44</v>
      </c>
      <c r="G381" s="244"/>
      <c r="H381" s="237">
        <f t="shared" ref="H381:H386" si="58">SUM(E381+F381-G381)</f>
        <v>56585.060000000005</v>
      </c>
    </row>
    <row r="382" spans="1:8" s="204" customFormat="1" ht="12" customHeight="1" x14ac:dyDescent="0.2">
      <c r="A382" s="221"/>
      <c r="B382" s="220"/>
      <c r="C382" s="256">
        <v>4019</v>
      </c>
      <c r="D382" s="257" t="s">
        <v>284</v>
      </c>
      <c r="E382" s="244">
        <v>10029.92</v>
      </c>
      <c r="F382" s="244">
        <v>524.39</v>
      </c>
      <c r="G382" s="244"/>
      <c r="H382" s="237">
        <f t="shared" si="58"/>
        <v>10554.31</v>
      </c>
    </row>
    <row r="383" spans="1:8" s="204" customFormat="1" ht="12" customHeight="1" x14ac:dyDescent="0.2">
      <c r="A383" s="221"/>
      <c r="B383" s="220"/>
      <c r="C383" s="226">
        <v>4117</v>
      </c>
      <c r="D383" s="251" t="s">
        <v>337</v>
      </c>
      <c r="E383" s="244">
        <v>9346.32</v>
      </c>
      <c r="F383" s="244">
        <v>490.88</v>
      </c>
      <c r="G383" s="244"/>
      <c r="H383" s="237">
        <f t="shared" si="58"/>
        <v>9837.1999999999989</v>
      </c>
    </row>
    <row r="384" spans="1:8" s="204" customFormat="1" ht="12" customHeight="1" x14ac:dyDescent="0.2">
      <c r="A384" s="221"/>
      <c r="B384" s="220"/>
      <c r="C384" s="226">
        <v>4119</v>
      </c>
      <c r="D384" s="251" t="s">
        <v>337</v>
      </c>
      <c r="E384" s="244">
        <v>1743.29</v>
      </c>
      <c r="F384" s="244">
        <v>91.56</v>
      </c>
      <c r="G384" s="244"/>
      <c r="H384" s="237">
        <f t="shared" si="58"/>
        <v>1834.85</v>
      </c>
    </row>
    <row r="385" spans="1:8" s="204" customFormat="1" ht="12" customHeight="1" x14ac:dyDescent="0.2">
      <c r="A385" s="221"/>
      <c r="B385" s="220"/>
      <c r="C385" s="226">
        <v>4127</v>
      </c>
      <c r="D385" s="259" t="s">
        <v>362</v>
      </c>
      <c r="E385" s="244">
        <v>1320.54</v>
      </c>
      <c r="F385" s="244">
        <v>68.88</v>
      </c>
      <c r="G385" s="244"/>
      <c r="H385" s="237">
        <f t="shared" si="58"/>
        <v>1389.42</v>
      </c>
    </row>
    <row r="386" spans="1:8" s="204" customFormat="1" ht="12" customHeight="1" x14ac:dyDescent="0.2">
      <c r="A386" s="221"/>
      <c r="B386" s="220"/>
      <c r="C386" s="226">
        <v>4129</v>
      </c>
      <c r="D386" s="259" t="s">
        <v>362</v>
      </c>
      <c r="E386" s="244">
        <v>246.31</v>
      </c>
      <c r="F386" s="244">
        <v>12.85</v>
      </c>
      <c r="G386" s="244"/>
      <c r="H386" s="237">
        <f t="shared" si="58"/>
        <v>259.16000000000003</v>
      </c>
    </row>
    <row r="387" spans="1:8" s="204" customFormat="1" ht="12" customHeight="1" x14ac:dyDescent="0.2">
      <c r="A387" s="221"/>
      <c r="B387" s="220"/>
      <c r="C387" s="214"/>
      <c r="D387" s="259" t="s">
        <v>364</v>
      </c>
      <c r="E387" s="236"/>
      <c r="F387" s="236"/>
      <c r="G387" s="237"/>
      <c r="H387" s="236"/>
    </row>
    <row r="388" spans="1:8" s="204" customFormat="1" ht="12" customHeight="1" x14ac:dyDescent="0.2">
      <c r="A388" s="221"/>
      <c r="B388" s="220"/>
      <c r="C388" s="214"/>
      <c r="D388" s="259" t="s">
        <v>365</v>
      </c>
      <c r="E388" s="236"/>
      <c r="F388" s="236"/>
      <c r="G388" s="237"/>
      <c r="H388" s="236"/>
    </row>
    <row r="389" spans="1:8" s="204" customFormat="1" ht="12" customHeight="1" x14ac:dyDescent="0.2">
      <c r="A389" s="221"/>
      <c r="B389" s="220"/>
      <c r="C389" s="258"/>
      <c r="D389" s="328" t="s">
        <v>366</v>
      </c>
      <c r="E389" s="317">
        <v>935076.35000000009</v>
      </c>
      <c r="F389" s="318">
        <f>SUM(F390:F395)</f>
        <v>1044.8399999999999</v>
      </c>
      <c r="G389" s="318">
        <f>SUM(G390:G395)</f>
        <v>1044.8399999999999</v>
      </c>
      <c r="H389" s="317">
        <f t="shared" ref="H389:H395" si="59">SUM(E389+F389-G389)</f>
        <v>935076.35000000009</v>
      </c>
    </row>
    <row r="390" spans="1:8" s="204" customFormat="1" ht="12" customHeight="1" x14ac:dyDescent="0.2">
      <c r="A390" s="221"/>
      <c r="B390" s="220"/>
      <c r="C390" s="256">
        <v>4017</v>
      </c>
      <c r="D390" s="257" t="s">
        <v>284</v>
      </c>
      <c r="E390" s="237">
        <v>300385.28999999998</v>
      </c>
      <c r="F390" s="237"/>
      <c r="G390" s="237">
        <v>338.13</v>
      </c>
      <c r="H390" s="237">
        <f t="shared" si="59"/>
        <v>300047.15999999997</v>
      </c>
    </row>
    <row r="391" spans="1:8" s="204" customFormat="1" ht="12" customHeight="1" x14ac:dyDescent="0.2">
      <c r="A391" s="221"/>
      <c r="B391" s="220"/>
      <c r="C391" s="256">
        <v>4019</v>
      </c>
      <c r="D391" s="257" t="s">
        <v>284</v>
      </c>
      <c r="E391" s="237">
        <v>73284.67</v>
      </c>
      <c r="F391" s="237"/>
      <c r="G391" s="237">
        <v>112.71</v>
      </c>
      <c r="H391" s="237">
        <f t="shared" si="59"/>
        <v>73171.959999999992</v>
      </c>
    </row>
    <row r="392" spans="1:8" s="204" customFormat="1" ht="12" customHeight="1" x14ac:dyDescent="0.2">
      <c r="A392" s="221"/>
      <c r="B392" s="220"/>
      <c r="C392" s="226">
        <v>4267</v>
      </c>
      <c r="D392" s="259" t="s">
        <v>268</v>
      </c>
      <c r="E392" s="237">
        <v>12616</v>
      </c>
      <c r="F392" s="237"/>
      <c r="G392" s="237">
        <v>594</v>
      </c>
      <c r="H392" s="237">
        <f t="shared" si="59"/>
        <v>12022</v>
      </c>
    </row>
    <row r="393" spans="1:8" s="204" customFormat="1" ht="12" customHeight="1" x14ac:dyDescent="0.2">
      <c r="A393" s="221"/>
      <c r="B393" s="220"/>
      <c r="C393" s="226">
        <v>4437</v>
      </c>
      <c r="D393" s="259" t="s">
        <v>367</v>
      </c>
      <c r="E393" s="237">
        <v>2300</v>
      </c>
      <c r="F393" s="237">
        <v>594</v>
      </c>
      <c r="G393" s="237"/>
      <c r="H393" s="237">
        <f t="shared" si="59"/>
        <v>2894</v>
      </c>
    </row>
    <row r="394" spans="1:8" s="204" customFormat="1" ht="12" customHeight="1" x14ac:dyDescent="0.2">
      <c r="A394" s="221"/>
      <c r="B394" s="220"/>
      <c r="C394" s="226">
        <v>4447</v>
      </c>
      <c r="D394" s="259" t="s">
        <v>293</v>
      </c>
      <c r="E394" s="237">
        <v>4650.78</v>
      </c>
      <c r="F394" s="237">
        <v>338.13</v>
      </c>
      <c r="G394" s="237"/>
      <c r="H394" s="237">
        <f t="shared" si="59"/>
        <v>4988.91</v>
      </c>
    </row>
    <row r="395" spans="1:8" s="204" customFormat="1" ht="12" customHeight="1" x14ac:dyDescent="0.2">
      <c r="A395" s="221"/>
      <c r="B395" s="220"/>
      <c r="C395" s="226">
        <v>4449</v>
      </c>
      <c r="D395" s="259" t="s">
        <v>293</v>
      </c>
      <c r="E395" s="237">
        <v>1550.26</v>
      </c>
      <c r="F395" s="237">
        <v>112.71</v>
      </c>
      <c r="G395" s="237"/>
      <c r="H395" s="237">
        <f t="shared" si="59"/>
        <v>1662.97</v>
      </c>
    </row>
    <row r="396" spans="1:8" s="204" customFormat="1" ht="12" customHeight="1" thickBot="1" x14ac:dyDescent="0.25">
      <c r="A396" s="219">
        <v>853</v>
      </c>
      <c r="B396" s="220"/>
      <c r="C396" s="221"/>
      <c r="D396" s="222" t="s">
        <v>368</v>
      </c>
      <c r="E396" s="218">
        <v>13995000.9</v>
      </c>
      <c r="F396" s="224">
        <f>SUM(F397,F401)</f>
        <v>9171.5300000000007</v>
      </c>
      <c r="G396" s="224">
        <f>SUM(G397,G401)</f>
        <v>9171.5300000000007</v>
      </c>
      <c r="H396" s="218">
        <f t="shared" si="56"/>
        <v>13995000.9</v>
      </c>
    </row>
    <row r="397" spans="1:8" s="204" customFormat="1" ht="12" customHeight="1" thickTop="1" x14ac:dyDescent="0.2">
      <c r="A397" s="219"/>
      <c r="B397" s="238">
        <v>85321</v>
      </c>
      <c r="C397" s="214"/>
      <c r="D397" s="227" t="s">
        <v>369</v>
      </c>
      <c r="E397" s="249">
        <v>336503</v>
      </c>
      <c r="F397" s="229">
        <f>SUM(F398)</f>
        <v>4400</v>
      </c>
      <c r="G397" s="229">
        <f>SUM(G398)</f>
        <v>4400</v>
      </c>
      <c r="H397" s="228">
        <f t="shared" si="56"/>
        <v>336503</v>
      </c>
    </row>
    <row r="398" spans="1:8" s="204" customFormat="1" ht="12" customHeight="1" x14ac:dyDescent="0.2">
      <c r="A398" s="219"/>
      <c r="B398" s="238"/>
      <c r="C398" s="214"/>
      <c r="D398" s="316" t="s">
        <v>370</v>
      </c>
      <c r="E398" s="326">
        <v>70521</v>
      </c>
      <c r="F398" s="323">
        <f>SUM(F399:F400)</f>
        <v>4400</v>
      </c>
      <c r="G398" s="323">
        <f>SUM(G399:G400)</f>
        <v>4400</v>
      </c>
      <c r="H398" s="288">
        <f t="shared" si="56"/>
        <v>70521</v>
      </c>
    </row>
    <row r="399" spans="1:8" s="204" customFormat="1" ht="12" customHeight="1" x14ac:dyDescent="0.2">
      <c r="A399" s="219"/>
      <c r="B399" s="238"/>
      <c r="C399" s="226">
        <v>4170</v>
      </c>
      <c r="D399" s="251" t="s">
        <v>278</v>
      </c>
      <c r="E399" s="252">
        <v>39600</v>
      </c>
      <c r="F399" s="236"/>
      <c r="G399" s="236">
        <v>4400</v>
      </c>
      <c r="H399" s="237">
        <f t="shared" si="56"/>
        <v>35200</v>
      </c>
    </row>
    <row r="400" spans="1:8" s="204" customFormat="1" ht="12" customHeight="1" x14ac:dyDescent="0.2">
      <c r="A400" s="219"/>
      <c r="B400" s="238"/>
      <c r="C400" s="226">
        <v>4300</v>
      </c>
      <c r="D400" s="251" t="s">
        <v>266</v>
      </c>
      <c r="E400" s="252">
        <v>27020</v>
      </c>
      <c r="F400" s="236">
        <v>4400</v>
      </c>
      <c r="G400" s="236"/>
      <c r="H400" s="237">
        <f t="shared" si="56"/>
        <v>31420</v>
      </c>
    </row>
    <row r="401" spans="1:8" s="204" customFormat="1" ht="12" customHeight="1" x14ac:dyDescent="0.2">
      <c r="A401" s="221"/>
      <c r="B401" s="238">
        <v>85395</v>
      </c>
      <c r="C401" s="214"/>
      <c r="D401" s="227" t="s">
        <v>253</v>
      </c>
      <c r="E401" s="249">
        <v>10019728.9</v>
      </c>
      <c r="F401" s="228">
        <f>SUM(F402,F408)</f>
        <v>4771.5300000000007</v>
      </c>
      <c r="G401" s="228">
        <f>SUM(G402,G408)</f>
        <v>4771.5300000000007</v>
      </c>
      <c r="H401" s="228">
        <f t="shared" si="56"/>
        <v>10019728.9</v>
      </c>
    </row>
    <row r="402" spans="1:8" s="204" customFormat="1" ht="12" customHeight="1" x14ac:dyDescent="0.2">
      <c r="A402" s="221"/>
      <c r="B402" s="238"/>
      <c r="C402" s="258"/>
      <c r="D402" s="328" t="s">
        <v>371</v>
      </c>
      <c r="E402" s="317">
        <v>4837719</v>
      </c>
      <c r="F402" s="318">
        <f>SUM(F403:F407)</f>
        <v>1730</v>
      </c>
      <c r="G402" s="318">
        <f>SUM(G403:G407)</f>
        <v>1730</v>
      </c>
      <c r="H402" s="317">
        <f t="shared" si="56"/>
        <v>4837719</v>
      </c>
    </row>
    <row r="403" spans="1:8" s="204" customFormat="1" ht="12" customHeight="1" x14ac:dyDescent="0.2">
      <c r="A403" s="221"/>
      <c r="B403" s="238"/>
      <c r="C403" s="226">
        <v>4110</v>
      </c>
      <c r="D403" s="251" t="s">
        <v>288</v>
      </c>
      <c r="E403" s="252">
        <v>369928</v>
      </c>
      <c r="F403" s="244"/>
      <c r="G403" s="244">
        <v>200</v>
      </c>
      <c r="H403" s="237">
        <f t="shared" si="56"/>
        <v>369728</v>
      </c>
    </row>
    <row r="404" spans="1:8" s="204" customFormat="1" ht="12" customHeight="1" x14ac:dyDescent="0.2">
      <c r="A404" s="221"/>
      <c r="B404" s="238"/>
      <c r="C404" s="226">
        <v>4120</v>
      </c>
      <c r="D404" s="251" t="s">
        <v>289</v>
      </c>
      <c r="E404" s="252">
        <v>35853</v>
      </c>
      <c r="F404" s="244">
        <v>200</v>
      </c>
      <c r="G404" s="244"/>
      <c r="H404" s="237">
        <f t="shared" si="56"/>
        <v>36053</v>
      </c>
    </row>
    <row r="405" spans="1:8" s="204" customFormat="1" ht="12" customHeight="1" x14ac:dyDescent="0.2">
      <c r="A405" s="221"/>
      <c r="B405" s="238"/>
      <c r="C405" s="226">
        <v>4260</v>
      </c>
      <c r="D405" s="251" t="s">
        <v>268</v>
      </c>
      <c r="E405" s="252">
        <v>242850</v>
      </c>
      <c r="F405" s="244">
        <v>1480</v>
      </c>
      <c r="G405" s="244"/>
      <c r="H405" s="237">
        <f t="shared" si="56"/>
        <v>244330</v>
      </c>
    </row>
    <row r="406" spans="1:8" s="204" customFormat="1" ht="12" customHeight="1" x14ac:dyDescent="0.2">
      <c r="A406" s="221"/>
      <c r="B406" s="238"/>
      <c r="C406" s="226">
        <v>4360</v>
      </c>
      <c r="D406" s="251" t="s">
        <v>291</v>
      </c>
      <c r="E406" s="252">
        <v>4700</v>
      </c>
      <c r="F406" s="244">
        <v>50</v>
      </c>
      <c r="G406" s="244"/>
      <c r="H406" s="237">
        <f t="shared" si="56"/>
        <v>4750</v>
      </c>
    </row>
    <row r="407" spans="1:8" s="204" customFormat="1" ht="12" customHeight="1" x14ac:dyDescent="0.2">
      <c r="A407" s="221"/>
      <c r="B407" s="238"/>
      <c r="C407" s="226">
        <v>4440</v>
      </c>
      <c r="D407" s="251" t="s">
        <v>293</v>
      </c>
      <c r="E407" s="252">
        <v>63747</v>
      </c>
      <c r="F407" s="244"/>
      <c r="G407" s="244">
        <v>1530</v>
      </c>
      <c r="H407" s="237">
        <f t="shared" si="56"/>
        <v>62217</v>
      </c>
    </row>
    <row r="408" spans="1:8" s="204" customFormat="1" ht="33.75" customHeight="1" x14ac:dyDescent="0.2">
      <c r="A408" s="221"/>
      <c r="B408" s="238"/>
      <c r="C408" s="258"/>
      <c r="D408" s="329" t="s">
        <v>372</v>
      </c>
      <c r="E408" s="317">
        <v>327936.99</v>
      </c>
      <c r="F408" s="318">
        <f>SUM(F409:F412)</f>
        <v>3041.53</v>
      </c>
      <c r="G408" s="318">
        <f>SUM(G409:G412)</f>
        <v>3041.53</v>
      </c>
      <c r="H408" s="317">
        <f>SUM(E408+F408-G408)</f>
        <v>327936.99</v>
      </c>
    </row>
    <row r="409" spans="1:8" s="204" customFormat="1" ht="12" customHeight="1" x14ac:dyDescent="0.2">
      <c r="A409" s="221"/>
      <c r="B409" s="238"/>
      <c r="C409" s="226">
        <v>4010</v>
      </c>
      <c r="D409" s="251" t="s">
        <v>284</v>
      </c>
      <c r="E409" s="252">
        <v>211966.42</v>
      </c>
      <c r="F409" s="237">
        <v>2656.25</v>
      </c>
      <c r="G409" s="237"/>
      <c r="H409" s="237">
        <f t="shared" ref="H409:H413" si="60">SUM(E409+F409-G409)</f>
        <v>214622.67</v>
      </c>
    </row>
    <row r="410" spans="1:8" s="204" customFormat="1" ht="12" customHeight="1" x14ac:dyDescent="0.2">
      <c r="A410" s="221"/>
      <c r="B410" s="238"/>
      <c r="C410" s="226">
        <v>4110</v>
      </c>
      <c r="D410" s="251" t="s">
        <v>288</v>
      </c>
      <c r="E410" s="252">
        <v>36873.17</v>
      </c>
      <c r="F410" s="237">
        <v>343.73</v>
      </c>
      <c r="G410" s="237"/>
      <c r="H410" s="237">
        <f t="shared" si="60"/>
        <v>37216.9</v>
      </c>
    </row>
    <row r="411" spans="1:8" s="204" customFormat="1" ht="12" customHeight="1" x14ac:dyDescent="0.2">
      <c r="A411" s="221"/>
      <c r="B411" s="238"/>
      <c r="C411" s="226">
        <v>4120</v>
      </c>
      <c r="D411" s="251" t="s">
        <v>362</v>
      </c>
      <c r="E411" s="252">
        <v>5310.78</v>
      </c>
      <c r="F411" s="237">
        <v>41.55</v>
      </c>
      <c r="G411" s="237"/>
      <c r="H411" s="237">
        <f t="shared" si="60"/>
        <v>5352.33</v>
      </c>
    </row>
    <row r="412" spans="1:8" s="204" customFormat="1" ht="12" customHeight="1" x14ac:dyDescent="0.2">
      <c r="A412" s="221"/>
      <c r="B412" s="238"/>
      <c r="C412" s="258" t="s">
        <v>279</v>
      </c>
      <c r="D412" s="259" t="s">
        <v>280</v>
      </c>
      <c r="E412" s="252">
        <v>64840.14</v>
      </c>
      <c r="F412" s="237"/>
      <c r="G412" s="237">
        <v>3041.53</v>
      </c>
      <c r="H412" s="237">
        <f t="shared" si="60"/>
        <v>61798.61</v>
      </c>
    </row>
    <row r="413" spans="1:8" s="204" customFormat="1" ht="12" customHeight="1" thickBot="1" x14ac:dyDescent="0.25">
      <c r="A413" s="220">
        <v>854</v>
      </c>
      <c r="B413" s="220"/>
      <c r="C413" s="221"/>
      <c r="D413" s="222" t="s">
        <v>243</v>
      </c>
      <c r="E413" s="218">
        <v>17455628.440000001</v>
      </c>
      <c r="F413" s="224">
        <f>SUM(F414,F418,F425,F431,F434)</f>
        <v>19132</v>
      </c>
      <c r="G413" s="224">
        <f>SUM(G414,G418,G425,G431,G434)</f>
        <v>13134</v>
      </c>
      <c r="H413" s="218">
        <f t="shared" si="60"/>
        <v>17461626.440000001</v>
      </c>
    </row>
    <row r="414" spans="1:8" s="204" customFormat="1" ht="12" customHeight="1" thickTop="1" x14ac:dyDescent="0.2">
      <c r="A414" s="220"/>
      <c r="B414" s="226">
        <v>85404</v>
      </c>
      <c r="C414" s="214"/>
      <c r="D414" s="276" t="s">
        <v>139</v>
      </c>
      <c r="E414" s="228">
        <v>962905</v>
      </c>
      <c r="F414" s="229">
        <f>SUM(F415)</f>
        <v>13000</v>
      </c>
      <c r="G414" s="229">
        <f>SUM(G415)</f>
        <v>0</v>
      </c>
      <c r="H414" s="228">
        <f t="shared" ref="H414:H416" si="61">SUM(E414+F414-G414)</f>
        <v>975905</v>
      </c>
    </row>
    <row r="415" spans="1:8" s="204" customFormat="1" ht="12" customHeight="1" x14ac:dyDescent="0.2">
      <c r="A415" s="220"/>
      <c r="B415" s="238"/>
      <c r="C415" s="214"/>
      <c r="D415" s="316" t="s">
        <v>175</v>
      </c>
      <c r="E415" s="288">
        <v>447217</v>
      </c>
      <c r="F415" s="323">
        <f>SUM(F416:F416)</f>
        <v>13000</v>
      </c>
      <c r="G415" s="323">
        <f>SUM(G416:G416)</f>
        <v>0</v>
      </c>
      <c r="H415" s="317">
        <f t="shared" si="61"/>
        <v>460217</v>
      </c>
    </row>
    <row r="416" spans="1:8" s="204" customFormat="1" ht="12" customHeight="1" x14ac:dyDescent="0.2">
      <c r="A416" s="245"/>
      <c r="B416" s="263"/>
      <c r="C416" s="270">
        <v>4790</v>
      </c>
      <c r="D416" s="271" t="s">
        <v>297</v>
      </c>
      <c r="E416" s="228">
        <v>322984</v>
      </c>
      <c r="F416" s="248">
        <v>13000</v>
      </c>
      <c r="G416" s="248"/>
      <c r="H416" s="229">
        <f t="shared" si="61"/>
        <v>335984</v>
      </c>
    </row>
    <row r="417" spans="1:8" s="204" customFormat="1" ht="12" customHeight="1" x14ac:dyDescent="0.2">
      <c r="A417" s="220"/>
      <c r="B417" s="226">
        <v>85406</v>
      </c>
      <c r="C417" s="226"/>
      <c r="D417" s="251" t="s">
        <v>373</v>
      </c>
      <c r="E417" s="223"/>
      <c r="F417" s="289"/>
      <c r="G417" s="289"/>
      <c r="H417" s="223"/>
    </row>
    <row r="418" spans="1:8" s="204" customFormat="1" ht="12" customHeight="1" x14ac:dyDescent="0.2">
      <c r="A418" s="220"/>
      <c r="B418" s="226"/>
      <c r="C418" s="214"/>
      <c r="D418" s="276" t="s">
        <v>374</v>
      </c>
      <c r="E418" s="228">
        <v>4315219.9400000004</v>
      </c>
      <c r="F418" s="229">
        <f>SUM(F419)</f>
        <v>0</v>
      </c>
      <c r="G418" s="229">
        <f>SUM(G419)</f>
        <v>13000</v>
      </c>
      <c r="H418" s="228">
        <f t="shared" ref="H418" si="62">SUM(E418+F418-G418)</f>
        <v>4302219.9400000004</v>
      </c>
    </row>
    <row r="419" spans="1:8" s="204" customFormat="1" ht="12" customHeight="1" x14ac:dyDescent="0.2">
      <c r="A419" s="220"/>
      <c r="B419" s="220"/>
      <c r="C419" s="214"/>
      <c r="D419" s="316" t="s">
        <v>175</v>
      </c>
      <c r="E419" s="288">
        <v>4257483.08</v>
      </c>
      <c r="F419" s="288">
        <f>SUM(F420:F424)</f>
        <v>0</v>
      </c>
      <c r="G419" s="288">
        <f>SUM(G420:G424)</f>
        <v>13000</v>
      </c>
      <c r="H419" s="317">
        <f>SUM(E419+F419-G419)</f>
        <v>4244483.08</v>
      </c>
    </row>
    <row r="420" spans="1:8" s="204" customFormat="1" ht="21" customHeight="1" x14ac:dyDescent="0.2">
      <c r="A420" s="220"/>
      <c r="B420" s="220"/>
      <c r="C420" s="253">
        <v>4140</v>
      </c>
      <c r="D420" s="254" t="s">
        <v>267</v>
      </c>
      <c r="E420" s="252">
        <v>22000</v>
      </c>
      <c r="F420" s="244"/>
      <c r="G420" s="244">
        <v>7488</v>
      </c>
      <c r="H420" s="236">
        <f t="shared" ref="H420:H424" si="63">SUM(E420+F420-G420)</f>
        <v>14512</v>
      </c>
    </row>
    <row r="421" spans="1:8" s="204" customFormat="1" ht="12" customHeight="1" x14ac:dyDescent="0.2">
      <c r="A421" s="220"/>
      <c r="B421" s="220"/>
      <c r="C421" s="226">
        <v>4170</v>
      </c>
      <c r="D421" s="251" t="s">
        <v>278</v>
      </c>
      <c r="E421" s="252">
        <v>1117</v>
      </c>
      <c r="F421" s="244"/>
      <c r="G421" s="244">
        <v>1117</v>
      </c>
      <c r="H421" s="236">
        <f t="shared" si="63"/>
        <v>0</v>
      </c>
    </row>
    <row r="422" spans="1:8" s="204" customFormat="1" ht="12" customHeight="1" x14ac:dyDescent="0.2">
      <c r="A422" s="220"/>
      <c r="B422" s="220"/>
      <c r="C422" s="258" t="s">
        <v>279</v>
      </c>
      <c r="D422" s="259" t="s">
        <v>280</v>
      </c>
      <c r="E422" s="252">
        <v>30789</v>
      </c>
      <c r="F422" s="244"/>
      <c r="G422" s="244">
        <v>1500</v>
      </c>
      <c r="H422" s="236">
        <f t="shared" si="63"/>
        <v>29289</v>
      </c>
    </row>
    <row r="423" spans="1:8" s="204" customFormat="1" ht="12" customHeight="1" x14ac:dyDescent="0.2">
      <c r="A423" s="220"/>
      <c r="B423" s="220"/>
      <c r="C423" s="226">
        <v>4360</v>
      </c>
      <c r="D423" s="251" t="s">
        <v>291</v>
      </c>
      <c r="E423" s="252">
        <v>5079</v>
      </c>
      <c r="F423" s="244"/>
      <c r="G423" s="244">
        <v>1779</v>
      </c>
      <c r="H423" s="236">
        <f t="shared" si="63"/>
        <v>3300</v>
      </c>
    </row>
    <row r="424" spans="1:8" s="204" customFormat="1" ht="24" customHeight="1" x14ac:dyDescent="0.2">
      <c r="A424" s="220"/>
      <c r="B424" s="220"/>
      <c r="C424" s="242">
        <v>4700</v>
      </c>
      <c r="D424" s="290" t="s">
        <v>281</v>
      </c>
      <c r="E424" s="252">
        <v>3300</v>
      </c>
      <c r="F424" s="244"/>
      <c r="G424" s="244">
        <v>1116</v>
      </c>
      <c r="H424" s="236">
        <f t="shared" si="63"/>
        <v>2184</v>
      </c>
    </row>
    <row r="425" spans="1:8" s="204" customFormat="1" ht="12.6" customHeight="1" x14ac:dyDescent="0.2">
      <c r="A425" s="220"/>
      <c r="B425" s="256">
        <v>85410</v>
      </c>
      <c r="C425" s="285"/>
      <c r="D425" s="269" t="s">
        <v>144</v>
      </c>
      <c r="E425" s="229">
        <v>4109508.6399999997</v>
      </c>
      <c r="F425" s="229">
        <f>SUM(F426,F429)</f>
        <v>2532</v>
      </c>
      <c r="G425" s="229">
        <f>SUM(G426,G429)</f>
        <v>3</v>
      </c>
      <c r="H425" s="228">
        <f>SUM(E425+F425-G425)</f>
        <v>4112037.6399999997</v>
      </c>
    </row>
    <row r="426" spans="1:8" s="204" customFormat="1" ht="12" customHeight="1" x14ac:dyDescent="0.2">
      <c r="A426" s="220"/>
      <c r="B426" s="226"/>
      <c r="C426" s="214"/>
      <c r="D426" s="316" t="s">
        <v>175</v>
      </c>
      <c r="E426" s="317">
        <v>2820353.9699999997</v>
      </c>
      <c r="F426" s="323">
        <f>SUM(F427:F428)</f>
        <v>134</v>
      </c>
      <c r="G426" s="323">
        <f>SUM(G427:G428)</f>
        <v>3</v>
      </c>
      <c r="H426" s="288">
        <f t="shared" ref="H426:H428" si="64">SUM(E426+F426-G426)</f>
        <v>2820484.9699999997</v>
      </c>
    </row>
    <row r="427" spans="1:8" s="204" customFormat="1" ht="12" customHeight="1" x14ac:dyDescent="0.2">
      <c r="A427" s="220"/>
      <c r="B427" s="226"/>
      <c r="C427" s="226">
        <v>4120</v>
      </c>
      <c r="D427" s="251" t="s">
        <v>289</v>
      </c>
      <c r="E427" s="252">
        <v>34605</v>
      </c>
      <c r="F427" s="252"/>
      <c r="G427" s="252">
        <v>3</v>
      </c>
      <c r="H427" s="236">
        <f t="shared" si="64"/>
        <v>34602</v>
      </c>
    </row>
    <row r="428" spans="1:8" s="204" customFormat="1" ht="12" customHeight="1" x14ac:dyDescent="0.2">
      <c r="A428" s="220"/>
      <c r="B428" s="226"/>
      <c r="C428" s="226">
        <v>4440</v>
      </c>
      <c r="D428" s="251" t="s">
        <v>293</v>
      </c>
      <c r="E428" s="252">
        <v>74696</v>
      </c>
      <c r="F428" s="252">
        <v>134</v>
      </c>
      <c r="G428" s="252"/>
      <c r="H428" s="236">
        <f t="shared" si="64"/>
        <v>74830</v>
      </c>
    </row>
    <row r="429" spans="1:8" s="204" customFormat="1" ht="22.15" customHeight="1" x14ac:dyDescent="0.2">
      <c r="A429" s="220"/>
      <c r="B429" s="226"/>
      <c r="C429" s="214"/>
      <c r="D429" s="319" t="s">
        <v>298</v>
      </c>
      <c r="E429" s="288">
        <v>7147.67</v>
      </c>
      <c r="F429" s="288">
        <f>SUM(F430:F430)</f>
        <v>2398</v>
      </c>
      <c r="G429" s="288">
        <f>SUM(G430:G430)</f>
        <v>0</v>
      </c>
      <c r="H429" s="317">
        <f>SUM(E429+F429-G429)</f>
        <v>9545.67</v>
      </c>
    </row>
    <row r="430" spans="1:8" s="204" customFormat="1" ht="21.75" customHeight="1" x14ac:dyDescent="0.2">
      <c r="A430" s="220"/>
      <c r="B430" s="226"/>
      <c r="C430" s="267" t="s">
        <v>178</v>
      </c>
      <c r="D430" s="254" t="s">
        <v>299</v>
      </c>
      <c r="E430" s="244">
        <v>1147.67</v>
      </c>
      <c r="F430" s="252">
        <v>2398</v>
      </c>
      <c r="G430" s="252"/>
      <c r="H430" s="236">
        <f t="shared" ref="H430" si="65">SUM(E430+F430-G430)</f>
        <v>3545.67</v>
      </c>
    </row>
    <row r="431" spans="1:8" s="204" customFormat="1" ht="12" customHeight="1" x14ac:dyDescent="0.2">
      <c r="A431" s="220"/>
      <c r="B431" s="226">
        <v>85415</v>
      </c>
      <c r="C431" s="238"/>
      <c r="D431" s="227" t="s">
        <v>244</v>
      </c>
      <c r="E431" s="249">
        <v>1085875</v>
      </c>
      <c r="F431" s="228">
        <f>SUM(F432)</f>
        <v>3600</v>
      </c>
      <c r="G431" s="228">
        <f>SUM(G432)</f>
        <v>0</v>
      </c>
      <c r="H431" s="249">
        <f>SUM(E431+F431-G431)</f>
        <v>1089475</v>
      </c>
    </row>
    <row r="432" spans="1:8" s="204" customFormat="1" ht="12" customHeight="1" x14ac:dyDescent="0.2">
      <c r="A432" s="220"/>
      <c r="B432" s="257"/>
      <c r="C432" s="214"/>
      <c r="D432" s="316" t="s">
        <v>175</v>
      </c>
      <c r="E432" s="317">
        <v>99095</v>
      </c>
      <c r="F432" s="317">
        <f>SUM(F433)</f>
        <v>3600</v>
      </c>
      <c r="G432" s="317">
        <f>SUM(G433)</f>
        <v>0</v>
      </c>
      <c r="H432" s="323">
        <f t="shared" ref="H432:H433" si="66">SUM(E432+F432-G432)</f>
        <v>102695</v>
      </c>
    </row>
    <row r="433" spans="1:8" s="204" customFormat="1" ht="12" customHeight="1" x14ac:dyDescent="0.2">
      <c r="A433" s="220"/>
      <c r="B433" s="257"/>
      <c r="C433" s="226">
        <v>3240</v>
      </c>
      <c r="D433" s="251" t="s">
        <v>375</v>
      </c>
      <c r="E433" s="252">
        <v>5400</v>
      </c>
      <c r="F433" s="252">
        <v>3600</v>
      </c>
      <c r="G433" s="252"/>
      <c r="H433" s="237">
        <f t="shared" si="66"/>
        <v>9000</v>
      </c>
    </row>
    <row r="434" spans="1:8" s="204" customFormat="1" ht="12" customHeight="1" x14ac:dyDescent="0.2">
      <c r="A434" s="220"/>
      <c r="B434" s="226">
        <v>85420</v>
      </c>
      <c r="C434" s="226"/>
      <c r="D434" s="276" t="s">
        <v>376</v>
      </c>
      <c r="E434" s="228">
        <v>5703293.2599999998</v>
      </c>
      <c r="F434" s="229">
        <f>SUM(F435)</f>
        <v>0</v>
      </c>
      <c r="G434" s="229">
        <f>SUM(G435)</f>
        <v>131</v>
      </c>
      <c r="H434" s="228">
        <f>SUM(E434+F434-G434)</f>
        <v>5703162.2599999998</v>
      </c>
    </row>
    <row r="435" spans="1:8" s="204" customFormat="1" ht="12" customHeight="1" x14ac:dyDescent="0.2">
      <c r="A435" s="220"/>
      <c r="B435" s="238"/>
      <c r="C435" s="214"/>
      <c r="D435" s="316" t="s">
        <v>175</v>
      </c>
      <c r="E435" s="317">
        <v>5703293.2599999998</v>
      </c>
      <c r="F435" s="323">
        <f>SUM(F436:F436)</f>
        <v>0</v>
      </c>
      <c r="G435" s="323">
        <f>SUM(G436:G436)</f>
        <v>131</v>
      </c>
      <c r="H435" s="317">
        <f>SUM(E435+F435-G435)</f>
        <v>5703162.2599999998</v>
      </c>
    </row>
    <row r="436" spans="1:8" s="204" customFormat="1" ht="12" customHeight="1" x14ac:dyDescent="0.2">
      <c r="A436" s="220"/>
      <c r="B436" s="238"/>
      <c r="C436" s="226">
        <v>4440</v>
      </c>
      <c r="D436" s="251" t="s">
        <v>293</v>
      </c>
      <c r="E436" s="236">
        <v>99447</v>
      </c>
      <c r="F436" s="244"/>
      <c r="G436" s="244">
        <v>131</v>
      </c>
      <c r="H436" s="237">
        <f t="shared" ref="H436" si="67">SUM(E436+F436-G436)</f>
        <v>99316</v>
      </c>
    </row>
    <row r="437" spans="1:8" s="204" customFormat="1" ht="12" customHeight="1" thickBot="1" x14ac:dyDescent="0.25">
      <c r="A437" s="220">
        <v>855</v>
      </c>
      <c r="B437" s="220"/>
      <c r="C437" s="221"/>
      <c r="D437" s="222" t="s">
        <v>255</v>
      </c>
      <c r="E437" s="224">
        <v>23159415.129999999</v>
      </c>
      <c r="F437" s="224">
        <f>SUM(F438,F442)</f>
        <v>34373</v>
      </c>
      <c r="G437" s="224">
        <f>SUM(G438,G442)</f>
        <v>34373</v>
      </c>
      <c r="H437" s="224">
        <f>SUM(E437+F437-G437)</f>
        <v>23159415.129999999</v>
      </c>
    </row>
    <row r="438" spans="1:8" s="204" customFormat="1" ht="12" customHeight="1" thickTop="1" x14ac:dyDescent="0.2">
      <c r="A438" s="220"/>
      <c r="B438" s="238">
        <v>85504</v>
      </c>
      <c r="C438" s="214"/>
      <c r="D438" s="291" t="s">
        <v>377</v>
      </c>
      <c r="E438" s="249">
        <v>745489</v>
      </c>
      <c r="F438" s="228">
        <f>SUM(F439)</f>
        <v>611</v>
      </c>
      <c r="G438" s="228">
        <f>SUM(G439)</f>
        <v>611</v>
      </c>
      <c r="H438" s="228">
        <f t="shared" ref="H438:H461" si="68">SUM(E438+F438-G438)</f>
        <v>745489</v>
      </c>
    </row>
    <row r="439" spans="1:8" s="204" customFormat="1" ht="12" customHeight="1" x14ac:dyDescent="0.2">
      <c r="A439" s="220"/>
      <c r="B439" s="220"/>
      <c r="C439" s="256"/>
      <c r="D439" s="324" t="s">
        <v>378</v>
      </c>
      <c r="E439" s="288">
        <v>715669</v>
      </c>
      <c r="F439" s="318">
        <f>SUM(F440:F441)</f>
        <v>611</v>
      </c>
      <c r="G439" s="318">
        <f>SUM(G440:G441)</f>
        <v>611</v>
      </c>
      <c r="H439" s="317">
        <f t="shared" si="68"/>
        <v>715669</v>
      </c>
    </row>
    <row r="440" spans="1:8" s="204" customFormat="1" ht="12" customHeight="1" x14ac:dyDescent="0.2">
      <c r="A440" s="220"/>
      <c r="B440" s="220"/>
      <c r="C440" s="242">
        <v>4440</v>
      </c>
      <c r="D440" s="275" t="s">
        <v>293</v>
      </c>
      <c r="E440" s="252">
        <v>15503</v>
      </c>
      <c r="F440" s="237">
        <v>611</v>
      </c>
      <c r="G440" s="237"/>
      <c r="H440" s="237">
        <f t="shared" si="68"/>
        <v>16114</v>
      </c>
    </row>
    <row r="441" spans="1:8" s="204" customFormat="1" ht="23.25" customHeight="1" x14ac:dyDescent="0.2">
      <c r="A441" s="220"/>
      <c r="B441" s="220"/>
      <c r="C441" s="242">
        <v>4700</v>
      </c>
      <c r="D441" s="290" t="s">
        <v>281</v>
      </c>
      <c r="E441" s="252">
        <v>5850</v>
      </c>
      <c r="F441" s="237"/>
      <c r="G441" s="237">
        <v>611</v>
      </c>
      <c r="H441" s="237">
        <f t="shared" si="68"/>
        <v>5239</v>
      </c>
    </row>
    <row r="442" spans="1:8" s="204" customFormat="1" ht="12" customHeight="1" x14ac:dyDescent="0.2">
      <c r="A442" s="221"/>
      <c r="B442" s="238">
        <v>85510</v>
      </c>
      <c r="C442" s="226"/>
      <c r="D442" s="227" t="s">
        <v>69</v>
      </c>
      <c r="E442" s="249">
        <v>11621465</v>
      </c>
      <c r="F442" s="228">
        <f>SUM(F443,F446,F456)</f>
        <v>33762</v>
      </c>
      <c r="G442" s="228">
        <f>SUM(G443,G446,G456)</f>
        <v>33762</v>
      </c>
      <c r="H442" s="228">
        <f t="shared" si="68"/>
        <v>11621465</v>
      </c>
    </row>
    <row r="443" spans="1:8" s="204" customFormat="1" ht="12" customHeight="1" x14ac:dyDescent="0.2">
      <c r="A443" s="221"/>
      <c r="B443" s="220"/>
      <c r="C443" s="214"/>
      <c r="D443" s="330" t="s">
        <v>379</v>
      </c>
      <c r="E443" s="317">
        <v>4124152</v>
      </c>
      <c r="F443" s="323">
        <f>SUM(F444:F445)</f>
        <v>3000</v>
      </c>
      <c r="G443" s="323">
        <f>SUM(G444:G445)</f>
        <v>3000</v>
      </c>
      <c r="H443" s="317">
        <f t="shared" si="68"/>
        <v>4124152</v>
      </c>
    </row>
    <row r="444" spans="1:8" s="204" customFormat="1" ht="12" customHeight="1" x14ac:dyDescent="0.2">
      <c r="A444" s="221"/>
      <c r="B444" s="220"/>
      <c r="C444" s="230" t="s">
        <v>380</v>
      </c>
      <c r="D444" s="292" t="s">
        <v>381</v>
      </c>
      <c r="E444" s="252">
        <v>22000</v>
      </c>
      <c r="F444" s="244">
        <v>3000</v>
      </c>
      <c r="G444" s="244"/>
      <c r="H444" s="244">
        <f t="shared" si="68"/>
        <v>25000</v>
      </c>
    </row>
    <row r="445" spans="1:8" s="204" customFormat="1" ht="21.75" customHeight="1" x14ac:dyDescent="0.2">
      <c r="A445" s="221"/>
      <c r="B445" s="220"/>
      <c r="C445" s="242">
        <v>4700</v>
      </c>
      <c r="D445" s="290" t="s">
        <v>281</v>
      </c>
      <c r="E445" s="252">
        <v>16700</v>
      </c>
      <c r="F445" s="244"/>
      <c r="G445" s="244">
        <v>3000</v>
      </c>
      <c r="H445" s="244">
        <f t="shared" si="68"/>
        <v>13700</v>
      </c>
    </row>
    <row r="446" spans="1:8" s="204" customFormat="1" ht="12" customHeight="1" x14ac:dyDescent="0.2">
      <c r="A446" s="221"/>
      <c r="B446" s="220"/>
      <c r="C446" s="214"/>
      <c r="D446" s="331" t="s">
        <v>382</v>
      </c>
      <c r="E446" s="317">
        <v>2562574</v>
      </c>
      <c r="F446" s="323">
        <f>SUM(F447:F455)</f>
        <v>28662</v>
      </c>
      <c r="G446" s="323">
        <f>SUM(G447:G455)</f>
        <v>28662</v>
      </c>
      <c r="H446" s="317">
        <f t="shared" si="68"/>
        <v>2562574</v>
      </c>
    </row>
    <row r="447" spans="1:8" s="204" customFormat="1" ht="12" customHeight="1" x14ac:dyDescent="0.2">
      <c r="A447" s="221"/>
      <c r="B447" s="220"/>
      <c r="C447" s="226">
        <v>4170</v>
      </c>
      <c r="D447" s="251" t="s">
        <v>278</v>
      </c>
      <c r="E447" s="252">
        <v>32890</v>
      </c>
      <c r="F447" s="244">
        <v>6000</v>
      </c>
      <c r="G447" s="244"/>
      <c r="H447" s="244">
        <f t="shared" si="68"/>
        <v>38890</v>
      </c>
    </row>
    <row r="448" spans="1:8" s="204" customFormat="1" ht="12" customHeight="1" x14ac:dyDescent="0.2">
      <c r="A448" s="221"/>
      <c r="B448" s="220"/>
      <c r="C448" s="258" t="s">
        <v>279</v>
      </c>
      <c r="D448" s="259" t="s">
        <v>280</v>
      </c>
      <c r="E448" s="252">
        <v>68580</v>
      </c>
      <c r="F448" s="244">
        <v>10000</v>
      </c>
      <c r="G448" s="244"/>
      <c r="H448" s="244">
        <f t="shared" si="68"/>
        <v>78580</v>
      </c>
    </row>
    <row r="449" spans="1:8" s="204" customFormat="1" ht="12" customHeight="1" x14ac:dyDescent="0.2">
      <c r="A449" s="221"/>
      <c r="B449" s="220"/>
      <c r="C449" s="226">
        <v>4220</v>
      </c>
      <c r="D449" s="251" t="s">
        <v>345</v>
      </c>
      <c r="E449" s="252">
        <v>120300</v>
      </c>
      <c r="F449" s="244">
        <v>2000</v>
      </c>
      <c r="G449" s="244"/>
      <c r="H449" s="244">
        <f t="shared" si="68"/>
        <v>122300</v>
      </c>
    </row>
    <row r="450" spans="1:8" s="204" customFormat="1" ht="12" customHeight="1" x14ac:dyDescent="0.2">
      <c r="A450" s="221"/>
      <c r="B450" s="220"/>
      <c r="C450" s="226">
        <v>4260</v>
      </c>
      <c r="D450" s="251" t="s">
        <v>268</v>
      </c>
      <c r="E450" s="252">
        <v>107280</v>
      </c>
      <c r="F450" s="244"/>
      <c r="G450" s="244">
        <v>10650</v>
      </c>
      <c r="H450" s="244">
        <f t="shared" si="68"/>
        <v>96630</v>
      </c>
    </row>
    <row r="451" spans="1:8" s="204" customFormat="1" ht="12" customHeight="1" x14ac:dyDescent="0.2">
      <c r="A451" s="221"/>
      <c r="B451" s="220"/>
      <c r="C451" s="226">
        <v>4280</v>
      </c>
      <c r="D451" s="251" t="s">
        <v>270</v>
      </c>
      <c r="E451" s="252">
        <v>3006</v>
      </c>
      <c r="F451" s="244">
        <v>800</v>
      </c>
      <c r="G451" s="244"/>
      <c r="H451" s="244">
        <f t="shared" si="68"/>
        <v>3806</v>
      </c>
    </row>
    <row r="452" spans="1:8" s="204" customFormat="1" ht="12" customHeight="1" x14ac:dyDescent="0.2">
      <c r="A452" s="221"/>
      <c r="B452" s="220"/>
      <c r="C452" s="226">
        <v>4300</v>
      </c>
      <c r="D452" s="251" t="s">
        <v>266</v>
      </c>
      <c r="E452" s="252">
        <v>78177</v>
      </c>
      <c r="F452" s="244"/>
      <c r="G452" s="244">
        <v>17512</v>
      </c>
      <c r="H452" s="244">
        <f t="shared" si="68"/>
        <v>60665</v>
      </c>
    </row>
    <row r="453" spans="1:8" s="204" customFormat="1" ht="12" customHeight="1" x14ac:dyDescent="0.2">
      <c r="A453" s="221"/>
      <c r="B453" s="220"/>
      <c r="C453" s="226">
        <v>4410</v>
      </c>
      <c r="D453" s="259" t="s">
        <v>292</v>
      </c>
      <c r="E453" s="252">
        <v>1282</v>
      </c>
      <c r="F453" s="244">
        <v>100</v>
      </c>
      <c r="G453" s="244"/>
      <c r="H453" s="244">
        <f t="shared" si="68"/>
        <v>1382</v>
      </c>
    </row>
    <row r="454" spans="1:8" s="204" customFormat="1" ht="12" customHeight="1" x14ac:dyDescent="0.2">
      <c r="A454" s="221"/>
      <c r="B454" s="220"/>
      <c r="C454" s="226">
        <v>4430</v>
      </c>
      <c r="D454" s="251" t="s">
        <v>271</v>
      </c>
      <c r="E454" s="252">
        <v>5170</v>
      </c>
      <c r="F454" s="244"/>
      <c r="G454" s="244">
        <v>500</v>
      </c>
      <c r="H454" s="244">
        <f t="shared" si="68"/>
        <v>4670</v>
      </c>
    </row>
    <row r="455" spans="1:8" s="204" customFormat="1" ht="12" customHeight="1" x14ac:dyDescent="0.2">
      <c r="A455" s="221"/>
      <c r="B455" s="220"/>
      <c r="C455" s="226">
        <v>4440</v>
      </c>
      <c r="D455" s="251" t="s">
        <v>293</v>
      </c>
      <c r="E455" s="252">
        <v>61421</v>
      </c>
      <c r="F455" s="244">
        <v>9762</v>
      </c>
      <c r="G455" s="244"/>
      <c r="H455" s="244">
        <f t="shared" si="68"/>
        <v>71183</v>
      </c>
    </row>
    <row r="456" spans="1:8" s="204" customFormat="1" ht="12" customHeight="1" x14ac:dyDescent="0.2">
      <c r="A456" s="221"/>
      <c r="B456" s="220"/>
      <c r="C456" s="214"/>
      <c r="D456" s="331" t="s">
        <v>383</v>
      </c>
      <c r="E456" s="317">
        <v>1919744</v>
      </c>
      <c r="F456" s="323">
        <f>SUM(F457:F459)</f>
        <v>2100</v>
      </c>
      <c r="G456" s="323">
        <f>SUM(G457:G459)</f>
        <v>2100</v>
      </c>
      <c r="H456" s="317">
        <f t="shared" si="68"/>
        <v>1919744</v>
      </c>
    </row>
    <row r="457" spans="1:8" s="204" customFormat="1" ht="12" customHeight="1" x14ac:dyDescent="0.2">
      <c r="A457" s="221"/>
      <c r="B457" s="220"/>
      <c r="C457" s="230" t="s">
        <v>380</v>
      </c>
      <c r="D457" s="292" t="s">
        <v>381</v>
      </c>
      <c r="E457" s="252">
        <v>11000</v>
      </c>
      <c r="F457" s="244">
        <v>2000</v>
      </c>
      <c r="G457" s="244"/>
      <c r="H457" s="244">
        <f t="shared" si="68"/>
        <v>13000</v>
      </c>
    </row>
    <row r="458" spans="1:8" s="204" customFormat="1" ht="12" customHeight="1" x14ac:dyDescent="0.2">
      <c r="A458" s="221"/>
      <c r="B458" s="220"/>
      <c r="C458" s="226">
        <v>4410</v>
      </c>
      <c r="D458" s="259" t="s">
        <v>292</v>
      </c>
      <c r="E458" s="252">
        <v>1280</v>
      </c>
      <c r="F458" s="244">
        <v>100</v>
      </c>
      <c r="G458" s="244"/>
      <c r="H458" s="244">
        <f t="shared" si="68"/>
        <v>1380</v>
      </c>
    </row>
    <row r="459" spans="1:8" s="204" customFormat="1" ht="12" customHeight="1" x14ac:dyDescent="0.2">
      <c r="A459" s="221"/>
      <c r="B459" s="220"/>
      <c r="C459" s="226">
        <v>4710</v>
      </c>
      <c r="D459" s="259" t="s">
        <v>296</v>
      </c>
      <c r="E459" s="252">
        <v>12460</v>
      </c>
      <c r="F459" s="244"/>
      <c r="G459" s="244">
        <v>2100</v>
      </c>
      <c r="H459" s="244">
        <f t="shared" si="68"/>
        <v>10360</v>
      </c>
    </row>
    <row r="460" spans="1:8" s="204" customFormat="1" ht="12" customHeight="1" thickBot="1" x14ac:dyDescent="0.25">
      <c r="A460" s="220">
        <v>900</v>
      </c>
      <c r="B460" s="220"/>
      <c r="C460" s="221"/>
      <c r="D460" s="222" t="s">
        <v>384</v>
      </c>
      <c r="E460" s="218">
        <v>75491197.700000003</v>
      </c>
      <c r="F460" s="224">
        <f>SUM(F461)</f>
        <v>100</v>
      </c>
      <c r="G460" s="224">
        <f>SUM(G461)</f>
        <v>100</v>
      </c>
      <c r="H460" s="218">
        <f t="shared" si="68"/>
        <v>75491197.700000003</v>
      </c>
    </row>
    <row r="461" spans="1:8" s="204" customFormat="1" ht="12" customHeight="1" thickTop="1" x14ac:dyDescent="0.2">
      <c r="A461" s="220"/>
      <c r="B461" s="238">
        <v>90004</v>
      </c>
      <c r="C461" s="242"/>
      <c r="D461" s="293" t="s">
        <v>385</v>
      </c>
      <c r="E461" s="249">
        <v>645400</v>
      </c>
      <c r="F461" s="248">
        <f>SUM(F462)</f>
        <v>100</v>
      </c>
      <c r="G461" s="248">
        <f>SUM(G462)</f>
        <v>100</v>
      </c>
      <c r="H461" s="228">
        <f t="shared" si="68"/>
        <v>645400</v>
      </c>
    </row>
    <row r="462" spans="1:8" s="204" customFormat="1" ht="12" customHeight="1" x14ac:dyDescent="0.2">
      <c r="A462" s="220"/>
      <c r="B462" s="294"/>
      <c r="C462" s="242"/>
      <c r="D462" s="332" t="s">
        <v>206</v>
      </c>
      <c r="E462" s="326">
        <v>425400</v>
      </c>
      <c r="F462" s="327">
        <f>SUM(F463:F464)</f>
        <v>100</v>
      </c>
      <c r="G462" s="327">
        <f>SUM(G463:G464)</f>
        <v>100</v>
      </c>
      <c r="H462" s="317">
        <f>SUM(E462+F462-G462)</f>
        <v>425400</v>
      </c>
    </row>
    <row r="463" spans="1:8" s="204" customFormat="1" ht="21" customHeight="1" x14ac:dyDescent="0.2">
      <c r="A463" s="220"/>
      <c r="B463" s="294"/>
      <c r="C463" s="242">
        <v>4390</v>
      </c>
      <c r="D463" s="268" t="s">
        <v>312</v>
      </c>
      <c r="E463" s="252">
        <v>400</v>
      </c>
      <c r="F463" s="244"/>
      <c r="G463" s="244">
        <v>100</v>
      </c>
      <c r="H463" s="252">
        <f t="shared" ref="H463:H464" si="69">SUM(E463+F463-G463)</f>
        <v>300</v>
      </c>
    </row>
    <row r="464" spans="1:8" s="204" customFormat="1" ht="12" customHeight="1" x14ac:dyDescent="0.2">
      <c r="A464" s="245"/>
      <c r="B464" s="295"/>
      <c r="C464" s="264">
        <v>4430</v>
      </c>
      <c r="D464" s="227" t="s">
        <v>271</v>
      </c>
      <c r="E464" s="249">
        <v>3700</v>
      </c>
      <c r="F464" s="248">
        <v>100</v>
      </c>
      <c r="G464" s="248"/>
      <c r="H464" s="249">
        <f t="shared" si="69"/>
        <v>3800</v>
      </c>
    </row>
    <row r="465" spans="1:8" s="204" customFormat="1" ht="18.600000000000001" customHeight="1" thickBot="1" x14ac:dyDescent="0.25">
      <c r="A465" s="294"/>
      <c r="B465" s="238"/>
      <c r="C465" s="226"/>
      <c r="D465" s="217" t="s">
        <v>386</v>
      </c>
      <c r="E465" s="218">
        <v>122299785.87</v>
      </c>
      <c r="F465" s="218">
        <f>SUM(F466,F472,F479,F490,F500,F521)</f>
        <v>122036.39</v>
      </c>
      <c r="G465" s="218">
        <f>SUM(G466,G472,G479,G490,G500,G521)</f>
        <v>89757.45</v>
      </c>
      <c r="H465" s="218">
        <f t="shared" ref="H465:H470" si="70">SUM(E465+F465-G465)</f>
        <v>122332064.81</v>
      </c>
    </row>
    <row r="466" spans="1:8" s="204" customFormat="1" ht="18" customHeight="1" thickTop="1" thickBot="1" x14ac:dyDescent="0.25">
      <c r="A466" s="220">
        <v>750</v>
      </c>
      <c r="B466" s="220"/>
      <c r="C466" s="221"/>
      <c r="D466" s="222" t="s">
        <v>249</v>
      </c>
      <c r="E466" s="218">
        <v>1815534.7999999998</v>
      </c>
      <c r="F466" s="218">
        <f>SUM(F467)</f>
        <v>429.44</v>
      </c>
      <c r="G466" s="218">
        <f>SUM(G467)</f>
        <v>0</v>
      </c>
      <c r="H466" s="218">
        <f t="shared" si="70"/>
        <v>1815964.2399999998</v>
      </c>
    </row>
    <row r="467" spans="1:8" s="204" customFormat="1" ht="12" customHeight="1" thickTop="1" x14ac:dyDescent="0.2">
      <c r="A467" s="220"/>
      <c r="B467" s="226">
        <v>75011</v>
      </c>
      <c r="C467" s="234"/>
      <c r="D467" s="240" t="s">
        <v>250</v>
      </c>
      <c r="E467" s="249">
        <v>1815534.7999999998</v>
      </c>
      <c r="F467" s="229">
        <f>SUM(F468)</f>
        <v>429.44</v>
      </c>
      <c r="G467" s="229">
        <f>SUM(G468)</f>
        <v>0</v>
      </c>
      <c r="H467" s="228">
        <f t="shared" si="70"/>
        <v>1815964.2399999998</v>
      </c>
    </row>
    <row r="468" spans="1:8" s="204" customFormat="1" ht="21" customHeight="1" x14ac:dyDescent="0.2">
      <c r="A468" s="220"/>
      <c r="B468" s="220"/>
      <c r="C468" s="214"/>
      <c r="D468" s="333" t="s">
        <v>387</v>
      </c>
      <c r="E468" s="317">
        <v>18649.8</v>
      </c>
      <c r="F468" s="323">
        <f>SUM(F469:F470)</f>
        <v>429.44</v>
      </c>
      <c r="G468" s="323">
        <f>SUM(G469:G470)</f>
        <v>0</v>
      </c>
      <c r="H468" s="288">
        <f t="shared" si="70"/>
        <v>19079.239999999998</v>
      </c>
    </row>
    <row r="469" spans="1:8" s="204" customFormat="1" ht="22.15" customHeight="1" x14ac:dyDescent="0.2">
      <c r="A469" s="220"/>
      <c r="B469" s="220"/>
      <c r="C469" s="242">
        <v>4740</v>
      </c>
      <c r="D469" s="268" t="s">
        <v>388</v>
      </c>
      <c r="E469" s="244">
        <v>15588.26</v>
      </c>
      <c r="F469" s="244">
        <v>358.95</v>
      </c>
      <c r="G469" s="244"/>
      <c r="H469" s="237">
        <f t="shared" si="70"/>
        <v>15947.210000000001</v>
      </c>
    </row>
    <row r="470" spans="1:8" s="204" customFormat="1" ht="22.15" customHeight="1" x14ac:dyDescent="0.2">
      <c r="A470" s="220"/>
      <c r="B470" s="220"/>
      <c r="C470" s="242">
        <v>4850</v>
      </c>
      <c r="D470" s="268" t="s">
        <v>301</v>
      </c>
      <c r="E470" s="244">
        <v>3061.5399999999995</v>
      </c>
      <c r="F470" s="244">
        <v>70.489999999999995</v>
      </c>
      <c r="G470" s="244"/>
      <c r="H470" s="237">
        <f t="shared" si="70"/>
        <v>3132.0299999999993</v>
      </c>
    </row>
    <row r="471" spans="1:8" s="204" customFormat="1" ht="12" customHeight="1" x14ac:dyDescent="0.2">
      <c r="A471" s="296">
        <v>751</v>
      </c>
      <c r="B471" s="296"/>
      <c r="C471" s="296"/>
      <c r="D471" s="297" t="s">
        <v>389</v>
      </c>
      <c r="E471" s="244"/>
      <c r="F471" s="252"/>
      <c r="G471" s="252"/>
      <c r="H471" s="237"/>
    </row>
    <row r="472" spans="1:8" s="204" customFormat="1" ht="12" customHeight="1" thickBot="1" x14ac:dyDescent="0.25">
      <c r="A472" s="298"/>
      <c r="B472" s="296"/>
      <c r="C472" s="296"/>
      <c r="D472" s="297" t="s">
        <v>390</v>
      </c>
      <c r="E472" s="280">
        <v>15842</v>
      </c>
      <c r="F472" s="255">
        <f>SUM(F474)</f>
        <v>2.5</v>
      </c>
      <c r="G472" s="255">
        <f>SUM(G474)</f>
        <v>2.5</v>
      </c>
      <c r="H472" s="280">
        <f t="shared" ref="H472:H477" si="71">SUM(E472+F472-G472)</f>
        <v>15842</v>
      </c>
    </row>
    <row r="473" spans="1:8" s="204" customFormat="1" ht="12" customHeight="1" thickTop="1" x14ac:dyDescent="0.2">
      <c r="A473" s="298"/>
      <c r="B473" s="299">
        <v>75101</v>
      </c>
      <c r="C473" s="299"/>
      <c r="D473" s="300" t="s">
        <v>389</v>
      </c>
      <c r="E473" s="244"/>
      <c r="F473" s="252"/>
      <c r="G473" s="252"/>
      <c r="H473" s="237"/>
    </row>
    <row r="474" spans="1:8" s="204" customFormat="1" ht="12" customHeight="1" x14ac:dyDescent="0.2">
      <c r="A474" s="298"/>
      <c r="B474" s="299"/>
      <c r="C474" s="299"/>
      <c r="D474" s="301" t="s">
        <v>391</v>
      </c>
      <c r="E474" s="248">
        <v>15842</v>
      </c>
      <c r="F474" s="249">
        <f>SUM(F475)</f>
        <v>2.5</v>
      </c>
      <c r="G474" s="249">
        <f t="shared" ref="G474" si="72">SUM(G475)</f>
        <v>2.5</v>
      </c>
      <c r="H474" s="229">
        <f t="shared" si="71"/>
        <v>15842</v>
      </c>
    </row>
    <row r="475" spans="1:8" s="204" customFormat="1" ht="12" customHeight="1" x14ac:dyDescent="0.2">
      <c r="A475" s="298"/>
      <c r="B475" s="299"/>
      <c r="C475" s="299"/>
      <c r="D475" s="334" t="s">
        <v>392</v>
      </c>
      <c r="E475" s="327">
        <v>15842</v>
      </c>
      <c r="F475" s="326">
        <f>SUM(F476:F477)</f>
        <v>2.5</v>
      </c>
      <c r="G475" s="326">
        <f>SUM(G476:G477)</f>
        <v>2.5</v>
      </c>
      <c r="H475" s="335">
        <f t="shared" si="71"/>
        <v>15842</v>
      </c>
    </row>
    <row r="476" spans="1:8" s="204" customFormat="1" ht="12" customHeight="1" x14ac:dyDescent="0.2">
      <c r="A476" s="298"/>
      <c r="B476" s="299"/>
      <c r="C476" s="226">
        <v>4120</v>
      </c>
      <c r="D476" s="251" t="s">
        <v>289</v>
      </c>
      <c r="E476" s="244">
        <v>277</v>
      </c>
      <c r="F476" s="252"/>
      <c r="G476" s="252">
        <v>2.5</v>
      </c>
      <c r="H476" s="237">
        <f t="shared" si="71"/>
        <v>274.5</v>
      </c>
    </row>
    <row r="477" spans="1:8" s="204" customFormat="1" ht="12" customHeight="1" x14ac:dyDescent="0.2">
      <c r="A477" s="221"/>
      <c r="B477" s="220"/>
      <c r="C477" s="226">
        <v>4710</v>
      </c>
      <c r="D477" s="259" t="s">
        <v>296</v>
      </c>
      <c r="E477" s="244">
        <v>50</v>
      </c>
      <c r="F477" s="252">
        <v>2.5</v>
      </c>
      <c r="G477" s="252"/>
      <c r="H477" s="237">
        <f t="shared" si="71"/>
        <v>52.5</v>
      </c>
    </row>
    <row r="478" spans="1:8" s="204" customFormat="1" ht="12" customHeight="1" x14ac:dyDescent="0.2">
      <c r="A478" s="220">
        <v>754</v>
      </c>
      <c r="B478" s="220"/>
      <c r="C478" s="221"/>
      <c r="D478" s="222" t="s">
        <v>233</v>
      </c>
      <c r="E478" s="244"/>
      <c r="F478" s="236"/>
      <c r="G478" s="236"/>
      <c r="H478" s="244"/>
    </row>
    <row r="479" spans="1:8" s="204" customFormat="1" ht="12" customHeight="1" thickBot="1" x14ac:dyDescent="0.25">
      <c r="A479" s="220"/>
      <c r="B479" s="220"/>
      <c r="C479" s="221"/>
      <c r="D479" s="222" t="s">
        <v>234</v>
      </c>
      <c r="E479" s="224">
        <v>4127960</v>
      </c>
      <c r="F479" s="224">
        <f>SUM(F480)</f>
        <v>92568.78</v>
      </c>
      <c r="G479" s="224">
        <f>SUM(G480)</f>
        <v>56376.78</v>
      </c>
      <c r="H479" s="224">
        <f>SUM(E479+F479-G479)</f>
        <v>4164152.0000000005</v>
      </c>
    </row>
    <row r="480" spans="1:8" s="204" customFormat="1" ht="12" customHeight="1" thickTop="1" x14ac:dyDescent="0.2">
      <c r="A480" s="238"/>
      <c r="B480" s="238">
        <v>75495</v>
      </c>
      <c r="C480" s="214"/>
      <c r="D480" s="227" t="s">
        <v>253</v>
      </c>
      <c r="E480" s="228">
        <v>4127960</v>
      </c>
      <c r="F480" s="229">
        <f>SUM(F481,F485,F487)</f>
        <v>92568.78</v>
      </c>
      <c r="G480" s="229">
        <f>SUM(G481,G485,G487)</f>
        <v>56376.78</v>
      </c>
      <c r="H480" s="228">
        <f>SUM(E480+F480-G480)</f>
        <v>4164152.0000000005</v>
      </c>
    </row>
    <row r="481" spans="1:8" s="204" customFormat="1" ht="22.9" customHeight="1" x14ac:dyDescent="0.2">
      <c r="A481" s="238"/>
      <c r="B481" s="238"/>
      <c r="C481" s="258"/>
      <c r="D481" s="320" t="s">
        <v>393</v>
      </c>
      <c r="E481" s="317">
        <v>2213360</v>
      </c>
      <c r="F481" s="318">
        <f>SUM(F482:F484)</f>
        <v>36192</v>
      </c>
      <c r="G481" s="318">
        <f>SUM(G482:G484)</f>
        <v>0</v>
      </c>
      <c r="H481" s="317">
        <f t="shared" ref="H481:H484" si="73">SUM(E481+F481-G481)</f>
        <v>2249552</v>
      </c>
    </row>
    <row r="482" spans="1:8" s="204" customFormat="1" ht="20.25" customHeight="1" x14ac:dyDescent="0.2">
      <c r="A482" s="238"/>
      <c r="B482" s="238"/>
      <c r="C482" s="242">
        <v>3280</v>
      </c>
      <c r="D482" s="268" t="s">
        <v>394</v>
      </c>
      <c r="E482" s="252">
        <v>2200720</v>
      </c>
      <c r="F482" s="244">
        <v>35920</v>
      </c>
      <c r="G482" s="244"/>
      <c r="H482" s="252">
        <f t="shared" si="73"/>
        <v>2236640</v>
      </c>
    </row>
    <row r="483" spans="1:8" s="204" customFormat="1" ht="22.5" customHeight="1" x14ac:dyDescent="0.2">
      <c r="A483" s="238"/>
      <c r="B483" s="238"/>
      <c r="C483" s="242">
        <v>4740</v>
      </c>
      <c r="D483" s="268" t="s">
        <v>388</v>
      </c>
      <c r="E483" s="244">
        <v>10540</v>
      </c>
      <c r="F483" s="252">
        <v>227</v>
      </c>
      <c r="G483" s="244"/>
      <c r="H483" s="236">
        <f t="shared" si="73"/>
        <v>10767</v>
      </c>
    </row>
    <row r="484" spans="1:8" s="204" customFormat="1" ht="21.6" customHeight="1" x14ac:dyDescent="0.2">
      <c r="A484" s="238"/>
      <c r="B484" s="238"/>
      <c r="C484" s="242">
        <v>4850</v>
      </c>
      <c r="D484" s="268" t="s">
        <v>301</v>
      </c>
      <c r="E484" s="244">
        <v>2100</v>
      </c>
      <c r="F484" s="252">
        <v>45</v>
      </c>
      <c r="G484" s="244"/>
      <c r="H484" s="236">
        <f t="shared" si="73"/>
        <v>2145</v>
      </c>
    </row>
    <row r="485" spans="1:8" s="204" customFormat="1" ht="33" customHeight="1" x14ac:dyDescent="0.2">
      <c r="A485" s="238"/>
      <c r="B485" s="238"/>
      <c r="C485" s="258"/>
      <c r="D485" s="333" t="s">
        <v>395</v>
      </c>
      <c r="E485" s="288">
        <v>1698363.92</v>
      </c>
      <c r="F485" s="288">
        <f>SUM(F486:F486)</f>
        <v>0</v>
      </c>
      <c r="G485" s="288">
        <f>SUM(G486:G486)</f>
        <v>56376.78</v>
      </c>
      <c r="H485" s="317">
        <f>SUM(E485+F485-G485)</f>
        <v>1641987.14</v>
      </c>
    </row>
    <row r="486" spans="1:8" s="204" customFormat="1" ht="12" customHeight="1" x14ac:dyDescent="0.2">
      <c r="A486" s="238"/>
      <c r="B486" s="238"/>
      <c r="C486" s="238">
        <v>4370</v>
      </c>
      <c r="D486" s="251" t="s">
        <v>285</v>
      </c>
      <c r="E486" s="252">
        <v>1698363.92</v>
      </c>
      <c r="F486" s="244"/>
      <c r="G486" s="244">
        <v>56376.78</v>
      </c>
      <c r="H486" s="252">
        <f t="shared" ref="H486" si="74">SUM(E486+F486-G486)</f>
        <v>1641987.14</v>
      </c>
    </row>
    <row r="487" spans="1:8" s="204" customFormat="1" ht="21" customHeight="1" x14ac:dyDescent="0.2">
      <c r="A487" s="238"/>
      <c r="B487" s="238"/>
      <c r="C487" s="214"/>
      <c r="D487" s="336" t="s">
        <v>396</v>
      </c>
      <c r="E487" s="288">
        <v>215922.39</v>
      </c>
      <c r="F487" s="318">
        <f>SUM(F488:F489)</f>
        <v>56376.78</v>
      </c>
      <c r="G487" s="318">
        <f>SUM(G488:G489)</f>
        <v>0</v>
      </c>
      <c r="H487" s="317">
        <f>SUM(E487+F487-G487)</f>
        <v>272299.17000000004</v>
      </c>
    </row>
    <row r="488" spans="1:8" s="204" customFormat="1" ht="12" customHeight="1" x14ac:dyDescent="0.2">
      <c r="A488" s="238"/>
      <c r="B488" s="238"/>
      <c r="C488" s="226">
        <v>4370</v>
      </c>
      <c r="D488" s="251" t="s">
        <v>285</v>
      </c>
      <c r="E488" s="252">
        <v>34904.86</v>
      </c>
      <c r="F488" s="252">
        <v>3147.69</v>
      </c>
      <c r="G488" s="252"/>
      <c r="H488" s="236">
        <f t="shared" ref="H488:H489" si="75">SUM(E488+F488-G488)</f>
        <v>38052.550000000003</v>
      </c>
    </row>
    <row r="489" spans="1:8" s="204" customFormat="1" ht="21" customHeight="1" x14ac:dyDescent="0.2">
      <c r="A489" s="238"/>
      <c r="B489" s="238"/>
      <c r="C489" s="242">
        <v>4860</v>
      </c>
      <c r="D489" s="268" t="s">
        <v>302</v>
      </c>
      <c r="E489" s="252">
        <v>180631.36</v>
      </c>
      <c r="F489" s="252">
        <v>53229.09</v>
      </c>
      <c r="G489" s="252"/>
      <c r="H489" s="236">
        <f t="shared" si="75"/>
        <v>233860.44999999998</v>
      </c>
    </row>
    <row r="490" spans="1:8" s="204" customFormat="1" ht="12" customHeight="1" thickBot="1" x14ac:dyDescent="0.25">
      <c r="A490" s="219">
        <v>801</v>
      </c>
      <c r="B490" s="220"/>
      <c r="C490" s="221"/>
      <c r="D490" s="222" t="s">
        <v>286</v>
      </c>
      <c r="E490" s="218">
        <v>595405.26</v>
      </c>
      <c r="F490" s="218">
        <f>SUM(F493)</f>
        <v>12038.17</v>
      </c>
      <c r="G490" s="218">
        <f>SUM(G493)</f>
        <v>12038.17</v>
      </c>
      <c r="H490" s="218">
        <f>SUM(E490+F490-G490)</f>
        <v>595405.26</v>
      </c>
    </row>
    <row r="491" spans="1:8" s="204" customFormat="1" ht="12.75" customHeight="1" thickTop="1" x14ac:dyDescent="0.2">
      <c r="A491" s="219"/>
      <c r="B491" s="238">
        <v>80153</v>
      </c>
      <c r="C491" s="221"/>
      <c r="D491" s="259" t="s">
        <v>397</v>
      </c>
      <c r="E491" s="223"/>
      <c r="F491" s="223"/>
      <c r="G491" s="223"/>
      <c r="H491" s="223"/>
    </row>
    <row r="492" spans="1:8" s="204" customFormat="1" ht="9.75" customHeight="1" x14ac:dyDescent="0.2">
      <c r="A492" s="219"/>
      <c r="B492" s="220"/>
      <c r="C492" s="221"/>
      <c r="D492" s="259" t="s">
        <v>398</v>
      </c>
      <c r="E492" s="223"/>
      <c r="F492" s="223"/>
      <c r="G492" s="223"/>
      <c r="H492" s="223"/>
    </row>
    <row r="493" spans="1:8" s="204" customFormat="1" ht="12" customHeight="1" x14ac:dyDescent="0.2">
      <c r="A493" s="220"/>
      <c r="B493" s="238"/>
      <c r="C493" s="214"/>
      <c r="D493" s="227" t="s">
        <v>399</v>
      </c>
      <c r="E493" s="228">
        <v>595405.26</v>
      </c>
      <c r="F493" s="228">
        <f>SUM(F494,F497)</f>
        <v>12038.17</v>
      </c>
      <c r="G493" s="228">
        <f>SUM(G494,G497)</f>
        <v>12038.17</v>
      </c>
      <c r="H493" s="228">
        <f t="shared" ref="H493:H538" si="76">SUM(E493+F493-G493)</f>
        <v>595405.26</v>
      </c>
    </row>
    <row r="494" spans="1:8" s="204" customFormat="1" ht="11.25" customHeight="1" x14ac:dyDescent="0.2">
      <c r="A494" s="239"/>
      <c r="B494" s="238"/>
      <c r="C494" s="214"/>
      <c r="D494" s="316" t="s">
        <v>175</v>
      </c>
      <c r="E494" s="317">
        <v>536907.05000000005</v>
      </c>
      <c r="F494" s="318">
        <f>SUM(F495:F496)</f>
        <v>10998.67</v>
      </c>
      <c r="G494" s="318">
        <f>SUM(G495:G496)</f>
        <v>6501</v>
      </c>
      <c r="H494" s="317">
        <f t="shared" si="76"/>
        <v>541404.72000000009</v>
      </c>
    </row>
    <row r="495" spans="1:8" s="204" customFormat="1" ht="12" customHeight="1" x14ac:dyDescent="0.2">
      <c r="A495" s="239"/>
      <c r="B495" s="238"/>
      <c r="C495" s="253">
        <v>4210</v>
      </c>
      <c r="D495" s="282" t="s">
        <v>280</v>
      </c>
      <c r="E495" s="252">
        <v>0</v>
      </c>
      <c r="F495" s="244">
        <v>5198.74</v>
      </c>
      <c r="G495" s="244"/>
      <c r="H495" s="252">
        <f t="shared" si="76"/>
        <v>5198.74</v>
      </c>
    </row>
    <row r="496" spans="1:8" s="204" customFormat="1" ht="12" customHeight="1" x14ac:dyDescent="0.2">
      <c r="A496" s="219"/>
      <c r="B496" s="213"/>
      <c r="C496" s="226">
        <v>4240</v>
      </c>
      <c r="D496" s="251" t="s">
        <v>290</v>
      </c>
      <c r="E496" s="236">
        <v>536907.05000000005</v>
      </c>
      <c r="F496" s="237">
        <v>5799.93</v>
      </c>
      <c r="G496" s="237">
        <v>6501</v>
      </c>
      <c r="H496" s="236">
        <f t="shared" si="76"/>
        <v>536205.9800000001</v>
      </c>
    </row>
    <row r="497" spans="1:8" s="204" customFormat="1" ht="10.5" customHeight="1" x14ac:dyDescent="0.2">
      <c r="A497" s="219"/>
      <c r="B497" s="213"/>
      <c r="C497" s="214"/>
      <c r="D497" s="328" t="s">
        <v>183</v>
      </c>
      <c r="E497" s="317">
        <v>58498.21</v>
      </c>
      <c r="F497" s="318">
        <f>SUM(F498:F499)</f>
        <v>1039.5</v>
      </c>
      <c r="G497" s="318">
        <f>SUM(G498:G499)</f>
        <v>5537.17</v>
      </c>
      <c r="H497" s="317">
        <f t="shared" si="76"/>
        <v>54000.54</v>
      </c>
    </row>
    <row r="498" spans="1:8" s="204" customFormat="1" ht="34.5" customHeight="1" x14ac:dyDescent="0.2">
      <c r="A498" s="219"/>
      <c r="B498" s="213"/>
      <c r="C498" s="242">
        <v>2830</v>
      </c>
      <c r="D498" s="286" t="s">
        <v>400</v>
      </c>
      <c r="E498" s="236">
        <v>52961.04</v>
      </c>
      <c r="F498" s="237">
        <v>1039.5</v>
      </c>
      <c r="G498" s="237"/>
      <c r="H498" s="236">
        <f t="shared" si="76"/>
        <v>54000.54</v>
      </c>
    </row>
    <row r="499" spans="1:8" s="204" customFormat="1" ht="12" customHeight="1" x14ac:dyDescent="0.2">
      <c r="A499" s="219"/>
      <c r="B499" s="213"/>
      <c r="C499" s="253">
        <v>4210</v>
      </c>
      <c r="D499" s="282" t="s">
        <v>280</v>
      </c>
      <c r="E499" s="236">
        <v>5537.17</v>
      </c>
      <c r="F499" s="237"/>
      <c r="G499" s="237">
        <f>5198.74+338.43</f>
        <v>5537.17</v>
      </c>
      <c r="H499" s="236">
        <f t="shared" si="76"/>
        <v>0</v>
      </c>
    </row>
    <row r="500" spans="1:8" s="204" customFormat="1" ht="12" customHeight="1" thickBot="1" x14ac:dyDescent="0.25">
      <c r="A500" s="221" t="s">
        <v>156</v>
      </c>
      <c r="B500" s="220"/>
      <c r="C500" s="221"/>
      <c r="D500" s="222" t="s">
        <v>342</v>
      </c>
      <c r="E500" s="218">
        <v>11761722.07</v>
      </c>
      <c r="F500" s="218">
        <f>SUM(F501,F517)</f>
        <v>10928</v>
      </c>
      <c r="G500" s="218">
        <f>SUM(G501,G517)</f>
        <v>10928</v>
      </c>
      <c r="H500" s="218">
        <f t="shared" si="76"/>
        <v>11761722.07</v>
      </c>
    </row>
    <row r="501" spans="1:8" s="204" customFormat="1" ht="12" customHeight="1" thickTop="1" x14ac:dyDescent="0.2">
      <c r="A501" s="221"/>
      <c r="B501" s="238">
        <v>85203</v>
      </c>
      <c r="C501" s="214"/>
      <c r="D501" s="276" t="s">
        <v>347</v>
      </c>
      <c r="E501" s="249">
        <v>1146592</v>
      </c>
      <c r="F501" s="229">
        <f>SUM(F502,F510)</f>
        <v>10900</v>
      </c>
      <c r="G501" s="229">
        <f>SUM(G502,G510)</f>
        <v>10900</v>
      </c>
      <c r="H501" s="228">
        <f t="shared" si="76"/>
        <v>1146592</v>
      </c>
    </row>
    <row r="502" spans="1:8" s="204" customFormat="1" ht="11.25" customHeight="1" x14ac:dyDescent="0.2">
      <c r="A502" s="221"/>
      <c r="B502" s="238"/>
      <c r="C502" s="214"/>
      <c r="D502" s="316" t="s">
        <v>401</v>
      </c>
      <c r="E502" s="326">
        <v>1034892</v>
      </c>
      <c r="F502" s="323">
        <f>SUM(F503:F508)</f>
        <v>6900</v>
      </c>
      <c r="G502" s="323">
        <f>SUM(G503:G508)</f>
        <v>6900</v>
      </c>
      <c r="H502" s="288">
        <f t="shared" si="76"/>
        <v>1034892</v>
      </c>
    </row>
    <row r="503" spans="1:8" s="204" customFormat="1" ht="12" customHeight="1" x14ac:dyDescent="0.2">
      <c r="A503" s="221"/>
      <c r="B503" s="238"/>
      <c r="C503" s="226">
        <v>4260</v>
      </c>
      <c r="D503" s="251" t="s">
        <v>268</v>
      </c>
      <c r="E503" s="252">
        <v>19000</v>
      </c>
      <c r="F503" s="244">
        <v>5000</v>
      </c>
      <c r="G503" s="244"/>
      <c r="H503" s="244">
        <f t="shared" si="76"/>
        <v>24000</v>
      </c>
    </row>
    <row r="504" spans="1:8" s="204" customFormat="1" ht="12" customHeight="1" x14ac:dyDescent="0.2">
      <c r="A504" s="221"/>
      <c r="B504" s="238"/>
      <c r="C504" s="226">
        <v>4270</v>
      </c>
      <c r="D504" s="251" t="s">
        <v>269</v>
      </c>
      <c r="E504" s="252">
        <v>11900</v>
      </c>
      <c r="F504" s="244">
        <v>600</v>
      </c>
      <c r="G504" s="244"/>
      <c r="H504" s="244">
        <f t="shared" si="76"/>
        <v>12500</v>
      </c>
    </row>
    <row r="505" spans="1:8" s="204" customFormat="1" ht="12" customHeight="1" x14ac:dyDescent="0.2">
      <c r="A505" s="221"/>
      <c r="B505" s="238"/>
      <c r="C505" s="256">
        <v>4300</v>
      </c>
      <c r="D505" s="257" t="s">
        <v>402</v>
      </c>
      <c r="E505" s="252">
        <v>67360</v>
      </c>
      <c r="F505" s="244"/>
      <c r="G505" s="244">
        <v>6000</v>
      </c>
      <c r="H505" s="244">
        <f t="shared" si="76"/>
        <v>61360</v>
      </c>
    </row>
    <row r="506" spans="1:8" s="204" customFormat="1" ht="12" customHeight="1" x14ac:dyDescent="0.2">
      <c r="A506" s="221"/>
      <c r="B506" s="238"/>
      <c r="C506" s="226">
        <v>4360</v>
      </c>
      <c r="D506" s="251" t="s">
        <v>291</v>
      </c>
      <c r="E506" s="252">
        <v>1730</v>
      </c>
      <c r="F506" s="244"/>
      <c r="G506" s="244">
        <v>600</v>
      </c>
      <c r="H506" s="244">
        <f t="shared" si="76"/>
        <v>1130</v>
      </c>
    </row>
    <row r="507" spans="1:8" s="204" customFormat="1" ht="12" customHeight="1" x14ac:dyDescent="0.2">
      <c r="A507" s="221"/>
      <c r="B507" s="238"/>
      <c r="C507" s="256">
        <v>4430</v>
      </c>
      <c r="D507" s="257" t="s">
        <v>403</v>
      </c>
      <c r="E507" s="252">
        <v>2700</v>
      </c>
      <c r="F507" s="244">
        <v>1300</v>
      </c>
      <c r="G507" s="244"/>
      <c r="H507" s="244">
        <f t="shared" si="76"/>
        <v>4000</v>
      </c>
    </row>
    <row r="508" spans="1:8" s="204" customFormat="1" ht="22.5" customHeight="1" x14ac:dyDescent="0.2">
      <c r="A508" s="221"/>
      <c r="B508" s="238"/>
      <c r="C508" s="242">
        <v>4700</v>
      </c>
      <c r="D508" s="290" t="s">
        <v>281</v>
      </c>
      <c r="E508" s="252">
        <v>3500</v>
      </c>
      <c r="F508" s="244"/>
      <c r="G508" s="244">
        <v>300</v>
      </c>
      <c r="H508" s="244">
        <f t="shared" si="76"/>
        <v>3200</v>
      </c>
    </row>
    <row r="509" spans="1:8" s="204" customFormat="1" ht="10.5" customHeight="1" x14ac:dyDescent="0.2">
      <c r="A509" s="221"/>
      <c r="B509" s="238"/>
      <c r="C509" s="257"/>
      <c r="D509" s="259" t="s">
        <v>404</v>
      </c>
      <c r="E509" s="244"/>
      <c r="F509" s="252"/>
      <c r="G509" s="252"/>
      <c r="H509" s="237"/>
    </row>
    <row r="510" spans="1:8" s="204" customFormat="1" ht="10.5" customHeight="1" x14ac:dyDescent="0.2">
      <c r="A510" s="221"/>
      <c r="B510" s="238"/>
      <c r="C510" s="214"/>
      <c r="D510" s="316" t="s">
        <v>405</v>
      </c>
      <c r="E510" s="317">
        <v>111700</v>
      </c>
      <c r="F510" s="323">
        <f>SUM(F511:F516)</f>
        <v>4000</v>
      </c>
      <c r="G510" s="323">
        <f>SUM(G511:G516)</f>
        <v>4000</v>
      </c>
      <c r="H510" s="288">
        <f t="shared" ref="H510:H516" si="77">SUM(E510+F510-G510)</f>
        <v>111700</v>
      </c>
    </row>
    <row r="511" spans="1:8" s="204" customFormat="1" ht="12" customHeight="1" x14ac:dyDescent="0.2">
      <c r="A511" s="221"/>
      <c r="B511" s="238"/>
      <c r="C511" s="256">
        <v>4210</v>
      </c>
      <c r="D511" s="259" t="s">
        <v>280</v>
      </c>
      <c r="E511" s="252">
        <v>9484</v>
      </c>
      <c r="F511" s="244"/>
      <c r="G511" s="244">
        <v>1900</v>
      </c>
      <c r="H511" s="244">
        <f t="shared" si="77"/>
        <v>7584</v>
      </c>
    </row>
    <row r="512" spans="1:8" s="204" customFormat="1" ht="12" customHeight="1" x14ac:dyDescent="0.2">
      <c r="A512" s="221"/>
      <c r="B512" s="238"/>
      <c r="C512" s="226">
        <v>4220</v>
      </c>
      <c r="D512" s="251" t="s">
        <v>345</v>
      </c>
      <c r="E512" s="252">
        <v>3440</v>
      </c>
      <c r="F512" s="244"/>
      <c r="G512" s="244">
        <v>100</v>
      </c>
      <c r="H512" s="244">
        <f t="shared" si="77"/>
        <v>3340</v>
      </c>
    </row>
    <row r="513" spans="1:8" s="204" customFormat="1" ht="12" customHeight="1" x14ac:dyDescent="0.2">
      <c r="A513" s="287"/>
      <c r="B513" s="263"/>
      <c r="C513" s="264">
        <v>4260</v>
      </c>
      <c r="D513" s="227" t="s">
        <v>268</v>
      </c>
      <c r="E513" s="249">
        <v>9594</v>
      </c>
      <c r="F513" s="248"/>
      <c r="G513" s="248">
        <v>1800</v>
      </c>
      <c r="H513" s="248">
        <f t="shared" si="77"/>
        <v>7794</v>
      </c>
    </row>
    <row r="514" spans="1:8" s="204" customFormat="1" ht="12" customHeight="1" x14ac:dyDescent="0.2">
      <c r="A514" s="221"/>
      <c r="B514" s="238"/>
      <c r="C514" s="226">
        <v>4270</v>
      </c>
      <c r="D514" s="251" t="s">
        <v>269</v>
      </c>
      <c r="E514" s="252">
        <v>1500</v>
      </c>
      <c r="F514" s="244">
        <v>300</v>
      </c>
      <c r="G514" s="244"/>
      <c r="H514" s="244">
        <f t="shared" si="77"/>
        <v>1800</v>
      </c>
    </row>
    <row r="515" spans="1:8" s="204" customFormat="1" ht="12" customHeight="1" x14ac:dyDescent="0.2">
      <c r="A515" s="221"/>
      <c r="B515" s="238"/>
      <c r="C515" s="256">
        <v>4300</v>
      </c>
      <c r="D515" s="257" t="s">
        <v>402</v>
      </c>
      <c r="E515" s="252">
        <v>13000</v>
      </c>
      <c r="F515" s="244">
        <v>3700</v>
      </c>
      <c r="G515" s="244"/>
      <c r="H515" s="244">
        <f t="shared" si="77"/>
        <v>16700</v>
      </c>
    </row>
    <row r="516" spans="1:8" s="204" customFormat="1" ht="12" customHeight="1" x14ac:dyDescent="0.2">
      <c r="A516" s="221"/>
      <c r="B516" s="238"/>
      <c r="C516" s="226">
        <v>4360</v>
      </c>
      <c r="D516" s="251" t="s">
        <v>291</v>
      </c>
      <c r="E516" s="252">
        <v>520</v>
      </c>
      <c r="F516" s="244"/>
      <c r="G516" s="244">
        <v>200</v>
      </c>
      <c r="H516" s="244">
        <f t="shared" si="77"/>
        <v>320</v>
      </c>
    </row>
    <row r="517" spans="1:8" s="204" customFormat="1" ht="12" customHeight="1" x14ac:dyDescent="0.2">
      <c r="A517" s="302"/>
      <c r="B517" s="238">
        <v>85295</v>
      </c>
      <c r="C517" s="214"/>
      <c r="D517" s="227" t="s">
        <v>253</v>
      </c>
      <c r="E517" s="249">
        <v>7193931.8899999997</v>
      </c>
      <c r="F517" s="229">
        <f t="shared" ref="F517:G517" si="78">SUM(F518)</f>
        <v>28</v>
      </c>
      <c r="G517" s="229">
        <f t="shared" si="78"/>
        <v>28</v>
      </c>
      <c r="H517" s="228">
        <f t="shared" si="76"/>
        <v>7193931.8899999997</v>
      </c>
    </row>
    <row r="518" spans="1:8" s="204" customFormat="1" ht="12" customHeight="1" x14ac:dyDescent="0.2">
      <c r="A518" s="302"/>
      <c r="B518" s="220"/>
      <c r="C518" s="214"/>
      <c r="D518" s="316" t="s">
        <v>158</v>
      </c>
      <c r="E518" s="326">
        <v>7193931.8899999997</v>
      </c>
      <c r="F518" s="323">
        <f>SUM(F519:F520)</f>
        <v>28</v>
      </c>
      <c r="G518" s="323">
        <f>SUM(G519:G520)</f>
        <v>28</v>
      </c>
      <c r="H518" s="288">
        <f t="shared" si="76"/>
        <v>7193931.8899999997</v>
      </c>
    </row>
    <row r="519" spans="1:8" s="204" customFormat="1" ht="12" customHeight="1" x14ac:dyDescent="0.2">
      <c r="A519" s="302"/>
      <c r="B519" s="220"/>
      <c r="C519" s="226">
        <v>4010</v>
      </c>
      <c r="D519" s="251" t="s">
        <v>284</v>
      </c>
      <c r="E519" s="244">
        <v>54675</v>
      </c>
      <c r="F519" s="244"/>
      <c r="G519" s="244">
        <v>28</v>
      </c>
      <c r="H519" s="237">
        <f t="shared" si="76"/>
        <v>54647</v>
      </c>
    </row>
    <row r="520" spans="1:8" s="204" customFormat="1" ht="12" customHeight="1" x14ac:dyDescent="0.2">
      <c r="A520" s="302"/>
      <c r="B520" s="220"/>
      <c r="C520" s="226">
        <v>4710</v>
      </c>
      <c r="D520" s="259" t="s">
        <v>296</v>
      </c>
      <c r="E520" s="244">
        <v>0</v>
      </c>
      <c r="F520" s="244">
        <v>28</v>
      </c>
      <c r="G520" s="303"/>
      <c r="H520" s="237">
        <f t="shared" si="76"/>
        <v>28</v>
      </c>
    </row>
    <row r="521" spans="1:8" s="204" customFormat="1" ht="12" customHeight="1" thickBot="1" x14ac:dyDescent="0.25">
      <c r="A521" s="220">
        <v>855</v>
      </c>
      <c r="B521" s="220"/>
      <c r="C521" s="221"/>
      <c r="D521" s="222" t="s">
        <v>255</v>
      </c>
      <c r="E521" s="224">
        <v>78688448</v>
      </c>
      <c r="F521" s="218">
        <f>SUM(F522,F527,F531)</f>
        <v>6069.5</v>
      </c>
      <c r="G521" s="218">
        <f>SUM(G522,G527,G531)</f>
        <v>10412</v>
      </c>
      <c r="H521" s="218">
        <f t="shared" si="76"/>
        <v>78684105.5</v>
      </c>
    </row>
    <row r="522" spans="1:8" s="204" customFormat="1" ht="12" customHeight="1" thickTop="1" x14ac:dyDescent="0.2">
      <c r="A522" s="220"/>
      <c r="B522" s="226">
        <v>85501</v>
      </c>
      <c r="C522" s="235"/>
      <c r="D522" s="241" t="s">
        <v>256</v>
      </c>
      <c r="E522" s="229">
        <v>36833124</v>
      </c>
      <c r="F522" s="229">
        <f t="shared" ref="F522:G522" si="79">SUM(F523)</f>
        <v>0</v>
      </c>
      <c r="G522" s="229">
        <f t="shared" si="79"/>
        <v>6198</v>
      </c>
      <c r="H522" s="228">
        <f t="shared" si="76"/>
        <v>36826926</v>
      </c>
    </row>
    <row r="523" spans="1:8" s="204" customFormat="1" ht="12" customHeight="1" x14ac:dyDescent="0.2">
      <c r="A523" s="220"/>
      <c r="B523" s="238"/>
      <c r="C523" s="214"/>
      <c r="D523" s="316" t="s">
        <v>158</v>
      </c>
      <c r="E523" s="323">
        <v>36833124</v>
      </c>
      <c r="F523" s="323">
        <f>SUM(F524:F524)</f>
        <v>0</v>
      </c>
      <c r="G523" s="323">
        <f>SUM(G524:G524)</f>
        <v>6198</v>
      </c>
      <c r="H523" s="288">
        <f t="shared" si="76"/>
        <v>36826926</v>
      </c>
    </row>
    <row r="524" spans="1:8" s="204" customFormat="1" ht="12" customHeight="1" x14ac:dyDescent="0.2">
      <c r="A524" s="220"/>
      <c r="B524" s="220"/>
      <c r="C524" s="226">
        <v>3110</v>
      </c>
      <c r="D524" s="251" t="s">
        <v>358</v>
      </c>
      <c r="E524" s="244">
        <v>36712129</v>
      </c>
      <c r="F524" s="252"/>
      <c r="G524" s="252">
        <f>20+6178</f>
        <v>6198</v>
      </c>
      <c r="H524" s="237">
        <f t="shared" si="76"/>
        <v>36705931</v>
      </c>
    </row>
    <row r="525" spans="1:8" s="204" customFormat="1" ht="12" customHeight="1" x14ac:dyDescent="0.2">
      <c r="A525" s="220"/>
      <c r="B525" s="257">
        <v>85502</v>
      </c>
      <c r="C525" s="258"/>
      <c r="D525" s="277" t="s">
        <v>406</v>
      </c>
      <c r="E525" s="244"/>
      <c r="F525" s="244"/>
      <c r="G525" s="303"/>
      <c r="H525" s="237"/>
    </row>
    <row r="526" spans="1:8" s="204" customFormat="1" ht="12" customHeight="1" x14ac:dyDescent="0.2">
      <c r="A526" s="220"/>
      <c r="B526" s="257"/>
      <c r="C526" s="258"/>
      <c r="D526" s="277" t="s">
        <v>407</v>
      </c>
      <c r="E526" s="244"/>
      <c r="F526" s="244"/>
      <c r="G526" s="303"/>
      <c r="H526" s="237"/>
    </row>
    <row r="527" spans="1:8" s="204" customFormat="1" ht="12" customHeight="1" x14ac:dyDescent="0.2">
      <c r="A527" s="220"/>
      <c r="B527" s="257"/>
      <c r="C527" s="258"/>
      <c r="D527" s="284" t="s">
        <v>408</v>
      </c>
      <c r="E527" s="229">
        <v>41467610</v>
      </c>
      <c r="F527" s="229">
        <f t="shared" ref="F527:G527" si="80">SUM(F528)</f>
        <v>1147</v>
      </c>
      <c r="G527" s="229">
        <f t="shared" si="80"/>
        <v>1147</v>
      </c>
      <c r="H527" s="228">
        <f t="shared" ref="H527:H530" si="81">SUM(E527+F527-G527)</f>
        <v>41467610</v>
      </c>
    </row>
    <row r="528" spans="1:8" s="204" customFormat="1" ht="12" customHeight="1" x14ac:dyDescent="0.2">
      <c r="A528" s="220"/>
      <c r="B528" s="238"/>
      <c r="C528" s="214"/>
      <c r="D528" s="316" t="s">
        <v>158</v>
      </c>
      <c r="E528" s="323">
        <v>41467610</v>
      </c>
      <c r="F528" s="323">
        <f>SUM(F529:F530)</f>
        <v>1147</v>
      </c>
      <c r="G528" s="323">
        <f>SUM(G529:G530)</f>
        <v>1147</v>
      </c>
      <c r="H528" s="288">
        <f t="shared" si="81"/>
        <v>41467610</v>
      </c>
    </row>
    <row r="529" spans="1:8" s="204" customFormat="1" ht="12" customHeight="1" x14ac:dyDescent="0.2">
      <c r="A529" s="220"/>
      <c r="B529" s="220"/>
      <c r="C529" s="226">
        <v>4010</v>
      </c>
      <c r="D529" s="251" t="s">
        <v>284</v>
      </c>
      <c r="E529" s="244">
        <v>899930</v>
      </c>
      <c r="F529" s="252">
        <v>1147</v>
      </c>
      <c r="G529" s="252"/>
      <c r="H529" s="237">
        <f t="shared" si="81"/>
        <v>901077</v>
      </c>
    </row>
    <row r="530" spans="1:8" s="204" customFormat="1" ht="12" customHeight="1" x14ac:dyDescent="0.2">
      <c r="A530" s="220"/>
      <c r="B530" s="220"/>
      <c r="C530" s="242">
        <v>4440</v>
      </c>
      <c r="D530" s="275" t="s">
        <v>293</v>
      </c>
      <c r="E530" s="244">
        <v>38248</v>
      </c>
      <c r="F530" s="252"/>
      <c r="G530" s="252">
        <v>1147</v>
      </c>
      <c r="H530" s="237">
        <f t="shared" si="81"/>
        <v>37101</v>
      </c>
    </row>
    <row r="531" spans="1:8" s="204" customFormat="1" ht="12" customHeight="1" x14ac:dyDescent="0.2">
      <c r="A531" s="220"/>
      <c r="B531" s="226">
        <v>85503</v>
      </c>
      <c r="C531" s="238"/>
      <c r="D531" s="227" t="s">
        <v>258</v>
      </c>
      <c r="E531" s="249">
        <v>6320</v>
      </c>
      <c r="F531" s="229">
        <f t="shared" ref="F531:G531" si="82">SUM(F532)</f>
        <v>4922.5</v>
      </c>
      <c r="G531" s="229">
        <f t="shared" si="82"/>
        <v>3067</v>
      </c>
      <c r="H531" s="228">
        <f t="shared" si="76"/>
        <v>8175.5</v>
      </c>
    </row>
    <row r="532" spans="1:8" s="204" customFormat="1" ht="12" customHeight="1" x14ac:dyDescent="0.2">
      <c r="A532" s="220"/>
      <c r="B532" s="238"/>
      <c r="C532" s="214"/>
      <c r="D532" s="337" t="s">
        <v>409</v>
      </c>
      <c r="E532" s="326">
        <v>6320</v>
      </c>
      <c r="F532" s="323">
        <f>SUM(F533:F538)</f>
        <v>4922.5</v>
      </c>
      <c r="G532" s="323">
        <f>SUM(G533:G538)</f>
        <v>3067</v>
      </c>
      <c r="H532" s="288">
        <f t="shared" si="76"/>
        <v>8175.5</v>
      </c>
    </row>
    <row r="533" spans="1:8" s="204" customFormat="1" ht="12" customHeight="1" x14ac:dyDescent="0.2">
      <c r="A533" s="220"/>
      <c r="B533" s="220"/>
      <c r="C533" s="226">
        <v>4010</v>
      </c>
      <c r="D533" s="251" t="s">
        <v>284</v>
      </c>
      <c r="E533" s="244">
        <v>835</v>
      </c>
      <c r="F533" s="252">
        <v>4110</v>
      </c>
      <c r="G533" s="252">
        <v>6.6</v>
      </c>
      <c r="H533" s="237">
        <f t="shared" si="76"/>
        <v>4938.3999999999996</v>
      </c>
    </row>
    <row r="534" spans="1:8" s="204" customFormat="1" ht="12" customHeight="1" x14ac:dyDescent="0.2">
      <c r="A534" s="220"/>
      <c r="B534" s="220"/>
      <c r="C534" s="226">
        <v>4110</v>
      </c>
      <c r="D534" s="251" t="s">
        <v>288</v>
      </c>
      <c r="E534" s="244">
        <v>144</v>
      </c>
      <c r="F534" s="252">
        <v>707</v>
      </c>
      <c r="G534" s="252"/>
      <c r="H534" s="237">
        <f t="shared" si="76"/>
        <v>851</v>
      </c>
    </row>
    <row r="535" spans="1:8" s="204" customFormat="1" ht="12" customHeight="1" x14ac:dyDescent="0.2">
      <c r="A535" s="220"/>
      <c r="B535" s="220"/>
      <c r="C535" s="226">
        <v>4120</v>
      </c>
      <c r="D535" s="251" t="s">
        <v>362</v>
      </c>
      <c r="E535" s="244">
        <v>21</v>
      </c>
      <c r="F535" s="252">
        <v>98.9</v>
      </c>
      <c r="G535" s="252"/>
      <c r="H535" s="237">
        <f t="shared" si="76"/>
        <v>119.9</v>
      </c>
    </row>
    <row r="536" spans="1:8" s="204" customFormat="1" ht="12" customHeight="1" x14ac:dyDescent="0.2">
      <c r="A536" s="220"/>
      <c r="B536" s="220"/>
      <c r="C536" s="256">
        <v>4210</v>
      </c>
      <c r="D536" s="259" t="s">
        <v>280</v>
      </c>
      <c r="E536" s="244">
        <v>4820</v>
      </c>
      <c r="F536" s="252"/>
      <c r="G536" s="252">
        <v>2560.4</v>
      </c>
      <c r="H536" s="237">
        <f t="shared" si="76"/>
        <v>2259.6</v>
      </c>
    </row>
    <row r="537" spans="1:8" s="204" customFormat="1" ht="12" customHeight="1" x14ac:dyDescent="0.2">
      <c r="A537" s="220"/>
      <c r="B537" s="220"/>
      <c r="C537" s="226">
        <v>4300</v>
      </c>
      <c r="D537" s="251" t="s">
        <v>266</v>
      </c>
      <c r="E537" s="244">
        <v>500</v>
      </c>
      <c r="F537" s="252"/>
      <c r="G537" s="252">
        <v>500</v>
      </c>
      <c r="H537" s="237">
        <f t="shared" si="76"/>
        <v>0</v>
      </c>
    </row>
    <row r="538" spans="1:8" s="204" customFormat="1" ht="12" customHeight="1" x14ac:dyDescent="0.2">
      <c r="A538" s="220"/>
      <c r="B538" s="220"/>
      <c r="C538" s="226">
        <v>4710</v>
      </c>
      <c r="D538" s="259" t="s">
        <v>296</v>
      </c>
      <c r="E538" s="244">
        <v>0</v>
      </c>
      <c r="F538" s="244">
        <v>6.6</v>
      </c>
      <c r="G538" s="303"/>
      <c r="H538" s="237">
        <f t="shared" si="76"/>
        <v>6.6</v>
      </c>
    </row>
    <row r="539" spans="1:8" s="204" customFormat="1" ht="18" customHeight="1" thickBot="1" x14ac:dyDescent="0.25">
      <c r="A539" s="302"/>
      <c r="B539" s="238"/>
      <c r="C539" s="226"/>
      <c r="D539" s="217" t="s">
        <v>410</v>
      </c>
      <c r="E539" s="218">
        <v>20527427.5</v>
      </c>
      <c r="F539" s="218">
        <f>SUM(F540,F556,F582)</f>
        <v>245653</v>
      </c>
      <c r="G539" s="218">
        <f>SUM(G540,G556,G582)</f>
        <v>245653</v>
      </c>
      <c r="H539" s="218">
        <f>SUM(E539+F539-G539)</f>
        <v>20527427.5</v>
      </c>
    </row>
    <row r="540" spans="1:8" s="204" customFormat="1" ht="17.25" customHeight="1" thickTop="1" thickBot="1" x14ac:dyDescent="0.25">
      <c r="A540" s="221" t="s">
        <v>411</v>
      </c>
      <c r="B540" s="220"/>
      <c r="C540" s="221"/>
      <c r="D540" s="222" t="s">
        <v>412</v>
      </c>
      <c r="E540" s="218">
        <v>997215.17999999993</v>
      </c>
      <c r="F540" s="218">
        <f>SUM(F541)</f>
        <v>1625</v>
      </c>
      <c r="G540" s="218">
        <f>SUM(G541)</f>
        <v>1625</v>
      </c>
      <c r="H540" s="218">
        <f t="shared" ref="H540:H554" si="83">SUM(E540+F540-G540)</f>
        <v>997215.17999999993</v>
      </c>
    </row>
    <row r="541" spans="1:8" s="204" customFormat="1" ht="12" customHeight="1" thickTop="1" x14ac:dyDescent="0.2">
      <c r="A541" s="219"/>
      <c r="B541" s="238">
        <v>71015</v>
      </c>
      <c r="C541" s="226"/>
      <c r="D541" s="227" t="s">
        <v>413</v>
      </c>
      <c r="E541" s="249">
        <v>693100</v>
      </c>
      <c r="F541" s="229">
        <f>SUM(F543)</f>
        <v>1625</v>
      </c>
      <c r="G541" s="229">
        <f>SUM(G543)</f>
        <v>1625</v>
      </c>
      <c r="H541" s="228">
        <f t="shared" si="83"/>
        <v>693100</v>
      </c>
    </row>
    <row r="542" spans="1:8" s="204" customFormat="1" ht="12" customHeight="1" x14ac:dyDescent="0.2">
      <c r="A542" s="219"/>
      <c r="B542" s="238"/>
      <c r="C542" s="226"/>
      <c r="D542" s="259" t="s">
        <v>414</v>
      </c>
      <c r="E542" s="252"/>
      <c r="F542" s="237"/>
      <c r="G542" s="237"/>
      <c r="H542" s="236"/>
    </row>
    <row r="543" spans="1:8" s="204" customFormat="1" ht="12" customHeight="1" x14ac:dyDescent="0.2">
      <c r="A543" s="219"/>
      <c r="B543" s="238"/>
      <c r="C543" s="214"/>
      <c r="D543" s="328" t="s">
        <v>415</v>
      </c>
      <c r="E543" s="317">
        <v>693100</v>
      </c>
      <c r="F543" s="323">
        <f>SUM(F544:F554)</f>
        <v>1625</v>
      </c>
      <c r="G543" s="323">
        <f>SUM(G544:G554)</f>
        <v>1625</v>
      </c>
      <c r="H543" s="288">
        <f t="shared" si="83"/>
        <v>693100</v>
      </c>
    </row>
    <row r="544" spans="1:8" s="204" customFormat="1" ht="12" customHeight="1" x14ac:dyDescent="0.2">
      <c r="A544" s="304"/>
      <c r="B544" s="238"/>
      <c r="C544" s="226">
        <v>4020</v>
      </c>
      <c r="D544" s="251" t="s">
        <v>416</v>
      </c>
      <c r="E544" s="252">
        <v>373838</v>
      </c>
      <c r="F544" s="252">
        <v>124</v>
      </c>
      <c r="G544" s="252"/>
      <c r="H544" s="237">
        <f t="shared" si="83"/>
        <v>373962</v>
      </c>
    </row>
    <row r="545" spans="1:8" s="204" customFormat="1" ht="12" customHeight="1" x14ac:dyDescent="0.2">
      <c r="A545" s="304"/>
      <c r="B545" s="238"/>
      <c r="C545" s="226">
        <v>4110</v>
      </c>
      <c r="D545" s="251" t="s">
        <v>288</v>
      </c>
      <c r="E545" s="252">
        <v>90277</v>
      </c>
      <c r="F545" s="252"/>
      <c r="G545" s="252">
        <v>75</v>
      </c>
      <c r="H545" s="237">
        <f t="shared" si="83"/>
        <v>90202</v>
      </c>
    </row>
    <row r="546" spans="1:8" s="204" customFormat="1" ht="12" customHeight="1" x14ac:dyDescent="0.2">
      <c r="A546" s="304"/>
      <c r="B546" s="238"/>
      <c r="C546" s="226">
        <v>4120</v>
      </c>
      <c r="D546" s="251" t="s">
        <v>362</v>
      </c>
      <c r="E546" s="252">
        <v>6672</v>
      </c>
      <c r="F546" s="252"/>
      <c r="G546" s="252">
        <v>49</v>
      </c>
      <c r="H546" s="237">
        <f t="shared" si="83"/>
        <v>6623</v>
      </c>
    </row>
    <row r="547" spans="1:8" s="204" customFormat="1" ht="12" customHeight="1" x14ac:dyDescent="0.2">
      <c r="A547" s="304"/>
      <c r="B547" s="238"/>
      <c r="C547" s="258" t="s">
        <v>279</v>
      </c>
      <c r="D547" s="259" t="s">
        <v>280</v>
      </c>
      <c r="E547" s="252">
        <v>13079</v>
      </c>
      <c r="F547" s="252">
        <v>1119</v>
      </c>
      <c r="G547" s="252"/>
      <c r="H547" s="237">
        <f t="shared" si="83"/>
        <v>14198</v>
      </c>
    </row>
    <row r="548" spans="1:8" s="204" customFormat="1" ht="12" customHeight="1" x14ac:dyDescent="0.2">
      <c r="A548" s="304"/>
      <c r="B548" s="238"/>
      <c r="C548" s="226">
        <v>4260</v>
      </c>
      <c r="D548" s="251" t="s">
        <v>268</v>
      </c>
      <c r="E548" s="252">
        <v>11800</v>
      </c>
      <c r="F548" s="252"/>
      <c r="G548" s="252">
        <v>647</v>
      </c>
      <c r="H548" s="237">
        <f t="shared" si="83"/>
        <v>11153</v>
      </c>
    </row>
    <row r="549" spans="1:8" s="204" customFormat="1" ht="12" customHeight="1" x14ac:dyDescent="0.2">
      <c r="A549" s="304"/>
      <c r="B549" s="238"/>
      <c r="C549" s="226">
        <v>4270</v>
      </c>
      <c r="D549" s="251" t="s">
        <v>269</v>
      </c>
      <c r="E549" s="252">
        <v>1800</v>
      </c>
      <c r="F549" s="252"/>
      <c r="G549" s="252">
        <v>368</v>
      </c>
      <c r="H549" s="237">
        <f t="shared" si="83"/>
        <v>1432</v>
      </c>
    </row>
    <row r="550" spans="1:8" s="204" customFormat="1" ht="12" customHeight="1" x14ac:dyDescent="0.2">
      <c r="A550" s="304"/>
      <c r="B550" s="238"/>
      <c r="C550" s="226">
        <v>4300</v>
      </c>
      <c r="D550" s="251" t="s">
        <v>266</v>
      </c>
      <c r="E550" s="252">
        <v>43900</v>
      </c>
      <c r="F550" s="252"/>
      <c r="G550" s="252">
        <v>228</v>
      </c>
      <c r="H550" s="237">
        <f t="shared" si="83"/>
        <v>43672</v>
      </c>
    </row>
    <row r="551" spans="1:8" s="204" customFormat="1" ht="12" customHeight="1" x14ac:dyDescent="0.2">
      <c r="A551" s="304"/>
      <c r="B551" s="238"/>
      <c r="C551" s="226">
        <v>4360</v>
      </c>
      <c r="D551" s="251" t="s">
        <v>291</v>
      </c>
      <c r="E551" s="244">
        <v>2600</v>
      </c>
      <c r="F551" s="252"/>
      <c r="G551" s="252">
        <v>17</v>
      </c>
      <c r="H551" s="237">
        <f t="shared" si="83"/>
        <v>2583</v>
      </c>
    </row>
    <row r="552" spans="1:8" s="204" customFormat="1" ht="12" customHeight="1" x14ac:dyDescent="0.2">
      <c r="A552" s="304"/>
      <c r="B552" s="238"/>
      <c r="C552" s="226">
        <v>4410</v>
      </c>
      <c r="D552" s="259" t="s">
        <v>292</v>
      </c>
      <c r="E552" s="252">
        <v>500</v>
      </c>
      <c r="F552" s="252"/>
      <c r="G552" s="252">
        <v>117</v>
      </c>
      <c r="H552" s="237">
        <f t="shared" si="83"/>
        <v>383</v>
      </c>
    </row>
    <row r="553" spans="1:8" s="204" customFormat="1" ht="12" customHeight="1" x14ac:dyDescent="0.2">
      <c r="A553" s="304"/>
      <c r="B553" s="238"/>
      <c r="C553" s="226">
        <v>4430</v>
      </c>
      <c r="D553" s="251" t="s">
        <v>271</v>
      </c>
      <c r="E553" s="252">
        <v>2100</v>
      </c>
      <c r="F553" s="252">
        <v>382</v>
      </c>
      <c r="G553" s="252"/>
      <c r="H553" s="237">
        <f t="shared" si="83"/>
        <v>2482</v>
      </c>
    </row>
    <row r="554" spans="1:8" s="204" customFormat="1" ht="12" customHeight="1" x14ac:dyDescent="0.2">
      <c r="A554" s="304"/>
      <c r="B554" s="238"/>
      <c r="C554" s="226">
        <v>4480</v>
      </c>
      <c r="D554" s="251" t="s">
        <v>417</v>
      </c>
      <c r="E554" s="252">
        <v>2198</v>
      </c>
      <c r="F554" s="252"/>
      <c r="G554" s="252">
        <v>124</v>
      </c>
      <c r="H554" s="237">
        <f t="shared" si="83"/>
        <v>2074</v>
      </c>
    </row>
    <row r="555" spans="1:8" s="204" customFormat="1" ht="12" customHeight="1" x14ac:dyDescent="0.2">
      <c r="A555" s="219">
        <v>754</v>
      </c>
      <c r="B555" s="220"/>
      <c r="C555" s="221"/>
      <c r="D555" s="220" t="s">
        <v>418</v>
      </c>
      <c r="E555" s="244"/>
      <c r="F555" s="252"/>
      <c r="G555" s="252"/>
      <c r="H555" s="252"/>
    </row>
    <row r="556" spans="1:8" s="204" customFormat="1" ht="12" customHeight="1" thickBot="1" x14ac:dyDescent="0.25">
      <c r="A556" s="305"/>
      <c r="B556" s="220"/>
      <c r="C556" s="221"/>
      <c r="D556" s="220" t="s">
        <v>234</v>
      </c>
      <c r="E556" s="224">
        <v>17082664</v>
      </c>
      <c r="F556" s="218">
        <f>SUM(F557)</f>
        <v>231728</v>
      </c>
      <c r="G556" s="218">
        <f>SUM(G557)</f>
        <v>231728</v>
      </c>
      <c r="H556" s="218">
        <f>SUM(E556+F556-G556)</f>
        <v>17082664</v>
      </c>
    </row>
    <row r="557" spans="1:8" s="204" customFormat="1" ht="12" customHeight="1" thickTop="1" x14ac:dyDescent="0.2">
      <c r="A557" s="305"/>
      <c r="B557" s="238">
        <v>75411</v>
      </c>
      <c r="C557" s="226"/>
      <c r="D557" s="263" t="s">
        <v>419</v>
      </c>
      <c r="E557" s="229">
        <v>17082664</v>
      </c>
      <c r="F557" s="229">
        <f>SUM(F558)</f>
        <v>231728</v>
      </c>
      <c r="G557" s="229">
        <f>SUM(G558)</f>
        <v>231728</v>
      </c>
      <c r="H557" s="228">
        <f>SUM(E557+F557-G557)</f>
        <v>17082664</v>
      </c>
    </row>
    <row r="558" spans="1:8" s="204" customFormat="1" ht="12" customHeight="1" x14ac:dyDescent="0.2">
      <c r="A558" s="219"/>
      <c r="B558" s="238"/>
      <c r="C558" s="226"/>
      <c r="D558" s="324" t="s">
        <v>420</v>
      </c>
      <c r="E558" s="323">
        <v>17082664</v>
      </c>
      <c r="F558" s="323">
        <f>SUM(F559:F581)</f>
        <v>231728</v>
      </c>
      <c r="G558" s="323">
        <f>SUM(G559:G581)</f>
        <v>231728</v>
      </c>
      <c r="H558" s="288">
        <f>SUM(E558+F558-G558)</f>
        <v>17082664</v>
      </c>
    </row>
    <row r="559" spans="1:8" s="204" customFormat="1" ht="12" customHeight="1" x14ac:dyDescent="0.2">
      <c r="A559" s="304"/>
      <c r="B559" s="257"/>
      <c r="C559" s="226">
        <v>3020</v>
      </c>
      <c r="D559" s="251" t="s">
        <v>287</v>
      </c>
      <c r="E559" s="237">
        <v>1000</v>
      </c>
      <c r="F559" s="237"/>
      <c r="G559" s="237">
        <v>522</v>
      </c>
      <c r="H559" s="237">
        <f t="shared" ref="H559:H590" si="84">SUM(E559+F559-G559)</f>
        <v>478</v>
      </c>
    </row>
    <row r="560" spans="1:8" s="204" customFormat="1" ht="23.25" customHeight="1" x14ac:dyDescent="0.2">
      <c r="A560" s="304"/>
      <c r="B560" s="257"/>
      <c r="C560" s="242">
        <v>3070</v>
      </c>
      <c r="D560" s="268" t="s">
        <v>421</v>
      </c>
      <c r="E560" s="237">
        <v>509491</v>
      </c>
      <c r="F560" s="237">
        <v>54129</v>
      </c>
      <c r="G560" s="237"/>
      <c r="H560" s="237">
        <f t="shared" si="84"/>
        <v>563620</v>
      </c>
    </row>
    <row r="561" spans="1:8" s="204" customFormat="1" ht="12" customHeight="1" x14ac:dyDescent="0.2">
      <c r="A561" s="304"/>
      <c r="B561" s="257"/>
      <c r="C561" s="226">
        <v>4010</v>
      </c>
      <c r="D561" s="251" t="s">
        <v>284</v>
      </c>
      <c r="E561" s="237">
        <v>103589</v>
      </c>
      <c r="F561" s="237">
        <v>2542</v>
      </c>
      <c r="G561" s="237"/>
      <c r="H561" s="237">
        <f t="shared" si="84"/>
        <v>106131</v>
      </c>
    </row>
    <row r="562" spans="1:8" s="204" customFormat="1" ht="12" customHeight="1" x14ac:dyDescent="0.2">
      <c r="A562" s="304"/>
      <c r="B562" s="257"/>
      <c r="C562" s="242">
        <v>4020</v>
      </c>
      <c r="D562" s="261" t="s">
        <v>416</v>
      </c>
      <c r="E562" s="237">
        <v>73764</v>
      </c>
      <c r="F562" s="237"/>
      <c r="G562" s="237">
        <v>2225</v>
      </c>
      <c r="H562" s="237">
        <f t="shared" si="84"/>
        <v>71539</v>
      </c>
    </row>
    <row r="563" spans="1:8" s="204" customFormat="1" ht="12" customHeight="1" x14ac:dyDescent="0.2">
      <c r="A563" s="304"/>
      <c r="B563" s="257"/>
      <c r="C563" s="242">
        <v>4040</v>
      </c>
      <c r="D563" s="261" t="s">
        <v>314</v>
      </c>
      <c r="E563" s="237">
        <v>13704</v>
      </c>
      <c r="F563" s="237"/>
      <c r="G563" s="237">
        <v>317</v>
      </c>
      <c r="H563" s="237">
        <f t="shared" si="84"/>
        <v>13387</v>
      </c>
    </row>
    <row r="564" spans="1:8" s="204" customFormat="1" ht="12" customHeight="1" x14ac:dyDescent="0.2">
      <c r="A564" s="304"/>
      <c r="B564" s="257"/>
      <c r="C564" s="226">
        <v>4050</v>
      </c>
      <c r="D564" s="306" t="s">
        <v>422</v>
      </c>
      <c r="E564" s="237">
        <v>10802892</v>
      </c>
      <c r="F564" s="237"/>
      <c r="G564" s="237">
        <v>149953</v>
      </c>
      <c r="H564" s="237">
        <f t="shared" si="84"/>
        <v>10652939</v>
      </c>
    </row>
    <row r="565" spans="1:8" s="204" customFormat="1" ht="20.45" customHeight="1" x14ac:dyDescent="0.2">
      <c r="A565" s="304"/>
      <c r="B565" s="257"/>
      <c r="C565" s="242">
        <v>4060</v>
      </c>
      <c r="D565" s="307" t="s">
        <v>423</v>
      </c>
      <c r="E565" s="237">
        <v>579215</v>
      </c>
      <c r="F565" s="237">
        <v>149953</v>
      </c>
      <c r="G565" s="237"/>
      <c r="H565" s="237">
        <f t="shared" si="84"/>
        <v>729168</v>
      </c>
    </row>
    <row r="566" spans="1:8" s="204" customFormat="1" ht="21.75" customHeight="1" x14ac:dyDescent="0.2">
      <c r="A566" s="304"/>
      <c r="B566" s="257"/>
      <c r="C566" s="253">
        <v>4080</v>
      </c>
      <c r="D566" s="308" t="s">
        <v>424</v>
      </c>
      <c r="E566" s="237">
        <v>180786</v>
      </c>
      <c r="F566" s="237"/>
      <c r="G566" s="237">
        <v>1550</v>
      </c>
      <c r="H566" s="237">
        <f t="shared" si="84"/>
        <v>179236</v>
      </c>
    </row>
    <row r="567" spans="1:8" s="204" customFormat="1" ht="12" customHeight="1" x14ac:dyDescent="0.2">
      <c r="A567" s="304"/>
      <c r="B567" s="257"/>
      <c r="C567" s="226">
        <v>4110</v>
      </c>
      <c r="D567" s="251" t="s">
        <v>288</v>
      </c>
      <c r="E567" s="237">
        <v>42430</v>
      </c>
      <c r="F567" s="237"/>
      <c r="G567" s="237">
        <v>5318</v>
      </c>
      <c r="H567" s="237">
        <f t="shared" si="84"/>
        <v>37112</v>
      </c>
    </row>
    <row r="568" spans="1:8" s="204" customFormat="1" ht="12" customHeight="1" x14ac:dyDescent="0.2">
      <c r="A568" s="304"/>
      <c r="B568" s="257"/>
      <c r="C568" s="226">
        <v>4120</v>
      </c>
      <c r="D568" s="251" t="s">
        <v>362</v>
      </c>
      <c r="E568" s="237">
        <v>5107</v>
      </c>
      <c r="F568" s="237"/>
      <c r="G568" s="237">
        <v>643</v>
      </c>
      <c r="H568" s="237">
        <f t="shared" si="84"/>
        <v>4464</v>
      </c>
    </row>
    <row r="569" spans="1:8" s="204" customFormat="1" ht="12" customHeight="1" x14ac:dyDescent="0.2">
      <c r="A569" s="304"/>
      <c r="B569" s="257"/>
      <c r="C569" s="226">
        <v>4170</v>
      </c>
      <c r="D569" s="251" t="s">
        <v>278</v>
      </c>
      <c r="E569" s="237">
        <v>12460</v>
      </c>
      <c r="F569" s="237"/>
      <c r="G569" s="237">
        <v>1080</v>
      </c>
      <c r="H569" s="237">
        <f t="shared" si="84"/>
        <v>11380</v>
      </c>
    </row>
    <row r="570" spans="1:8" s="204" customFormat="1" ht="21.75" customHeight="1" x14ac:dyDescent="0.2">
      <c r="A570" s="309"/>
      <c r="B570" s="269"/>
      <c r="C570" s="310">
        <v>4180</v>
      </c>
      <c r="D570" s="311" t="s">
        <v>425</v>
      </c>
      <c r="E570" s="229">
        <v>2840835</v>
      </c>
      <c r="F570" s="229">
        <v>1012</v>
      </c>
      <c r="G570" s="229"/>
      <c r="H570" s="229">
        <f t="shared" si="84"/>
        <v>2841847</v>
      </c>
    </row>
    <row r="571" spans="1:8" s="204" customFormat="1" ht="12" customHeight="1" x14ac:dyDescent="0.2">
      <c r="A571" s="304"/>
      <c r="B571" s="257"/>
      <c r="C571" s="258" t="s">
        <v>279</v>
      </c>
      <c r="D571" s="259" t="s">
        <v>280</v>
      </c>
      <c r="E571" s="237">
        <v>377512</v>
      </c>
      <c r="F571" s="237"/>
      <c r="G571" s="237">
        <v>24737</v>
      </c>
      <c r="H571" s="237">
        <f t="shared" si="84"/>
        <v>352775</v>
      </c>
    </row>
    <row r="572" spans="1:8" s="204" customFormat="1" ht="12" customHeight="1" x14ac:dyDescent="0.2">
      <c r="A572" s="304"/>
      <c r="B572" s="257"/>
      <c r="C572" s="226">
        <v>4260</v>
      </c>
      <c r="D572" s="251" t="s">
        <v>268</v>
      </c>
      <c r="E572" s="237">
        <v>261500</v>
      </c>
      <c r="F572" s="237"/>
      <c r="G572" s="237">
        <v>32193</v>
      </c>
      <c r="H572" s="237">
        <f t="shared" si="84"/>
        <v>229307</v>
      </c>
    </row>
    <row r="573" spans="1:8" s="204" customFormat="1" ht="12" customHeight="1" x14ac:dyDescent="0.2">
      <c r="A573" s="304"/>
      <c r="B573" s="257"/>
      <c r="C573" s="226">
        <v>4270</v>
      </c>
      <c r="D573" s="251" t="s">
        <v>269</v>
      </c>
      <c r="E573" s="237">
        <v>45000</v>
      </c>
      <c r="F573" s="237">
        <v>15911</v>
      </c>
      <c r="G573" s="237"/>
      <c r="H573" s="237">
        <f t="shared" si="84"/>
        <v>60911</v>
      </c>
    </row>
    <row r="574" spans="1:8" s="204" customFormat="1" ht="12" customHeight="1" x14ac:dyDescent="0.2">
      <c r="A574" s="304"/>
      <c r="B574" s="257"/>
      <c r="C574" s="226">
        <v>4280</v>
      </c>
      <c r="D574" s="251" t="s">
        <v>270</v>
      </c>
      <c r="E574" s="237">
        <v>53000</v>
      </c>
      <c r="F574" s="237"/>
      <c r="G574" s="237">
        <v>9727</v>
      </c>
      <c r="H574" s="237">
        <f t="shared" si="84"/>
        <v>43273</v>
      </c>
    </row>
    <row r="575" spans="1:8" s="204" customFormat="1" ht="12" customHeight="1" x14ac:dyDescent="0.2">
      <c r="A575" s="304"/>
      <c r="B575" s="257"/>
      <c r="C575" s="226">
        <v>4300</v>
      </c>
      <c r="D575" s="251" t="s">
        <v>266</v>
      </c>
      <c r="E575" s="237">
        <v>151227</v>
      </c>
      <c r="F575" s="237"/>
      <c r="G575" s="237">
        <v>1271</v>
      </c>
      <c r="H575" s="237">
        <f t="shared" si="84"/>
        <v>149956</v>
      </c>
    </row>
    <row r="576" spans="1:8" s="204" customFormat="1" ht="12" customHeight="1" x14ac:dyDescent="0.2">
      <c r="A576" s="304"/>
      <c r="B576" s="257"/>
      <c r="C576" s="226">
        <v>4360</v>
      </c>
      <c r="D576" s="251" t="s">
        <v>291</v>
      </c>
      <c r="E576" s="237">
        <v>15000</v>
      </c>
      <c r="F576" s="237">
        <v>548</v>
      </c>
      <c r="G576" s="237"/>
      <c r="H576" s="237">
        <f t="shared" si="84"/>
        <v>15548</v>
      </c>
    </row>
    <row r="577" spans="1:8" s="204" customFormat="1" ht="22.5" customHeight="1" x14ac:dyDescent="0.2">
      <c r="A577" s="304"/>
      <c r="B577" s="257"/>
      <c r="C577" s="242">
        <v>4390</v>
      </c>
      <c r="D577" s="268" t="s">
        <v>312</v>
      </c>
      <c r="E577" s="237">
        <v>6200</v>
      </c>
      <c r="F577" s="237">
        <v>6269</v>
      </c>
      <c r="G577" s="237"/>
      <c r="H577" s="237">
        <f t="shared" si="84"/>
        <v>12469</v>
      </c>
    </row>
    <row r="578" spans="1:8" s="204" customFormat="1" ht="12" customHeight="1" x14ac:dyDescent="0.2">
      <c r="A578" s="304"/>
      <c r="B578" s="257"/>
      <c r="C578" s="226">
        <v>4410</v>
      </c>
      <c r="D578" s="259" t="s">
        <v>292</v>
      </c>
      <c r="E578" s="237">
        <v>3000</v>
      </c>
      <c r="F578" s="237"/>
      <c r="G578" s="237">
        <v>1445</v>
      </c>
      <c r="H578" s="237">
        <f t="shared" si="84"/>
        <v>1555</v>
      </c>
    </row>
    <row r="579" spans="1:8" s="204" customFormat="1" ht="12" customHeight="1" x14ac:dyDescent="0.2">
      <c r="A579" s="304"/>
      <c r="B579" s="257"/>
      <c r="C579" s="226">
        <v>4430</v>
      </c>
      <c r="D579" s="251" t="s">
        <v>271</v>
      </c>
      <c r="E579" s="237">
        <v>5500</v>
      </c>
      <c r="F579" s="237">
        <v>1364</v>
      </c>
      <c r="G579" s="237"/>
      <c r="H579" s="237">
        <f t="shared" si="84"/>
        <v>6864</v>
      </c>
    </row>
    <row r="580" spans="1:8" s="204" customFormat="1" ht="12" customHeight="1" x14ac:dyDescent="0.2">
      <c r="A580" s="304"/>
      <c r="B580" s="257"/>
      <c r="C580" s="226">
        <v>4440</v>
      </c>
      <c r="D580" s="251" t="s">
        <v>293</v>
      </c>
      <c r="E580" s="237">
        <v>6652</v>
      </c>
      <c r="F580" s="237"/>
      <c r="G580" s="237">
        <v>731</v>
      </c>
      <c r="H580" s="237">
        <f t="shared" si="84"/>
        <v>5921</v>
      </c>
    </row>
    <row r="581" spans="1:8" s="204" customFormat="1" ht="12" customHeight="1" x14ac:dyDescent="0.2">
      <c r="A581" s="304"/>
      <c r="B581" s="257"/>
      <c r="C581" s="226">
        <v>4710</v>
      </c>
      <c r="D581" s="259" t="s">
        <v>296</v>
      </c>
      <c r="E581" s="237">
        <v>150</v>
      </c>
      <c r="F581" s="237"/>
      <c r="G581" s="237">
        <v>16</v>
      </c>
      <c r="H581" s="237">
        <f t="shared" si="84"/>
        <v>134</v>
      </c>
    </row>
    <row r="582" spans="1:8" s="204" customFormat="1" ht="12" customHeight="1" thickBot="1" x14ac:dyDescent="0.25">
      <c r="A582" s="221" t="s">
        <v>156</v>
      </c>
      <c r="B582" s="220"/>
      <c r="C582" s="221"/>
      <c r="D582" s="222" t="s">
        <v>342</v>
      </c>
      <c r="E582" s="218">
        <v>492600</v>
      </c>
      <c r="F582" s="218">
        <f>SUM(F583)</f>
        <v>12300</v>
      </c>
      <c r="G582" s="218">
        <f>SUM(G583)</f>
        <v>12300</v>
      </c>
      <c r="H582" s="218">
        <f t="shared" si="84"/>
        <v>492600</v>
      </c>
    </row>
    <row r="583" spans="1:8" s="204" customFormat="1" ht="12" customHeight="1" thickTop="1" x14ac:dyDescent="0.2">
      <c r="A583" s="302"/>
      <c r="B583" s="238">
        <v>85205</v>
      </c>
      <c r="C583" s="258"/>
      <c r="D583" s="265" t="s">
        <v>426</v>
      </c>
      <c r="E583" s="249">
        <v>492600</v>
      </c>
      <c r="F583" s="229">
        <f>SUM(F584)</f>
        <v>12300</v>
      </c>
      <c r="G583" s="229">
        <f>SUM(G584)</f>
        <v>12300</v>
      </c>
      <c r="H583" s="228">
        <f t="shared" si="84"/>
        <v>492600</v>
      </c>
    </row>
    <row r="584" spans="1:8" s="204" customFormat="1" ht="23.25" customHeight="1" x14ac:dyDescent="0.2">
      <c r="A584" s="302"/>
      <c r="B584" s="238"/>
      <c r="C584" s="214"/>
      <c r="D584" s="322" t="s">
        <v>427</v>
      </c>
      <c r="E584" s="326">
        <v>460200</v>
      </c>
      <c r="F584" s="323">
        <f>SUM(F585:F590)</f>
        <v>12300</v>
      </c>
      <c r="G584" s="323">
        <f>SUM(G585:G590)</f>
        <v>12300</v>
      </c>
      <c r="H584" s="288">
        <f t="shared" si="84"/>
        <v>460200</v>
      </c>
    </row>
    <row r="585" spans="1:8" s="204" customFormat="1" ht="12" customHeight="1" x14ac:dyDescent="0.2">
      <c r="A585" s="302"/>
      <c r="B585" s="238"/>
      <c r="C585" s="226">
        <v>4010</v>
      </c>
      <c r="D585" s="251" t="s">
        <v>284</v>
      </c>
      <c r="E585" s="252">
        <v>156286</v>
      </c>
      <c r="F585" s="244">
        <v>6171</v>
      </c>
      <c r="G585" s="244">
        <v>2000</v>
      </c>
      <c r="H585" s="237">
        <f t="shared" si="84"/>
        <v>160457</v>
      </c>
    </row>
    <row r="586" spans="1:8" s="204" customFormat="1" ht="12" customHeight="1" x14ac:dyDescent="0.2">
      <c r="A586" s="302"/>
      <c r="B586" s="238"/>
      <c r="C586" s="226">
        <v>4110</v>
      </c>
      <c r="D586" s="251" t="s">
        <v>288</v>
      </c>
      <c r="E586" s="252">
        <v>30419</v>
      </c>
      <c r="F586" s="244">
        <v>100</v>
      </c>
      <c r="G586" s="244"/>
      <c r="H586" s="237">
        <f t="shared" si="84"/>
        <v>30519</v>
      </c>
    </row>
    <row r="587" spans="1:8" s="204" customFormat="1" ht="12" customHeight="1" x14ac:dyDescent="0.2">
      <c r="A587" s="302"/>
      <c r="B587" s="238"/>
      <c r="C587" s="226">
        <v>4120</v>
      </c>
      <c r="D587" s="251" t="s">
        <v>362</v>
      </c>
      <c r="E587" s="252">
        <v>4297</v>
      </c>
      <c r="F587" s="244">
        <v>29</v>
      </c>
      <c r="G587" s="244"/>
      <c r="H587" s="237">
        <f t="shared" si="84"/>
        <v>4326</v>
      </c>
    </row>
    <row r="588" spans="1:8" s="204" customFormat="1" ht="12" customHeight="1" x14ac:dyDescent="0.2">
      <c r="A588" s="302"/>
      <c r="B588" s="238"/>
      <c r="C588" s="226">
        <v>4170</v>
      </c>
      <c r="D588" s="251" t="s">
        <v>278</v>
      </c>
      <c r="E588" s="252">
        <v>169336</v>
      </c>
      <c r="F588" s="244"/>
      <c r="G588" s="244">
        <v>8000</v>
      </c>
      <c r="H588" s="237">
        <f t="shared" si="84"/>
        <v>161336</v>
      </c>
    </row>
    <row r="589" spans="1:8" s="204" customFormat="1" ht="12" customHeight="1" x14ac:dyDescent="0.2">
      <c r="A589" s="302"/>
      <c r="B589" s="238"/>
      <c r="C589" s="226">
        <v>4300</v>
      </c>
      <c r="D589" s="251" t="s">
        <v>266</v>
      </c>
      <c r="E589" s="244">
        <v>28043</v>
      </c>
      <c r="F589" s="244">
        <f>2000+4000</f>
        <v>6000</v>
      </c>
      <c r="G589" s="244"/>
      <c r="H589" s="237">
        <f t="shared" si="84"/>
        <v>34043</v>
      </c>
    </row>
    <row r="590" spans="1:8" s="204" customFormat="1" ht="21.75" customHeight="1" x14ac:dyDescent="0.2">
      <c r="A590" s="302"/>
      <c r="B590" s="238"/>
      <c r="C590" s="242">
        <v>4700</v>
      </c>
      <c r="D590" s="254" t="s">
        <v>281</v>
      </c>
      <c r="E590" s="244">
        <v>12865</v>
      </c>
      <c r="F590" s="244"/>
      <c r="G590" s="244">
        <v>2300</v>
      </c>
      <c r="H590" s="237">
        <f t="shared" si="84"/>
        <v>10565</v>
      </c>
    </row>
    <row r="591" spans="1:8" s="204" customFormat="1" ht="3.75" customHeight="1" x14ac:dyDescent="0.2">
      <c r="A591" s="312"/>
      <c r="B591" s="312"/>
      <c r="C591" s="313"/>
      <c r="D591" s="314"/>
      <c r="E591" s="228"/>
      <c r="F591" s="228"/>
      <c r="G591" s="228"/>
      <c r="H591" s="228"/>
    </row>
    <row r="592" spans="1:8" s="204" customFormat="1" ht="12.6" customHeight="1" x14ac:dyDescent="0.2"/>
    <row r="593" s="204" customFormat="1" ht="12.6" customHeight="1" x14ac:dyDescent="0.2"/>
    <row r="594" s="204" customFormat="1" ht="12.6" customHeight="1" x14ac:dyDescent="0.2"/>
    <row r="595" s="204" customFormat="1" ht="12.6" customHeight="1" x14ac:dyDescent="0.2"/>
    <row r="596" s="204" customFormat="1" ht="12.6" customHeight="1" x14ac:dyDescent="0.2"/>
    <row r="597" s="204" customFormat="1" ht="12.6" customHeight="1" x14ac:dyDescent="0.2"/>
    <row r="598" s="204" customFormat="1" ht="12.6" customHeight="1" x14ac:dyDescent="0.2"/>
    <row r="599" s="204" customFormat="1" ht="12.6" customHeight="1" x14ac:dyDescent="0.2"/>
    <row r="600" s="204" customFormat="1" ht="12.6" customHeight="1" x14ac:dyDescent="0.2"/>
    <row r="601" s="204" customFormat="1" ht="12.6" customHeight="1" x14ac:dyDescent="0.2"/>
    <row r="602" s="204" customFormat="1" ht="12.6" customHeight="1" x14ac:dyDescent="0.2"/>
    <row r="603" s="204" customFormat="1" ht="12.6" customHeight="1" x14ac:dyDescent="0.2"/>
    <row r="604" s="204" customFormat="1" ht="12.6" customHeight="1" x14ac:dyDescent="0.2"/>
    <row r="605" s="204" customFormat="1" ht="12.6" customHeight="1" x14ac:dyDescent="0.2"/>
    <row r="606" s="204" customFormat="1" ht="12.6" customHeight="1" x14ac:dyDescent="0.2"/>
    <row r="607" s="204" customFormat="1" ht="12.6" customHeight="1" x14ac:dyDescent="0.2"/>
    <row r="608" s="204" customFormat="1" ht="12.6" customHeight="1" x14ac:dyDescent="0.2"/>
    <row r="609" s="204" customFormat="1" ht="12.6" customHeight="1" x14ac:dyDescent="0.2"/>
    <row r="610" s="204" customFormat="1" ht="12.6" customHeight="1" x14ac:dyDescent="0.2"/>
    <row r="611" s="204" customFormat="1" ht="12.6" customHeight="1" x14ac:dyDescent="0.2"/>
    <row r="612" s="204" customFormat="1" ht="12.6" customHeight="1" x14ac:dyDescent="0.2"/>
    <row r="613" s="204" customFormat="1" ht="12.6" customHeight="1" x14ac:dyDescent="0.2"/>
    <row r="614" s="204" customFormat="1" ht="12.6" customHeight="1" x14ac:dyDescent="0.2"/>
    <row r="615" s="204" customFormat="1" ht="12.6" customHeight="1" x14ac:dyDescent="0.2"/>
    <row r="616" s="204" customFormat="1" ht="12.6" customHeight="1" x14ac:dyDescent="0.2"/>
    <row r="617" s="204" customFormat="1" ht="12.6" customHeight="1" x14ac:dyDescent="0.2"/>
    <row r="618" s="204" customFormat="1" ht="12.6" customHeight="1" x14ac:dyDescent="0.2"/>
    <row r="619" s="204" customFormat="1" ht="12.6" customHeight="1" x14ac:dyDescent="0.2"/>
    <row r="620" s="204" customFormat="1" ht="12.6" customHeight="1" x14ac:dyDescent="0.2"/>
    <row r="621" s="204" customFormat="1" ht="12.6" customHeight="1" x14ac:dyDescent="0.2"/>
    <row r="622" s="204" customFormat="1" ht="12.6" customHeight="1" x14ac:dyDescent="0.2"/>
    <row r="623" s="204" customFormat="1" ht="12.6" customHeight="1" x14ac:dyDescent="0.2"/>
    <row r="624" s="204" customFormat="1" ht="12.6" customHeight="1" x14ac:dyDescent="0.2"/>
    <row r="625" s="204" customFormat="1" ht="12.6" customHeight="1" x14ac:dyDescent="0.2"/>
    <row r="626" s="204" customFormat="1" ht="12.6" customHeight="1" x14ac:dyDescent="0.2"/>
    <row r="627" s="204" customFormat="1" ht="12.6" customHeight="1" x14ac:dyDescent="0.2"/>
    <row r="628" s="204" customFormat="1" ht="12.6" customHeight="1" x14ac:dyDescent="0.2"/>
    <row r="629" s="204" customFormat="1" ht="12.6" customHeight="1" x14ac:dyDescent="0.2"/>
    <row r="630" s="204" customFormat="1" ht="12.2" customHeight="1" x14ac:dyDescent="0.2"/>
    <row r="631" s="204" customFormat="1" ht="12.2" customHeight="1" x14ac:dyDescent="0.2"/>
    <row r="632" s="204" customFormat="1" ht="12.2" customHeight="1" x14ac:dyDescent="0.2"/>
    <row r="633" s="204" customFormat="1" ht="12.95" customHeight="1" x14ac:dyDescent="0.2"/>
    <row r="634" s="204" customFormat="1" ht="12.95" customHeight="1" x14ac:dyDescent="0.2"/>
    <row r="635" s="204" customFormat="1" ht="12.95" customHeight="1" x14ac:dyDescent="0.2"/>
    <row r="636" s="204" customFormat="1" ht="12.95" customHeight="1" x14ac:dyDescent="0.2"/>
    <row r="637" s="204" customFormat="1" ht="12.95" customHeight="1" x14ac:dyDescent="0.2"/>
    <row r="638" s="204" customFormat="1" ht="12.95" customHeight="1" x14ac:dyDescent="0.2"/>
    <row r="639" s="204" customFormat="1" ht="12.95" customHeight="1" x14ac:dyDescent="0.2"/>
    <row r="640" s="204" customFormat="1" ht="12.95" customHeight="1" x14ac:dyDescent="0.2"/>
    <row r="641" s="204" customFormat="1" ht="12.95" customHeight="1" x14ac:dyDescent="0.2"/>
    <row r="642" s="204" customFormat="1" ht="12.95" customHeight="1" x14ac:dyDescent="0.2"/>
    <row r="643" s="204" customFormat="1" ht="12.95" customHeight="1" x14ac:dyDescent="0.2"/>
    <row r="644" s="204" customFormat="1" ht="12.95" customHeight="1" x14ac:dyDescent="0.2"/>
    <row r="645" s="204" customFormat="1" ht="12.95" customHeight="1" x14ac:dyDescent="0.2"/>
    <row r="646" s="204" customFormat="1" ht="12.95" customHeight="1" x14ac:dyDescent="0.2"/>
    <row r="647" s="204" customFormat="1" ht="12.95" customHeight="1" x14ac:dyDescent="0.2"/>
    <row r="648" s="204" customFormat="1" ht="12.95" customHeight="1" x14ac:dyDescent="0.2"/>
    <row r="649" s="204" customFormat="1" ht="12.95" customHeight="1" x14ac:dyDescent="0.2"/>
    <row r="650" s="204" customFormat="1" ht="12.95" customHeight="1" x14ac:dyDescent="0.2"/>
    <row r="651" s="204" customFormat="1" ht="12.95" customHeight="1" x14ac:dyDescent="0.2"/>
    <row r="652" s="204" customFormat="1" ht="12.95" customHeight="1" x14ac:dyDescent="0.2"/>
    <row r="653" s="204" customFormat="1" ht="12.95" customHeight="1" x14ac:dyDescent="0.2"/>
    <row r="654" s="204" customFormat="1" ht="12.95" customHeight="1" x14ac:dyDescent="0.2"/>
    <row r="655" s="204" customFormat="1" ht="12.95" customHeight="1" x14ac:dyDescent="0.2"/>
    <row r="656" s="204" customFormat="1" ht="12.95" customHeight="1" x14ac:dyDescent="0.2"/>
    <row r="657" s="204" customFormat="1" ht="12.95" customHeight="1" x14ac:dyDescent="0.2"/>
    <row r="658" s="204" customFormat="1" ht="12.95" customHeight="1" x14ac:dyDescent="0.2"/>
    <row r="659" s="204" customFormat="1" ht="12.95" customHeight="1" x14ac:dyDescent="0.2"/>
    <row r="660" s="204" customFormat="1" ht="12.95" customHeight="1" x14ac:dyDescent="0.2"/>
    <row r="661" s="204" customFormat="1" ht="12.95" customHeight="1" x14ac:dyDescent="0.2"/>
    <row r="662" s="204" customFormat="1" ht="12.95" customHeight="1" x14ac:dyDescent="0.2"/>
    <row r="663" s="204" customFormat="1" ht="12.95" customHeight="1" x14ac:dyDescent="0.2"/>
    <row r="664" s="204" customFormat="1" ht="12.95" customHeight="1" x14ac:dyDescent="0.2"/>
    <row r="665" s="204" customFormat="1" ht="12.95" customHeight="1" x14ac:dyDescent="0.2"/>
    <row r="666" s="204" customFormat="1" ht="12.95" customHeight="1" x14ac:dyDescent="0.2"/>
    <row r="667" s="204" customFormat="1" ht="12.95" customHeight="1" x14ac:dyDescent="0.2"/>
    <row r="668" s="204" customFormat="1" ht="12.95" customHeight="1" x14ac:dyDescent="0.2"/>
    <row r="669" s="204" customFormat="1" ht="12.95" customHeight="1" x14ac:dyDescent="0.2"/>
    <row r="670" s="204" customFormat="1" ht="12.95" customHeight="1" x14ac:dyDescent="0.2"/>
    <row r="671" s="204" customFormat="1" ht="12.95" customHeight="1" x14ac:dyDescent="0.2"/>
    <row r="672" s="204" customFormat="1" ht="12.95" customHeight="1" x14ac:dyDescent="0.2"/>
    <row r="673" s="204" customFormat="1" ht="12.95" customHeight="1" x14ac:dyDescent="0.2"/>
    <row r="674" s="204" customFormat="1" ht="12.95" customHeight="1" x14ac:dyDescent="0.2"/>
    <row r="675" s="204" customFormat="1" ht="12.95" customHeight="1" x14ac:dyDescent="0.2"/>
    <row r="676" s="204" customFormat="1" ht="12.95" customHeight="1" x14ac:dyDescent="0.2"/>
    <row r="677" s="204" customFormat="1" ht="12.95" customHeight="1" x14ac:dyDescent="0.2"/>
    <row r="678" s="204" customFormat="1" ht="12.95" customHeight="1" x14ac:dyDescent="0.2"/>
    <row r="679" s="204" customFormat="1" ht="12.95" customHeight="1" x14ac:dyDescent="0.2"/>
    <row r="680" s="204" customFormat="1" ht="12.95" customHeight="1" x14ac:dyDescent="0.2"/>
    <row r="681" s="204" customFormat="1" ht="12.95" customHeight="1" x14ac:dyDescent="0.2"/>
    <row r="682" s="204" customFormat="1" ht="12.95" customHeight="1" x14ac:dyDescent="0.2"/>
    <row r="683" s="204" customFormat="1" ht="12.95" customHeight="1" x14ac:dyDescent="0.2"/>
    <row r="684" s="204" customFormat="1" ht="12.95" customHeight="1" x14ac:dyDescent="0.2"/>
    <row r="685" s="204" customFormat="1" ht="12.95" customHeight="1" x14ac:dyDescent="0.2"/>
    <row r="686" s="204" customFormat="1" ht="12.95" customHeight="1" x14ac:dyDescent="0.2"/>
    <row r="687" s="204" customFormat="1" ht="12.95" customHeight="1" x14ac:dyDescent="0.2"/>
    <row r="688" s="204" customFormat="1" ht="12.95" customHeight="1" x14ac:dyDescent="0.2"/>
    <row r="689" s="204" customFormat="1" ht="12.95" customHeight="1" x14ac:dyDescent="0.2"/>
    <row r="690" s="204" customFormat="1" ht="12.95" customHeight="1" x14ac:dyDescent="0.2"/>
    <row r="691" s="204" customFormat="1" ht="12.95" customHeight="1" x14ac:dyDescent="0.2"/>
    <row r="692" s="204" customFormat="1" ht="12.95" customHeight="1" x14ac:dyDescent="0.2"/>
    <row r="693" s="204" customFormat="1" ht="12.95" customHeight="1" x14ac:dyDescent="0.2"/>
    <row r="694" s="204" customFormat="1" ht="12.95" customHeight="1" x14ac:dyDescent="0.2"/>
    <row r="695" s="204" customFormat="1" ht="12.95" customHeight="1" x14ac:dyDescent="0.2"/>
    <row r="696" s="204" customFormat="1" ht="12.95" customHeight="1" x14ac:dyDescent="0.2"/>
    <row r="697" s="204" customFormat="1" ht="12.95" customHeight="1" x14ac:dyDescent="0.2"/>
    <row r="698" s="204" customFormat="1" ht="12.95" customHeight="1" x14ac:dyDescent="0.2"/>
    <row r="699" s="204" customFormat="1" ht="12.95" customHeight="1" x14ac:dyDescent="0.2"/>
    <row r="700" customFormat="1" ht="12.95" customHeight="1" x14ac:dyDescent="0.25"/>
    <row r="701" customFormat="1" ht="12.95" customHeight="1" x14ac:dyDescent="0.25"/>
    <row r="702" customFormat="1" ht="12.95" customHeight="1" x14ac:dyDescent="0.25"/>
    <row r="703" customFormat="1" ht="12.95" customHeight="1" x14ac:dyDescent="0.25"/>
    <row r="704" customFormat="1" ht="12.95" customHeight="1" x14ac:dyDescent="0.25"/>
    <row r="705" customFormat="1" ht="12.95" customHeight="1" x14ac:dyDescent="0.25"/>
    <row r="706" customFormat="1" ht="12.95" customHeight="1" x14ac:dyDescent="0.25"/>
    <row r="707" customFormat="1" ht="12.95" customHeight="1" x14ac:dyDescent="0.25"/>
    <row r="708" customFormat="1" ht="12.95" customHeight="1" x14ac:dyDescent="0.25"/>
    <row r="709" customFormat="1" ht="12.95" customHeight="1" x14ac:dyDescent="0.25"/>
    <row r="710" customFormat="1" ht="12.95" customHeight="1" x14ac:dyDescent="0.25"/>
    <row r="711" customFormat="1" ht="12.95" customHeight="1" x14ac:dyDescent="0.25"/>
    <row r="712" customFormat="1" ht="12.75" customHeight="1" x14ac:dyDescent="0.25"/>
    <row r="713" customFormat="1" ht="12.75" customHeight="1" x14ac:dyDescent="0.25"/>
    <row r="714" customFormat="1" ht="12.75" customHeight="1" x14ac:dyDescent="0.25"/>
    <row r="715" customFormat="1" ht="12.75" customHeight="1" x14ac:dyDescent="0.25"/>
    <row r="716" customFormat="1" ht="12.75" customHeight="1" x14ac:dyDescent="0.25"/>
    <row r="717" customFormat="1" ht="12.75" customHeight="1" x14ac:dyDescent="0.25"/>
    <row r="718" customFormat="1" ht="12.75" customHeight="1" x14ac:dyDescent="0.25"/>
    <row r="719" customFormat="1" ht="12.75" customHeight="1" x14ac:dyDescent="0.25"/>
    <row r="720" customFormat="1" ht="12.75" customHeight="1" x14ac:dyDescent="0.25"/>
    <row r="721" customFormat="1" ht="12.75" customHeight="1" x14ac:dyDescent="0.25"/>
    <row r="722" customFormat="1" ht="12.75" customHeight="1" x14ac:dyDescent="0.25"/>
    <row r="723" customFormat="1" ht="12.75" customHeight="1" x14ac:dyDescent="0.25"/>
    <row r="724" customFormat="1" ht="12.75" customHeight="1" x14ac:dyDescent="0.25"/>
    <row r="725" customFormat="1" ht="12.75" customHeight="1" x14ac:dyDescent="0.25"/>
    <row r="726" customFormat="1" ht="12.75" customHeight="1" x14ac:dyDescent="0.25"/>
    <row r="727" customFormat="1" ht="12.75" customHeight="1" x14ac:dyDescent="0.25"/>
    <row r="728" customFormat="1" ht="12.75" customHeight="1" x14ac:dyDescent="0.25"/>
    <row r="729" customFormat="1" ht="12.75" customHeight="1" x14ac:dyDescent="0.25"/>
    <row r="730" customFormat="1" ht="12.75" customHeight="1" x14ac:dyDescent="0.25"/>
    <row r="731" customFormat="1" ht="12.75" customHeight="1" x14ac:dyDescent="0.25"/>
    <row r="732" customFormat="1" ht="12.75" customHeight="1" x14ac:dyDescent="0.25"/>
    <row r="733" customFormat="1" ht="12.75" customHeight="1" x14ac:dyDescent="0.25"/>
    <row r="734" customFormat="1" ht="12.75" customHeight="1" x14ac:dyDescent="0.25"/>
    <row r="735" customFormat="1" ht="12.75" customHeight="1" x14ac:dyDescent="0.25"/>
    <row r="736" customFormat="1" ht="12.75" customHeight="1" x14ac:dyDescent="0.25"/>
    <row r="737" customFormat="1" ht="12.75" customHeight="1" x14ac:dyDescent="0.25"/>
    <row r="738" customFormat="1" ht="12.75" customHeight="1" x14ac:dyDescent="0.25"/>
    <row r="739" customFormat="1" ht="12.75" customHeight="1" x14ac:dyDescent="0.25"/>
    <row r="740" customFormat="1" ht="12.75" customHeight="1" x14ac:dyDescent="0.25"/>
    <row r="741" customFormat="1" ht="12.75" customHeight="1" x14ac:dyDescent="0.25"/>
    <row r="742" customFormat="1" ht="12.75" customHeight="1" x14ac:dyDescent="0.25"/>
    <row r="743" customFormat="1" ht="12.75" customHeight="1" x14ac:dyDescent="0.25"/>
    <row r="744" customFormat="1" ht="12.75" customHeight="1" x14ac:dyDescent="0.25"/>
    <row r="745" customFormat="1" ht="12.75" customHeight="1" x14ac:dyDescent="0.25"/>
    <row r="746" customFormat="1" ht="12.75" customHeight="1" x14ac:dyDescent="0.25"/>
    <row r="747" customFormat="1" ht="12.75" customHeight="1" x14ac:dyDescent="0.25"/>
    <row r="748" customFormat="1" ht="12.75" customHeight="1" x14ac:dyDescent="0.25"/>
    <row r="749" customFormat="1" ht="12.75" customHeight="1" x14ac:dyDescent="0.25"/>
    <row r="750" customFormat="1" ht="12.75" customHeight="1" x14ac:dyDescent="0.25"/>
    <row r="751" customFormat="1" ht="12.75" customHeight="1" x14ac:dyDescent="0.25"/>
    <row r="752" customFormat="1" ht="12.75" customHeight="1" x14ac:dyDescent="0.25"/>
    <row r="753" customFormat="1" ht="12.75" customHeight="1" x14ac:dyDescent="0.25"/>
    <row r="754" customFormat="1" ht="12.75" customHeight="1" x14ac:dyDescent="0.25"/>
    <row r="755" customFormat="1" ht="12.75" customHeight="1" x14ac:dyDescent="0.25"/>
    <row r="756" customFormat="1" ht="12.75" customHeight="1" x14ac:dyDescent="0.25"/>
    <row r="757" customFormat="1" ht="12.75" customHeight="1" x14ac:dyDescent="0.25"/>
    <row r="758" customFormat="1" ht="12.75" customHeight="1" x14ac:dyDescent="0.25"/>
    <row r="759" customFormat="1" ht="12.75" customHeight="1" x14ac:dyDescent="0.25"/>
    <row r="760" customFormat="1" ht="12.75" customHeight="1" x14ac:dyDescent="0.25"/>
    <row r="761" customFormat="1" ht="12.75" customHeight="1" x14ac:dyDescent="0.25"/>
    <row r="762" customFormat="1" ht="12.75" customHeight="1" x14ac:dyDescent="0.25"/>
    <row r="763" customFormat="1" ht="12.75" customHeight="1" x14ac:dyDescent="0.25"/>
    <row r="764" customFormat="1" ht="12.75" customHeight="1" x14ac:dyDescent="0.25"/>
    <row r="765" customFormat="1" ht="12.75" customHeight="1" x14ac:dyDescent="0.25"/>
    <row r="766" customFormat="1" ht="12.75" customHeight="1" x14ac:dyDescent="0.25"/>
    <row r="767" customFormat="1" ht="12.75" customHeight="1" x14ac:dyDescent="0.25"/>
    <row r="768" customFormat="1" ht="12.75" customHeight="1" x14ac:dyDescent="0.25"/>
    <row r="769" customFormat="1" ht="12.75" customHeight="1" x14ac:dyDescent="0.25"/>
    <row r="770" customFormat="1" ht="12.75" customHeight="1" x14ac:dyDescent="0.25"/>
    <row r="771" customFormat="1" ht="12.75" customHeight="1" x14ac:dyDescent="0.25"/>
    <row r="772" customFormat="1" ht="12.75" customHeight="1" x14ac:dyDescent="0.25"/>
    <row r="773" customFormat="1" ht="12.75" customHeight="1" x14ac:dyDescent="0.25"/>
    <row r="774" customFormat="1" ht="12.75" customHeight="1" x14ac:dyDescent="0.25"/>
    <row r="775" customFormat="1" ht="12.75" customHeight="1" x14ac:dyDescent="0.25"/>
    <row r="776" customFormat="1" ht="12.75" customHeight="1" x14ac:dyDescent="0.25"/>
    <row r="777" customFormat="1" ht="12.75" customHeight="1" x14ac:dyDescent="0.25"/>
    <row r="778" customFormat="1" ht="12.75" customHeight="1" x14ac:dyDescent="0.25"/>
    <row r="779" customFormat="1" ht="12.75" customHeight="1" x14ac:dyDescent="0.25"/>
    <row r="780" customFormat="1" ht="12.75" customHeight="1" x14ac:dyDescent="0.25"/>
    <row r="781" customFormat="1" ht="12.75" customHeight="1" x14ac:dyDescent="0.25"/>
    <row r="782" customFormat="1" ht="12.75" customHeight="1" x14ac:dyDescent="0.25"/>
    <row r="783" customFormat="1" ht="12.75" customHeight="1" x14ac:dyDescent="0.25"/>
    <row r="784" customFormat="1" ht="12.75" customHeight="1" x14ac:dyDescent="0.25"/>
    <row r="785" customFormat="1" ht="12.75" customHeight="1" x14ac:dyDescent="0.25"/>
    <row r="786" customFormat="1" ht="12.75" customHeight="1" x14ac:dyDescent="0.25"/>
    <row r="787" customFormat="1" ht="12.75" customHeight="1" x14ac:dyDescent="0.25"/>
    <row r="788" customFormat="1" ht="12.75" customHeight="1" x14ac:dyDescent="0.25"/>
    <row r="789" customFormat="1" ht="12.75" customHeight="1" x14ac:dyDescent="0.25"/>
    <row r="790" customFormat="1" ht="12.75" customHeight="1" x14ac:dyDescent="0.25"/>
    <row r="791" customFormat="1" ht="12.75" customHeight="1" x14ac:dyDescent="0.25"/>
    <row r="792" customFormat="1" ht="12.75" customHeight="1" x14ac:dyDescent="0.25"/>
    <row r="793" customFormat="1" ht="12.75" customHeight="1" x14ac:dyDescent="0.25"/>
    <row r="794" customFormat="1" ht="12.75" customHeight="1" x14ac:dyDescent="0.25"/>
    <row r="795" customFormat="1" ht="12.75" customHeight="1" x14ac:dyDescent="0.25"/>
    <row r="796" customFormat="1" ht="12.75" customHeight="1" x14ac:dyDescent="0.25"/>
    <row r="797" customFormat="1" ht="12.75" customHeight="1" x14ac:dyDescent="0.25"/>
    <row r="798" customFormat="1" ht="12.75" customHeight="1" x14ac:dyDescent="0.25"/>
    <row r="799" customFormat="1" ht="12.75" customHeight="1" x14ac:dyDescent="0.25"/>
    <row r="800" customFormat="1" ht="12.75" customHeight="1" x14ac:dyDescent="0.25"/>
    <row r="801" customFormat="1" ht="12.75" customHeight="1" x14ac:dyDescent="0.25"/>
    <row r="802" customFormat="1" ht="12.75" customHeight="1" x14ac:dyDescent="0.25"/>
    <row r="803" customFormat="1" ht="12.75" customHeight="1" x14ac:dyDescent="0.25"/>
    <row r="804" customFormat="1" ht="12.75" customHeight="1" x14ac:dyDescent="0.25"/>
    <row r="805" customFormat="1" ht="12.75" customHeight="1" x14ac:dyDescent="0.25"/>
    <row r="806" customFormat="1" ht="12.75" customHeight="1" x14ac:dyDescent="0.25"/>
    <row r="807" customFormat="1" ht="12.75" customHeight="1" x14ac:dyDescent="0.25"/>
    <row r="808" customFormat="1" ht="12.75" customHeight="1" x14ac:dyDescent="0.25"/>
    <row r="809" customFormat="1" ht="12.75" customHeight="1" x14ac:dyDescent="0.25"/>
    <row r="810" customFormat="1" ht="12.75" customHeight="1" x14ac:dyDescent="0.25"/>
    <row r="811" customFormat="1" ht="12.75" customHeight="1" x14ac:dyDescent="0.25"/>
    <row r="812" customFormat="1" ht="12.75" customHeight="1" x14ac:dyDescent="0.25"/>
    <row r="813" customFormat="1" ht="12.75" customHeight="1" x14ac:dyDescent="0.25"/>
    <row r="814" customFormat="1" ht="12.75" customHeight="1" x14ac:dyDescent="0.25"/>
    <row r="815" customFormat="1" ht="12.75" customHeight="1" x14ac:dyDescent="0.25"/>
    <row r="816" customFormat="1" ht="12.75" customHeight="1" x14ac:dyDescent="0.25"/>
    <row r="817" customFormat="1" ht="12.75" customHeight="1" x14ac:dyDescent="0.25"/>
    <row r="818" customFormat="1" ht="12.75" customHeight="1" x14ac:dyDescent="0.25"/>
    <row r="819" customFormat="1" ht="12.75" customHeight="1" x14ac:dyDescent="0.25"/>
    <row r="820" customFormat="1" ht="12.75" customHeight="1" x14ac:dyDescent="0.25"/>
    <row r="821" customFormat="1" ht="12.75" customHeight="1" x14ac:dyDescent="0.25"/>
    <row r="822" customFormat="1" ht="12.75" customHeight="1" x14ac:dyDescent="0.25"/>
    <row r="823" customFormat="1" ht="12.75" customHeight="1" x14ac:dyDescent="0.25"/>
    <row r="824" customFormat="1" ht="12.75" customHeight="1" x14ac:dyDescent="0.25"/>
    <row r="825" customFormat="1" ht="12.75" customHeight="1" x14ac:dyDescent="0.25"/>
    <row r="826" customFormat="1" ht="12.75" customHeight="1" x14ac:dyDescent="0.25"/>
    <row r="827" customFormat="1" ht="12.75" customHeight="1" x14ac:dyDescent="0.25"/>
    <row r="828" customFormat="1" ht="12.75" customHeight="1" x14ac:dyDescent="0.25"/>
    <row r="829" customFormat="1" ht="12.75" customHeight="1" x14ac:dyDescent="0.25"/>
    <row r="830" customFormat="1" ht="12.75" customHeight="1" x14ac:dyDescent="0.25"/>
    <row r="831" customFormat="1" ht="12.75" customHeight="1" x14ac:dyDescent="0.25"/>
    <row r="832" customFormat="1" ht="12.75" customHeight="1" x14ac:dyDescent="0.25"/>
    <row r="833" customFormat="1" ht="12.75" customHeight="1" x14ac:dyDescent="0.25"/>
    <row r="834" customFormat="1" ht="12.75" customHeight="1" x14ac:dyDescent="0.25"/>
    <row r="835" customFormat="1" ht="12.75" customHeight="1" x14ac:dyDescent="0.25"/>
    <row r="836" customFormat="1" ht="12.75" customHeight="1" x14ac:dyDescent="0.25"/>
    <row r="837" customFormat="1" ht="12.75" customHeight="1" x14ac:dyDescent="0.25"/>
    <row r="838" customFormat="1" ht="12.75" customHeight="1" x14ac:dyDescent="0.25"/>
    <row r="839" customFormat="1" ht="12.75" customHeight="1" x14ac:dyDescent="0.25"/>
    <row r="840" customFormat="1" ht="12.75" customHeight="1" x14ac:dyDescent="0.25"/>
    <row r="841" customFormat="1" ht="12.75" customHeight="1" x14ac:dyDescent="0.25"/>
    <row r="842" customFormat="1" ht="12.75" customHeight="1" x14ac:dyDescent="0.25"/>
    <row r="843" customFormat="1" ht="12.75" customHeight="1" x14ac:dyDescent="0.25"/>
    <row r="844" customFormat="1" ht="12.75" customHeight="1" x14ac:dyDescent="0.25"/>
    <row r="845" customFormat="1" ht="12.75" customHeight="1" x14ac:dyDescent="0.25"/>
    <row r="846" customFormat="1" ht="12.75" customHeight="1" x14ac:dyDescent="0.25"/>
    <row r="847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6" manualBreakCount="6">
    <brk id="40" max="7" man="1"/>
    <brk id="143" max="7" man="1"/>
    <brk id="195" max="7" man="1"/>
    <brk id="366" max="7" man="1"/>
    <brk id="416" max="7" man="1"/>
    <brk id="46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82B6-8D66-4566-A7A3-922E5DF3D4A8}">
  <sheetPr>
    <tabColor rgb="FF002060"/>
  </sheetPr>
  <dimension ref="A1:BV22"/>
  <sheetViews>
    <sheetView zoomScale="130" zoomScaleNormal="130" workbookViewId="0"/>
  </sheetViews>
  <sheetFormatPr defaultRowHeight="12.75" x14ac:dyDescent="0.2"/>
  <cols>
    <col min="1" max="1" width="4.28515625" style="338" customWidth="1"/>
    <col min="2" max="2" width="8.7109375" style="338" customWidth="1"/>
    <col min="3" max="3" width="5.5703125" style="338" customWidth="1"/>
    <col min="4" max="4" width="10.140625" style="338" customWidth="1"/>
    <col min="5" max="5" width="10.42578125" style="338" customWidth="1"/>
    <col min="6" max="6" width="10.28515625" style="338" customWidth="1"/>
    <col min="7" max="7" width="14" style="338" customWidth="1"/>
    <col min="8" max="8" width="14.28515625" style="339" customWidth="1"/>
    <col min="9" max="9" width="11.28515625" style="339" customWidth="1"/>
    <col min="10" max="74" width="9.140625" style="339"/>
    <col min="75" max="256" width="9.140625" style="338"/>
    <col min="257" max="257" width="4.28515625" style="338" customWidth="1"/>
    <col min="258" max="258" width="8.7109375" style="338" customWidth="1"/>
    <col min="259" max="259" width="5.5703125" style="338" customWidth="1"/>
    <col min="260" max="260" width="10.140625" style="338" customWidth="1"/>
    <col min="261" max="261" width="10.42578125" style="338" customWidth="1"/>
    <col min="262" max="262" width="10.28515625" style="338" customWidth="1"/>
    <col min="263" max="263" width="14" style="338" customWidth="1"/>
    <col min="264" max="264" width="14.28515625" style="338" customWidth="1"/>
    <col min="265" max="265" width="11.28515625" style="338" customWidth="1"/>
    <col min="266" max="512" width="9.140625" style="338"/>
    <col min="513" max="513" width="4.28515625" style="338" customWidth="1"/>
    <col min="514" max="514" width="8.7109375" style="338" customWidth="1"/>
    <col min="515" max="515" width="5.5703125" style="338" customWidth="1"/>
    <col min="516" max="516" width="10.140625" style="338" customWidth="1"/>
    <col min="517" max="517" width="10.42578125" style="338" customWidth="1"/>
    <col min="518" max="518" width="10.28515625" style="338" customWidth="1"/>
    <col min="519" max="519" width="14" style="338" customWidth="1"/>
    <col min="520" max="520" width="14.28515625" style="338" customWidth="1"/>
    <col min="521" max="521" width="11.28515625" style="338" customWidth="1"/>
    <col min="522" max="768" width="9.140625" style="338"/>
    <col min="769" max="769" width="4.28515625" style="338" customWidth="1"/>
    <col min="770" max="770" width="8.7109375" style="338" customWidth="1"/>
    <col min="771" max="771" width="5.5703125" style="338" customWidth="1"/>
    <col min="772" max="772" width="10.140625" style="338" customWidth="1"/>
    <col min="773" max="773" width="10.42578125" style="338" customWidth="1"/>
    <col min="774" max="774" width="10.28515625" style="338" customWidth="1"/>
    <col min="775" max="775" width="14" style="338" customWidth="1"/>
    <col min="776" max="776" width="14.28515625" style="338" customWidth="1"/>
    <col min="777" max="777" width="11.28515625" style="338" customWidth="1"/>
    <col min="778" max="1024" width="9.140625" style="338"/>
    <col min="1025" max="1025" width="4.28515625" style="338" customWidth="1"/>
    <col min="1026" max="1026" width="8.7109375" style="338" customWidth="1"/>
    <col min="1027" max="1027" width="5.5703125" style="338" customWidth="1"/>
    <col min="1028" max="1028" width="10.140625" style="338" customWidth="1"/>
    <col min="1029" max="1029" width="10.42578125" style="338" customWidth="1"/>
    <col min="1030" max="1030" width="10.28515625" style="338" customWidth="1"/>
    <col min="1031" max="1031" width="14" style="338" customWidth="1"/>
    <col min="1032" max="1032" width="14.28515625" style="338" customWidth="1"/>
    <col min="1033" max="1033" width="11.28515625" style="338" customWidth="1"/>
    <col min="1034" max="1280" width="9.140625" style="338"/>
    <col min="1281" max="1281" width="4.28515625" style="338" customWidth="1"/>
    <col min="1282" max="1282" width="8.7109375" style="338" customWidth="1"/>
    <col min="1283" max="1283" width="5.5703125" style="338" customWidth="1"/>
    <col min="1284" max="1284" width="10.140625" style="338" customWidth="1"/>
    <col min="1285" max="1285" width="10.42578125" style="338" customWidth="1"/>
    <col min="1286" max="1286" width="10.28515625" style="338" customWidth="1"/>
    <col min="1287" max="1287" width="14" style="338" customWidth="1"/>
    <col min="1288" max="1288" width="14.28515625" style="338" customWidth="1"/>
    <col min="1289" max="1289" width="11.28515625" style="338" customWidth="1"/>
    <col min="1290" max="1536" width="9.140625" style="338"/>
    <col min="1537" max="1537" width="4.28515625" style="338" customWidth="1"/>
    <col min="1538" max="1538" width="8.7109375" style="338" customWidth="1"/>
    <col min="1539" max="1539" width="5.5703125" style="338" customWidth="1"/>
    <col min="1540" max="1540" width="10.140625" style="338" customWidth="1"/>
    <col min="1541" max="1541" width="10.42578125" style="338" customWidth="1"/>
    <col min="1542" max="1542" width="10.28515625" style="338" customWidth="1"/>
    <col min="1543" max="1543" width="14" style="338" customWidth="1"/>
    <col min="1544" max="1544" width="14.28515625" style="338" customWidth="1"/>
    <col min="1545" max="1545" width="11.28515625" style="338" customWidth="1"/>
    <col min="1546" max="1792" width="9.140625" style="338"/>
    <col min="1793" max="1793" width="4.28515625" style="338" customWidth="1"/>
    <col min="1794" max="1794" width="8.7109375" style="338" customWidth="1"/>
    <col min="1795" max="1795" width="5.5703125" style="338" customWidth="1"/>
    <col min="1796" max="1796" width="10.140625" style="338" customWidth="1"/>
    <col min="1797" max="1797" width="10.42578125" style="338" customWidth="1"/>
    <col min="1798" max="1798" width="10.28515625" style="338" customWidth="1"/>
    <col min="1799" max="1799" width="14" style="338" customWidth="1"/>
    <col min="1800" max="1800" width="14.28515625" style="338" customWidth="1"/>
    <col min="1801" max="1801" width="11.28515625" style="338" customWidth="1"/>
    <col min="1802" max="2048" width="9.140625" style="338"/>
    <col min="2049" max="2049" width="4.28515625" style="338" customWidth="1"/>
    <col min="2050" max="2050" width="8.7109375" style="338" customWidth="1"/>
    <col min="2051" max="2051" width="5.5703125" style="338" customWidth="1"/>
    <col min="2052" max="2052" width="10.140625" style="338" customWidth="1"/>
    <col min="2053" max="2053" width="10.42578125" style="338" customWidth="1"/>
    <col min="2054" max="2054" width="10.28515625" style="338" customWidth="1"/>
    <col min="2055" max="2055" width="14" style="338" customWidth="1"/>
    <col min="2056" max="2056" width="14.28515625" style="338" customWidth="1"/>
    <col min="2057" max="2057" width="11.28515625" style="338" customWidth="1"/>
    <col min="2058" max="2304" width="9.140625" style="338"/>
    <col min="2305" max="2305" width="4.28515625" style="338" customWidth="1"/>
    <col min="2306" max="2306" width="8.7109375" style="338" customWidth="1"/>
    <col min="2307" max="2307" width="5.5703125" style="338" customWidth="1"/>
    <col min="2308" max="2308" width="10.140625" style="338" customWidth="1"/>
    <col min="2309" max="2309" width="10.42578125" style="338" customWidth="1"/>
    <col min="2310" max="2310" width="10.28515625" style="338" customWidth="1"/>
    <col min="2311" max="2311" width="14" style="338" customWidth="1"/>
    <col min="2312" max="2312" width="14.28515625" style="338" customWidth="1"/>
    <col min="2313" max="2313" width="11.28515625" style="338" customWidth="1"/>
    <col min="2314" max="2560" width="9.140625" style="338"/>
    <col min="2561" max="2561" width="4.28515625" style="338" customWidth="1"/>
    <col min="2562" max="2562" width="8.7109375" style="338" customWidth="1"/>
    <col min="2563" max="2563" width="5.5703125" style="338" customWidth="1"/>
    <col min="2564" max="2564" width="10.140625" style="338" customWidth="1"/>
    <col min="2565" max="2565" width="10.42578125" style="338" customWidth="1"/>
    <col min="2566" max="2566" width="10.28515625" style="338" customWidth="1"/>
    <col min="2567" max="2567" width="14" style="338" customWidth="1"/>
    <col min="2568" max="2568" width="14.28515625" style="338" customWidth="1"/>
    <col min="2569" max="2569" width="11.28515625" style="338" customWidth="1"/>
    <col min="2570" max="2816" width="9.140625" style="338"/>
    <col min="2817" max="2817" width="4.28515625" style="338" customWidth="1"/>
    <col min="2818" max="2818" width="8.7109375" style="338" customWidth="1"/>
    <col min="2819" max="2819" width="5.5703125" style="338" customWidth="1"/>
    <col min="2820" max="2820" width="10.140625" style="338" customWidth="1"/>
    <col min="2821" max="2821" width="10.42578125" style="338" customWidth="1"/>
    <col min="2822" max="2822" width="10.28515625" style="338" customWidth="1"/>
    <col min="2823" max="2823" width="14" style="338" customWidth="1"/>
    <col min="2824" max="2824" width="14.28515625" style="338" customWidth="1"/>
    <col min="2825" max="2825" width="11.28515625" style="338" customWidth="1"/>
    <col min="2826" max="3072" width="9.140625" style="338"/>
    <col min="3073" max="3073" width="4.28515625" style="338" customWidth="1"/>
    <col min="3074" max="3074" width="8.7109375" style="338" customWidth="1"/>
    <col min="3075" max="3075" width="5.5703125" style="338" customWidth="1"/>
    <col min="3076" max="3076" width="10.140625" style="338" customWidth="1"/>
    <col min="3077" max="3077" width="10.42578125" style="338" customWidth="1"/>
    <col min="3078" max="3078" width="10.28515625" style="338" customWidth="1"/>
    <col min="3079" max="3079" width="14" style="338" customWidth="1"/>
    <col min="3080" max="3080" width="14.28515625" style="338" customWidth="1"/>
    <col min="3081" max="3081" width="11.28515625" style="338" customWidth="1"/>
    <col min="3082" max="3328" width="9.140625" style="338"/>
    <col min="3329" max="3329" width="4.28515625" style="338" customWidth="1"/>
    <col min="3330" max="3330" width="8.7109375" style="338" customWidth="1"/>
    <col min="3331" max="3331" width="5.5703125" style="338" customWidth="1"/>
    <col min="3332" max="3332" width="10.140625" style="338" customWidth="1"/>
    <col min="3333" max="3333" width="10.42578125" style="338" customWidth="1"/>
    <col min="3334" max="3334" width="10.28515625" style="338" customWidth="1"/>
    <col min="3335" max="3335" width="14" style="338" customWidth="1"/>
    <col min="3336" max="3336" width="14.28515625" style="338" customWidth="1"/>
    <col min="3337" max="3337" width="11.28515625" style="338" customWidth="1"/>
    <col min="3338" max="3584" width="9.140625" style="338"/>
    <col min="3585" max="3585" width="4.28515625" style="338" customWidth="1"/>
    <col min="3586" max="3586" width="8.7109375" style="338" customWidth="1"/>
    <col min="3587" max="3587" width="5.5703125" style="338" customWidth="1"/>
    <col min="3588" max="3588" width="10.140625" style="338" customWidth="1"/>
    <col min="3589" max="3589" width="10.42578125" style="338" customWidth="1"/>
    <col min="3590" max="3590" width="10.28515625" style="338" customWidth="1"/>
    <col min="3591" max="3591" width="14" style="338" customWidth="1"/>
    <col min="3592" max="3592" width="14.28515625" style="338" customWidth="1"/>
    <col min="3593" max="3593" width="11.28515625" style="338" customWidth="1"/>
    <col min="3594" max="3840" width="9.140625" style="338"/>
    <col min="3841" max="3841" width="4.28515625" style="338" customWidth="1"/>
    <col min="3842" max="3842" width="8.7109375" style="338" customWidth="1"/>
    <col min="3843" max="3843" width="5.5703125" style="338" customWidth="1"/>
    <col min="3844" max="3844" width="10.140625" style="338" customWidth="1"/>
    <col min="3845" max="3845" width="10.42578125" style="338" customWidth="1"/>
    <col min="3846" max="3846" width="10.28515625" style="338" customWidth="1"/>
    <col min="3847" max="3847" width="14" style="338" customWidth="1"/>
    <col min="3848" max="3848" width="14.28515625" style="338" customWidth="1"/>
    <col min="3849" max="3849" width="11.28515625" style="338" customWidth="1"/>
    <col min="3850" max="4096" width="9.140625" style="338"/>
    <col min="4097" max="4097" width="4.28515625" style="338" customWidth="1"/>
    <col min="4098" max="4098" width="8.7109375" style="338" customWidth="1"/>
    <col min="4099" max="4099" width="5.5703125" style="338" customWidth="1"/>
    <col min="4100" max="4100" width="10.140625" style="338" customWidth="1"/>
    <col min="4101" max="4101" width="10.42578125" style="338" customWidth="1"/>
    <col min="4102" max="4102" width="10.28515625" style="338" customWidth="1"/>
    <col min="4103" max="4103" width="14" style="338" customWidth="1"/>
    <col min="4104" max="4104" width="14.28515625" style="338" customWidth="1"/>
    <col min="4105" max="4105" width="11.28515625" style="338" customWidth="1"/>
    <col min="4106" max="4352" width="9.140625" style="338"/>
    <col min="4353" max="4353" width="4.28515625" style="338" customWidth="1"/>
    <col min="4354" max="4354" width="8.7109375" style="338" customWidth="1"/>
    <col min="4355" max="4355" width="5.5703125" style="338" customWidth="1"/>
    <col min="4356" max="4356" width="10.140625" style="338" customWidth="1"/>
    <col min="4357" max="4357" width="10.42578125" style="338" customWidth="1"/>
    <col min="4358" max="4358" width="10.28515625" style="338" customWidth="1"/>
    <col min="4359" max="4359" width="14" style="338" customWidth="1"/>
    <col min="4360" max="4360" width="14.28515625" style="338" customWidth="1"/>
    <col min="4361" max="4361" width="11.28515625" style="338" customWidth="1"/>
    <col min="4362" max="4608" width="9.140625" style="338"/>
    <col min="4609" max="4609" width="4.28515625" style="338" customWidth="1"/>
    <col min="4610" max="4610" width="8.7109375" style="338" customWidth="1"/>
    <col min="4611" max="4611" width="5.5703125" style="338" customWidth="1"/>
    <col min="4612" max="4612" width="10.140625" style="338" customWidth="1"/>
    <col min="4613" max="4613" width="10.42578125" style="338" customWidth="1"/>
    <col min="4614" max="4614" width="10.28515625" style="338" customWidth="1"/>
    <col min="4615" max="4615" width="14" style="338" customWidth="1"/>
    <col min="4616" max="4616" width="14.28515625" style="338" customWidth="1"/>
    <col min="4617" max="4617" width="11.28515625" style="338" customWidth="1"/>
    <col min="4618" max="4864" width="9.140625" style="338"/>
    <col min="4865" max="4865" width="4.28515625" style="338" customWidth="1"/>
    <col min="4866" max="4866" width="8.7109375" style="338" customWidth="1"/>
    <col min="4867" max="4867" width="5.5703125" style="338" customWidth="1"/>
    <col min="4868" max="4868" width="10.140625" style="338" customWidth="1"/>
    <col min="4869" max="4869" width="10.42578125" style="338" customWidth="1"/>
    <col min="4870" max="4870" width="10.28515625" style="338" customWidth="1"/>
    <col min="4871" max="4871" width="14" style="338" customWidth="1"/>
    <col min="4872" max="4872" width="14.28515625" style="338" customWidth="1"/>
    <col min="4873" max="4873" width="11.28515625" style="338" customWidth="1"/>
    <col min="4874" max="5120" width="9.140625" style="338"/>
    <col min="5121" max="5121" width="4.28515625" style="338" customWidth="1"/>
    <col min="5122" max="5122" width="8.7109375" style="338" customWidth="1"/>
    <col min="5123" max="5123" width="5.5703125" style="338" customWidth="1"/>
    <col min="5124" max="5124" width="10.140625" style="338" customWidth="1"/>
    <col min="5125" max="5125" width="10.42578125" style="338" customWidth="1"/>
    <col min="5126" max="5126" width="10.28515625" style="338" customWidth="1"/>
    <col min="5127" max="5127" width="14" style="338" customWidth="1"/>
    <col min="5128" max="5128" width="14.28515625" style="338" customWidth="1"/>
    <col min="5129" max="5129" width="11.28515625" style="338" customWidth="1"/>
    <col min="5130" max="5376" width="9.140625" style="338"/>
    <col min="5377" max="5377" width="4.28515625" style="338" customWidth="1"/>
    <col min="5378" max="5378" width="8.7109375" style="338" customWidth="1"/>
    <col min="5379" max="5379" width="5.5703125" style="338" customWidth="1"/>
    <col min="5380" max="5380" width="10.140625" style="338" customWidth="1"/>
    <col min="5381" max="5381" width="10.42578125" style="338" customWidth="1"/>
    <col min="5382" max="5382" width="10.28515625" style="338" customWidth="1"/>
    <col min="5383" max="5383" width="14" style="338" customWidth="1"/>
    <col min="5384" max="5384" width="14.28515625" style="338" customWidth="1"/>
    <col min="5385" max="5385" width="11.28515625" style="338" customWidth="1"/>
    <col min="5386" max="5632" width="9.140625" style="338"/>
    <col min="5633" max="5633" width="4.28515625" style="338" customWidth="1"/>
    <col min="5634" max="5634" width="8.7109375" style="338" customWidth="1"/>
    <col min="5635" max="5635" width="5.5703125" style="338" customWidth="1"/>
    <col min="5636" max="5636" width="10.140625" style="338" customWidth="1"/>
    <col min="5637" max="5637" width="10.42578125" style="338" customWidth="1"/>
    <col min="5638" max="5638" width="10.28515625" style="338" customWidth="1"/>
    <col min="5639" max="5639" width="14" style="338" customWidth="1"/>
    <col min="5640" max="5640" width="14.28515625" style="338" customWidth="1"/>
    <col min="5641" max="5641" width="11.28515625" style="338" customWidth="1"/>
    <col min="5642" max="5888" width="9.140625" style="338"/>
    <col min="5889" max="5889" width="4.28515625" style="338" customWidth="1"/>
    <col min="5890" max="5890" width="8.7109375" style="338" customWidth="1"/>
    <col min="5891" max="5891" width="5.5703125" style="338" customWidth="1"/>
    <col min="5892" max="5892" width="10.140625" style="338" customWidth="1"/>
    <col min="5893" max="5893" width="10.42578125" style="338" customWidth="1"/>
    <col min="5894" max="5894" width="10.28515625" style="338" customWidth="1"/>
    <col min="5895" max="5895" width="14" style="338" customWidth="1"/>
    <col min="5896" max="5896" width="14.28515625" style="338" customWidth="1"/>
    <col min="5897" max="5897" width="11.28515625" style="338" customWidth="1"/>
    <col min="5898" max="6144" width="9.140625" style="338"/>
    <col min="6145" max="6145" width="4.28515625" style="338" customWidth="1"/>
    <col min="6146" max="6146" width="8.7109375" style="338" customWidth="1"/>
    <col min="6147" max="6147" width="5.5703125" style="338" customWidth="1"/>
    <col min="6148" max="6148" width="10.140625" style="338" customWidth="1"/>
    <col min="6149" max="6149" width="10.42578125" style="338" customWidth="1"/>
    <col min="6150" max="6150" width="10.28515625" style="338" customWidth="1"/>
    <col min="6151" max="6151" width="14" style="338" customWidth="1"/>
    <col min="6152" max="6152" width="14.28515625" style="338" customWidth="1"/>
    <col min="6153" max="6153" width="11.28515625" style="338" customWidth="1"/>
    <col min="6154" max="6400" width="9.140625" style="338"/>
    <col min="6401" max="6401" width="4.28515625" style="338" customWidth="1"/>
    <col min="6402" max="6402" width="8.7109375" style="338" customWidth="1"/>
    <col min="6403" max="6403" width="5.5703125" style="338" customWidth="1"/>
    <col min="6404" max="6404" width="10.140625" style="338" customWidth="1"/>
    <col min="6405" max="6405" width="10.42578125" style="338" customWidth="1"/>
    <col min="6406" max="6406" width="10.28515625" style="338" customWidth="1"/>
    <col min="6407" max="6407" width="14" style="338" customWidth="1"/>
    <col min="6408" max="6408" width="14.28515625" style="338" customWidth="1"/>
    <col min="6409" max="6409" width="11.28515625" style="338" customWidth="1"/>
    <col min="6410" max="6656" width="9.140625" style="338"/>
    <col min="6657" max="6657" width="4.28515625" style="338" customWidth="1"/>
    <col min="6658" max="6658" width="8.7109375" style="338" customWidth="1"/>
    <col min="6659" max="6659" width="5.5703125" style="338" customWidth="1"/>
    <col min="6660" max="6660" width="10.140625" style="338" customWidth="1"/>
    <col min="6661" max="6661" width="10.42578125" style="338" customWidth="1"/>
    <col min="6662" max="6662" width="10.28515625" style="338" customWidth="1"/>
    <col min="6663" max="6663" width="14" style="338" customWidth="1"/>
    <col min="6664" max="6664" width="14.28515625" style="338" customWidth="1"/>
    <col min="6665" max="6665" width="11.28515625" style="338" customWidth="1"/>
    <col min="6666" max="6912" width="9.140625" style="338"/>
    <col min="6913" max="6913" width="4.28515625" style="338" customWidth="1"/>
    <col min="6914" max="6914" width="8.7109375" style="338" customWidth="1"/>
    <col min="6915" max="6915" width="5.5703125" style="338" customWidth="1"/>
    <col min="6916" max="6916" width="10.140625" style="338" customWidth="1"/>
    <col min="6917" max="6917" width="10.42578125" style="338" customWidth="1"/>
    <col min="6918" max="6918" width="10.28515625" style="338" customWidth="1"/>
    <col min="6919" max="6919" width="14" style="338" customWidth="1"/>
    <col min="6920" max="6920" width="14.28515625" style="338" customWidth="1"/>
    <col min="6921" max="6921" width="11.28515625" style="338" customWidth="1"/>
    <col min="6922" max="7168" width="9.140625" style="338"/>
    <col min="7169" max="7169" width="4.28515625" style="338" customWidth="1"/>
    <col min="7170" max="7170" width="8.7109375" style="338" customWidth="1"/>
    <col min="7171" max="7171" width="5.5703125" style="338" customWidth="1"/>
    <col min="7172" max="7172" width="10.140625" style="338" customWidth="1"/>
    <col min="7173" max="7173" width="10.42578125" style="338" customWidth="1"/>
    <col min="7174" max="7174" width="10.28515625" style="338" customWidth="1"/>
    <col min="7175" max="7175" width="14" style="338" customWidth="1"/>
    <col min="7176" max="7176" width="14.28515625" style="338" customWidth="1"/>
    <col min="7177" max="7177" width="11.28515625" style="338" customWidth="1"/>
    <col min="7178" max="7424" width="9.140625" style="338"/>
    <col min="7425" max="7425" width="4.28515625" style="338" customWidth="1"/>
    <col min="7426" max="7426" width="8.7109375" style="338" customWidth="1"/>
    <col min="7427" max="7427" width="5.5703125" style="338" customWidth="1"/>
    <col min="7428" max="7428" width="10.140625" style="338" customWidth="1"/>
    <col min="7429" max="7429" width="10.42578125" style="338" customWidth="1"/>
    <col min="7430" max="7430" width="10.28515625" style="338" customWidth="1"/>
    <col min="7431" max="7431" width="14" style="338" customWidth="1"/>
    <col min="7432" max="7432" width="14.28515625" style="338" customWidth="1"/>
    <col min="7433" max="7433" width="11.28515625" style="338" customWidth="1"/>
    <col min="7434" max="7680" width="9.140625" style="338"/>
    <col min="7681" max="7681" width="4.28515625" style="338" customWidth="1"/>
    <col min="7682" max="7682" width="8.7109375" style="338" customWidth="1"/>
    <col min="7683" max="7683" width="5.5703125" style="338" customWidth="1"/>
    <col min="7684" max="7684" width="10.140625" style="338" customWidth="1"/>
    <col min="7685" max="7685" width="10.42578125" style="338" customWidth="1"/>
    <col min="7686" max="7686" width="10.28515625" style="338" customWidth="1"/>
    <col min="7687" max="7687" width="14" style="338" customWidth="1"/>
    <col min="7688" max="7688" width="14.28515625" style="338" customWidth="1"/>
    <col min="7689" max="7689" width="11.28515625" style="338" customWidth="1"/>
    <col min="7690" max="7936" width="9.140625" style="338"/>
    <col min="7937" max="7937" width="4.28515625" style="338" customWidth="1"/>
    <col min="7938" max="7938" width="8.7109375" style="338" customWidth="1"/>
    <col min="7939" max="7939" width="5.5703125" style="338" customWidth="1"/>
    <col min="7940" max="7940" width="10.140625" style="338" customWidth="1"/>
    <col min="7941" max="7941" width="10.42578125" style="338" customWidth="1"/>
    <col min="7942" max="7942" width="10.28515625" style="338" customWidth="1"/>
    <col min="7943" max="7943" width="14" style="338" customWidth="1"/>
    <col min="7944" max="7944" width="14.28515625" style="338" customWidth="1"/>
    <col min="7945" max="7945" width="11.28515625" style="338" customWidth="1"/>
    <col min="7946" max="8192" width="9.140625" style="338"/>
    <col min="8193" max="8193" width="4.28515625" style="338" customWidth="1"/>
    <col min="8194" max="8194" width="8.7109375" style="338" customWidth="1"/>
    <col min="8195" max="8195" width="5.5703125" style="338" customWidth="1"/>
    <col min="8196" max="8196" width="10.140625" style="338" customWidth="1"/>
    <col min="8197" max="8197" width="10.42578125" style="338" customWidth="1"/>
    <col min="8198" max="8198" width="10.28515625" style="338" customWidth="1"/>
    <col min="8199" max="8199" width="14" style="338" customWidth="1"/>
    <col min="8200" max="8200" width="14.28515625" style="338" customWidth="1"/>
    <col min="8201" max="8201" width="11.28515625" style="338" customWidth="1"/>
    <col min="8202" max="8448" width="9.140625" style="338"/>
    <col min="8449" max="8449" width="4.28515625" style="338" customWidth="1"/>
    <col min="8450" max="8450" width="8.7109375" style="338" customWidth="1"/>
    <col min="8451" max="8451" width="5.5703125" style="338" customWidth="1"/>
    <col min="8452" max="8452" width="10.140625" style="338" customWidth="1"/>
    <col min="8453" max="8453" width="10.42578125" style="338" customWidth="1"/>
    <col min="8454" max="8454" width="10.28515625" style="338" customWidth="1"/>
    <col min="8455" max="8455" width="14" style="338" customWidth="1"/>
    <col min="8456" max="8456" width="14.28515625" style="338" customWidth="1"/>
    <col min="8457" max="8457" width="11.28515625" style="338" customWidth="1"/>
    <col min="8458" max="8704" width="9.140625" style="338"/>
    <col min="8705" max="8705" width="4.28515625" style="338" customWidth="1"/>
    <col min="8706" max="8706" width="8.7109375" style="338" customWidth="1"/>
    <col min="8707" max="8707" width="5.5703125" style="338" customWidth="1"/>
    <col min="8708" max="8708" width="10.140625" style="338" customWidth="1"/>
    <col min="8709" max="8709" width="10.42578125" style="338" customWidth="1"/>
    <col min="8710" max="8710" width="10.28515625" style="338" customWidth="1"/>
    <col min="8711" max="8711" width="14" style="338" customWidth="1"/>
    <col min="8712" max="8712" width="14.28515625" style="338" customWidth="1"/>
    <col min="8713" max="8713" width="11.28515625" style="338" customWidth="1"/>
    <col min="8714" max="8960" width="9.140625" style="338"/>
    <col min="8961" max="8961" width="4.28515625" style="338" customWidth="1"/>
    <col min="8962" max="8962" width="8.7109375" style="338" customWidth="1"/>
    <col min="8963" max="8963" width="5.5703125" style="338" customWidth="1"/>
    <col min="8964" max="8964" width="10.140625" style="338" customWidth="1"/>
    <col min="8965" max="8965" width="10.42578125" style="338" customWidth="1"/>
    <col min="8966" max="8966" width="10.28515625" style="338" customWidth="1"/>
    <col min="8967" max="8967" width="14" style="338" customWidth="1"/>
    <col min="8968" max="8968" width="14.28515625" style="338" customWidth="1"/>
    <col min="8969" max="8969" width="11.28515625" style="338" customWidth="1"/>
    <col min="8970" max="9216" width="9.140625" style="338"/>
    <col min="9217" max="9217" width="4.28515625" style="338" customWidth="1"/>
    <col min="9218" max="9218" width="8.7109375" style="338" customWidth="1"/>
    <col min="9219" max="9219" width="5.5703125" style="338" customWidth="1"/>
    <col min="9220" max="9220" width="10.140625" style="338" customWidth="1"/>
    <col min="9221" max="9221" width="10.42578125" style="338" customWidth="1"/>
    <col min="9222" max="9222" width="10.28515625" style="338" customWidth="1"/>
    <col min="9223" max="9223" width="14" style="338" customWidth="1"/>
    <col min="9224" max="9224" width="14.28515625" style="338" customWidth="1"/>
    <col min="9225" max="9225" width="11.28515625" style="338" customWidth="1"/>
    <col min="9226" max="9472" width="9.140625" style="338"/>
    <col min="9473" max="9473" width="4.28515625" style="338" customWidth="1"/>
    <col min="9474" max="9474" width="8.7109375" style="338" customWidth="1"/>
    <col min="9475" max="9475" width="5.5703125" style="338" customWidth="1"/>
    <col min="9476" max="9476" width="10.140625" style="338" customWidth="1"/>
    <col min="9477" max="9477" width="10.42578125" style="338" customWidth="1"/>
    <col min="9478" max="9478" width="10.28515625" style="338" customWidth="1"/>
    <col min="9479" max="9479" width="14" style="338" customWidth="1"/>
    <col min="9480" max="9480" width="14.28515625" style="338" customWidth="1"/>
    <col min="9481" max="9481" width="11.28515625" style="338" customWidth="1"/>
    <col min="9482" max="9728" width="9.140625" style="338"/>
    <col min="9729" max="9729" width="4.28515625" style="338" customWidth="1"/>
    <col min="9730" max="9730" width="8.7109375" style="338" customWidth="1"/>
    <col min="9731" max="9731" width="5.5703125" style="338" customWidth="1"/>
    <col min="9732" max="9732" width="10.140625" style="338" customWidth="1"/>
    <col min="9733" max="9733" width="10.42578125" style="338" customWidth="1"/>
    <col min="9734" max="9734" width="10.28515625" style="338" customWidth="1"/>
    <col min="9735" max="9735" width="14" style="338" customWidth="1"/>
    <col min="9736" max="9736" width="14.28515625" style="338" customWidth="1"/>
    <col min="9737" max="9737" width="11.28515625" style="338" customWidth="1"/>
    <col min="9738" max="9984" width="9.140625" style="338"/>
    <col min="9985" max="9985" width="4.28515625" style="338" customWidth="1"/>
    <col min="9986" max="9986" width="8.7109375" style="338" customWidth="1"/>
    <col min="9987" max="9987" width="5.5703125" style="338" customWidth="1"/>
    <col min="9988" max="9988" width="10.140625" style="338" customWidth="1"/>
    <col min="9989" max="9989" width="10.42578125" style="338" customWidth="1"/>
    <col min="9990" max="9990" width="10.28515625" style="338" customWidth="1"/>
    <col min="9991" max="9991" width="14" style="338" customWidth="1"/>
    <col min="9992" max="9992" width="14.28515625" style="338" customWidth="1"/>
    <col min="9993" max="9993" width="11.28515625" style="338" customWidth="1"/>
    <col min="9994" max="10240" width="9.140625" style="338"/>
    <col min="10241" max="10241" width="4.28515625" style="338" customWidth="1"/>
    <col min="10242" max="10242" width="8.7109375" style="338" customWidth="1"/>
    <col min="10243" max="10243" width="5.5703125" style="338" customWidth="1"/>
    <col min="10244" max="10244" width="10.140625" style="338" customWidth="1"/>
    <col min="10245" max="10245" width="10.42578125" style="338" customWidth="1"/>
    <col min="10246" max="10246" width="10.28515625" style="338" customWidth="1"/>
    <col min="10247" max="10247" width="14" style="338" customWidth="1"/>
    <col min="10248" max="10248" width="14.28515625" style="338" customWidth="1"/>
    <col min="10249" max="10249" width="11.28515625" style="338" customWidth="1"/>
    <col min="10250" max="10496" width="9.140625" style="338"/>
    <col min="10497" max="10497" width="4.28515625" style="338" customWidth="1"/>
    <col min="10498" max="10498" width="8.7109375" style="338" customWidth="1"/>
    <col min="10499" max="10499" width="5.5703125" style="338" customWidth="1"/>
    <col min="10500" max="10500" width="10.140625" style="338" customWidth="1"/>
    <col min="10501" max="10501" width="10.42578125" style="338" customWidth="1"/>
    <col min="10502" max="10502" width="10.28515625" style="338" customWidth="1"/>
    <col min="10503" max="10503" width="14" style="338" customWidth="1"/>
    <col min="10504" max="10504" width="14.28515625" style="338" customWidth="1"/>
    <col min="10505" max="10505" width="11.28515625" style="338" customWidth="1"/>
    <col min="10506" max="10752" width="9.140625" style="338"/>
    <col min="10753" max="10753" width="4.28515625" style="338" customWidth="1"/>
    <col min="10754" max="10754" width="8.7109375" style="338" customWidth="1"/>
    <col min="10755" max="10755" width="5.5703125" style="338" customWidth="1"/>
    <col min="10756" max="10756" width="10.140625" style="338" customWidth="1"/>
    <col min="10757" max="10757" width="10.42578125" style="338" customWidth="1"/>
    <col min="10758" max="10758" width="10.28515625" style="338" customWidth="1"/>
    <col min="10759" max="10759" width="14" style="338" customWidth="1"/>
    <col min="10760" max="10760" width="14.28515625" style="338" customWidth="1"/>
    <col min="10761" max="10761" width="11.28515625" style="338" customWidth="1"/>
    <col min="10762" max="11008" width="9.140625" style="338"/>
    <col min="11009" max="11009" width="4.28515625" style="338" customWidth="1"/>
    <col min="11010" max="11010" width="8.7109375" style="338" customWidth="1"/>
    <col min="11011" max="11011" width="5.5703125" style="338" customWidth="1"/>
    <col min="11012" max="11012" width="10.140625" style="338" customWidth="1"/>
    <col min="11013" max="11013" width="10.42578125" style="338" customWidth="1"/>
    <col min="11014" max="11014" width="10.28515625" style="338" customWidth="1"/>
    <col min="11015" max="11015" width="14" style="338" customWidth="1"/>
    <col min="11016" max="11016" width="14.28515625" style="338" customWidth="1"/>
    <col min="11017" max="11017" width="11.28515625" style="338" customWidth="1"/>
    <col min="11018" max="11264" width="9.140625" style="338"/>
    <col min="11265" max="11265" width="4.28515625" style="338" customWidth="1"/>
    <col min="11266" max="11266" width="8.7109375" style="338" customWidth="1"/>
    <col min="11267" max="11267" width="5.5703125" style="338" customWidth="1"/>
    <col min="11268" max="11268" width="10.140625" style="338" customWidth="1"/>
    <col min="11269" max="11269" width="10.42578125" style="338" customWidth="1"/>
    <col min="11270" max="11270" width="10.28515625" style="338" customWidth="1"/>
    <col min="11271" max="11271" width="14" style="338" customWidth="1"/>
    <col min="11272" max="11272" width="14.28515625" style="338" customWidth="1"/>
    <col min="11273" max="11273" width="11.28515625" style="338" customWidth="1"/>
    <col min="11274" max="11520" width="9.140625" style="338"/>
    <col min="11521" max="11521" width="4.28515625" style="338" customWidth="1"/>
    <col min="11522" max="11522" width="8.7109375" style="338" customWidth="1"/>
    <col min="11523" max="11523" width="5.5703125" style="338" customWidth="1"/>
    <col min="11524" max="11524" width="10.140625" style="338" customWidth="1"/>
    <col min="11525" max="11525" width="10.42578125" style="338" customWidth="1"/>
    <col min="11526" max="11526" width="10.28515625" style="338" customWidth="1"/>
    <col min="11527" max="11527" width="14" style="338" customWidth="1"/>
    <col min="11528" max="11528" width="14.28515625" style="338" customWidth="1"/>
    <col min="11529" max="11529" width="11.28515625" style="338" customWidth="1"/>
    <col min="11530" max="11776" width="9.140625" style="338"/>
    <col min="11777" max="11777" width="4.28515625" style="338" customWidth="1"/>
    <col min="11778" max="11778" width="8.7109375" style="338" customWidth="1"/>
    <col min="11779" max="11779" width="5.5703125" style="338" customWidth="1"/>
    <col min="11780" max="11780" width="10.140625" style="338" customWidth="1"/>
    <col min="11781" max="11781" width="10.42578125" style="338" customWidth="1"/>
    <col min="11782" max="11782" width="10.28515625" style="338" customWidth="1"/>
    <col min="11783" max="11783" width="14" style="338" customWidth="1"/>
    <col min="11784" max="11784" width="14.28515625" style="338" customWidth="1"/>
    <col min="11785" max="11785" width="11.28515625" style="338" customWidth="1"/>
    <col min="11786" max="12032" width="9.140625" style="338"/>
    <col min="12033" max="12033" width="4.28515625" style="338" customWidth="1"/>
    <col min="12034" max="12034" width="8.7109375" style="338" customWidth="1"/>
    <col min="12035" max="12035" width="5.5703125" style="338" customWidth="1"/>
    <col min="12036" max="12036" width="10.140625" style="338" customWidth="1"/>
    <col min="12037" max="12037" width="10.42578125" style="338" customWidth="1"/>
    <col min="12038" max="12038" width="10.28515625" style="338" customWidth="1"/>
    <col min="12039" max="12039" width="14" style="338" customWidth="1"/>
    <col min="12040" max="12040" width="14.28515625" style="338" customWidth="1"/>
    <col min="12041" max="12041" width="11.28515625" style="338" customWidth="1"/>
    <col min="12042" max="12288" width="9.140625" style="338"/>
    <col min="12289" max="12289" width="4.28515625" style="338" customWidth="1"/>
    <col min="12290" max="12290" width="8.7109375" style="338" customWidth="1"/>
    <col min="12291" max="12291" width="5.5703125" style="338" customWidth="1"/>
    <col min="12292" max="12292" width="10.140625" style="338" customWidth="1"/>
    <col min="12293" max="12293" width="10.42578125" style="338" customWidth="1"/>
    <col min="12294" max="12294" width="10.28515625" style="338" customWidth="1"/>
    <col min="12295" max="12295" width="14" style="338" customWidth="1"/>
    <col min="12296" max="12296" width="14.28515625" style="338" customWidth="1"/>
    <col min="12297" max="12297" width="11.28515625" style="338" customWidth="1"/>
    <col min="12298" max="12544" width="9.140625" style="338"/>
    <col min="12545" max="12545" width="4.28515625" style="338" customWidth="1"/>
    <col min="12546" max="12546" width="8.7109375" style="338" customWidth="1"/>
    <col min="12547" max="12547" width="5.5703125" style="338" customWidth="1"/>
    <col min="12548" max="12548" width="10.140625" style="338" customWidth="1"/>
    <col min="12549" max="12549" width="10.42578125" style="338" customWidth="1"/>
    <col min="12550" max="12550" width="10.28515625" style="338" customWidth="1"/>
    <col min="12551" max="12551" width="14" style="338" customWidth="1"/>
    <col min="12552" max="12552" width="14.28515625" style="338" customWidth="1"/>
    <col min="12553" max="12553" width="11.28515625" style="338" customWidth="1"/>
    <col min="12554" max="12800" width="9.140625" style="338"/>
    <col min="12801" max="12801" width="4.28515625" style="338" customWidth="1"/>
    <col min="12802" max="12802" width="8.7109375" style="338" customWidth="1"/>
    <col min="12803" max="12803" width="5.5703125" style="338" customWidth="1"/>
    <col min="12804" max="12804" width="10.140625" style="338" customWidth="1"/>
    <col min="12805" max="12805" width="10.42578125" style="338" customWidth="1"/>
    <col min="12806" max="12806" width="10.28515625" style="338" customWidth="1"/>
    <col min="12807" max="12807" width="14" style="338" customWidth="1"/>
    <col min="12808" max="12808" width="14.28515625" style="338" customWidth="1"/>
    <col min="12809" max="12809" width="11.28515625" style="338" customWidth="1"/>
    <col min="12810" max="13056" width="9.140625" style="338"/>
    <col min="13057" max="13057" width="4.28515625" style="338" customWidth="1"/>
    <col min="13058" max="13058" width="8.7109375" style="338" customWidth="1"/>
    <col min="13059" max="13059" width="5.5703125" style="338" customWidth="1"/>
    <col min="13060" max="13060" width="10.140625" style="338" customWidth="1"/>
    <col min="13061" max="13061" width="10.42578125" style="338" customWidth="1"/>
    <col min="13062" max="13062" width="10.28515625" style="338" customWidth="1"/>
    <col min="13063" max="13063" width="14" style="338" customWidth="1"/>
    <col min="13064" max="13064" width="14.28515625" style="338" customWidth="1"/>
    <col min="13065" max="13065" width="11.28515625" style="338" customWidth="1"/>
    <col min="13066" max="13312" width="9.140625" style="338"/>
    <col min="13313" max="13313" width="4.28515625" style="338" customWidth="1"/>
    <col min="13314" max="13314" width="8.7109375" style="338" customWidth="1"/>
    <col min="13315" max="13315" width="5.5703125" style="338" customWidth="1"/>
    <col min="13316" max="13316" width="10.140625" style="338" customWidth="1"/>
    <col min="13317" max="13317" width="10.42578125" style="338" customWidth="1"/>
    <col min="13318" max="13318" width="10.28515625" style="338" customWidth="1"/>
    <col min="13319" max="13319" width="14" style="338" customWidth="1"/>
    <col min="13320" max="13320" width="14.28515625" style="338" customWidth="1"/>
    <col min="13321" max="13321" width="11.28515625" style="338" customWidth="1"/>
    <col min="13322" max="13568" width="9.140625" style="338"/>
    <col min="13569" max="13569" width="4.28515625" style="338" customWidth="1"/>
    <col min="13570" max="13570" width="8.7109375" style="338" customWidth="1"/>
    <col min="13571" max="13571" width="5.5703125" style="338" customWidth="1"/>
    <col min="13572" max="13572" width="10.140625" style="338" customWidth="1"/>
    <col min="13573" max="13573" width="10.42578125" style="338" customWidth="1"/>
    <col min="13574" max="13574" width="10.28515625" style="338" customWidth="1"/>
    <col min="13575" max="13575" width="14" style="338" customWidth="1"/>
    <col min="13576" max="13576" width="14.28515625" style="338" customWidth="1"/>
    <col min="13577" max="13577" width="11.28515625" style="338" customWidth="1"/>
    <col min="13578" max="13824" width="9.140625" style="338"/>
    <col min="13825" max="13825" width="4.28515625" style="338" customWidth="1"/>
    <col min="13826" max="13826" width="8.7109375" style="338" customWidth="1"/>
    <col min="13827" max="13827" width="5.5703125" style="338" customWidth="1"/>
    <col min="13828" max="13828" width="10.140625" style="338" customWidth="1"/>
    <col min="13829" max="13829" width="10.42578125" style="338" customWidth="1"/>
    <col min="13830" max="13830" width="10.28515625" style="338" customWidth="1"/>
    <col min="13831" max="13831" width="14" style="338" customWidth="1"/>
    <col min="13832" max="13832" width="14.28515625" style="338" customWidth="1"/>
    <col min="13833" max="13833" width="11.28515625" style="338" customWidth="1"/>
    <col min="13834" max="14080" width="9.140625" style="338"/>
    <col min="14081" max="14081" width="4.28515625" style="338" customWidth="1"/>
    <col min="14082" max="14082" width="8.7109375" style="338" customWidth="1"/>
    <col min="14083" max="14083" width="5.5703125" style="338" customWidth="1"/>
    <col min="14084" max="14084" width="10.140625" style="338" customWidth="1"/>
    <col min="14085" max="14085" width="10.42578125" style="338" customWidth="1"/>
    <col min="14086" max="14086" width="10.28515625" style="338" customWidth="1"/>
    <col min="14087" max="14087" width="14" style="338" customWidth="1"/>
    <col min="14088" max="14088" width="14.28515625" style="338" customWidth="1"/>
    <col min="14089" max="14089" width="11.28515625" style="338" customWidth="1"/>
    <col min="14090" max="14336" width="9.140625" style="338"/>
    <col min="14337" max="14337" width="4.28515625" style="338" customWidth="1"/>
    <col min="14338" max="14338" width="8.7109375" style="338" customWidth="1"/>
    <col min="14339" max="14339" width="5.5703125" style="338" customWidth="1"/>
    <col min="14340" max="14340" width="10.140625" style="338" customWidth="1"/>
    <col min="14341" max="14341" width="10.42578125" style="338" customWidth="1"/>
    <col min="14342" max="14342" width="10.28515625" style="338" customWidth="1"/>
    <col min="14343" max="14343" width="14" style="338" customWidth="1"/>
    <col min="14344" max="14344" width="14.28515625" style="338" customWidth="1"/>
    <col min="14345" max="14345" width="11.28515625" style="338" customWidth="1"/>
    <col min="14346" max="14592" width="9.140625" style="338"/>
    <col min="14593" max="14593" width="4.28515625" style="338" customWidth="1"/>
    <col min="14594" max="14594" width="8.7109375" style="338" customWidth="1"/>
    <col min="14595" max="14595" width="5.5703125" style="338" customWidth="1"/>
    <col min="14596" max="14596" width="10.140625" style="338" customWidth="1"/>
    <col min="14597" max="14597" width="10.42578125" style="338" customWidth="1"/>
    <col min="14598" max="14598" width="10.28515625" style="338" customWidth="1"/>
    <col min="14599" max="14599" width="14" style="338" customWidth="1"/>
    <col min="14600" max="14600" width="14.28515625" style="338" customWidth="1"/>
    <col min="14601" max="14601" width="11.28515625" style="338" customWidth="1"/>
    <col min="14602" max="14848" width="9.140625" style="338"/>
    <col min="14849" max="14849" width="4.28515625" style="338" customWidth="1"/>
    <col min="14850" max="14850" width="8.7109375" style="338" customWidth="1"/>
    <col min="14851" max="14851" width="5.5703125" style="338" customWidth="1"/>
    <col min="14852" max="14852" width="10.140625" style="338" customWidth="1"/>
    <col min="14853" max="14853" width="10.42578125" style="338" customWidth="1"/>
    <col min="14854" max="14854" width="10.28515625" style="338" customWidth="1"/>
    <col min="14855" max="14855" width="14" style="338" customWidth="1"/>
    <col min="14856" max="14856" width="14.28515625" style="338" customWidth="1"/>
    <col min="14857" max="14857" width="11.28515625" style="338" customWidth="1"/>
    <col min="14858" max="15104" width="9.140625" style="338"/>
    <col min="15105" max="15105" width="4.28515625" style="338" customWidth="1"/>
    <col min="15106" max="15106" width="8.7109375" style="338" customWidth="1"/>
    <col min="15107" max="15107" width="5.5703125" style="338" customWidth="1"/>
    <col min="15108" max="15108" width="10.140625" style="338" customWidth="1"/>
    <col min="15109" max="15109" width="10.42578125" style="338" customWidth="1"/>
    <col min="15110" max="15110" width="10.28515625" style="338" customWidth="1"/>
    <col min="15111" max="15111" width="14" style="338" customWidth="1"/>
    <col min="15112" max="15112" width="14.28515625" style="338" customWidth="1"/>
    <col min="15113" max="15113" width="11.28515625" style="338" customWidth="1"/>
    <col min="15114" max="15360" width="9.140625" style="338"/>
    <col min="15361" max="15361" width="4.28515625" style="338" customWidth="1"/>
    <col min="15362" max="15362" width="8.7109375" style="338" customWidth="1"/>
    <col min="15363" max="15363" width="5.5703125" style="338" customWidth="1"/>
    <col min="15364" max="15364" width="10.140625" style="338" customWidth="1"/>
    <col min="15365" max="15365" width="10.42578125" style="338" customWidth="1"/>
    <col min="15366" max="15366" width="10.28515625" style="338" customWidth="1"/>
    <col min="15367" max="15367" width="14" style="338" customWidth="1"/>
    <col min="15368" max="15368" width="14.28515625" style="338" customWidth="1"/>
    <col min="15369" max="15369" width="11.28515625" style="338" customWidth="1"/>
    <col min="15370" max="15616" width="9.140625" style="338"/>
    <col min="15617" max="15617" width="4.28515625" style="338" customWidth="1"/>
    <col min="15618" max="15618" width="8.7109375" style="338" customWidth="1"/>
    <col min="15619" max="15619" width="5.5703125" style="338" customWidth="1"/>
    <col min="15620" max="15620" width="10.140625" style="338" customWidth="1"/>
    <col min="15621" max="15621" width="10.42578125" style="338" customWidth="1"/>
    <col min="15622" max="15622" width="10.28515625" style="338" customWidth="1"/>
    <col min="15623" max="15623" width="14" style="338" customWidth="1"/>
    <col min="15624" max="15624" width="14.28515625" style="338" customWidth="1"/>
    <col min="15625" max="15625" width="11.28515625" style="338" customWidth="1"/>
    <col min="15626" max="15872" width="9.140625" style="338"/>
    <col min="15873" max="15873" width="4.28515625" style="338" customWidth="1"/>
    <col min="15874" max="15874" width="8.7109375" style="338" customWidth="1"/>
    <col min="15875" max="15875" width="5.5703125" style="338" customWidth="1"/>
    <col min="15876" max="15876" width="10.140625" style="338" customWidth="1"/>
    <col min="15877" max="15877" width="10.42578125" style="338" customWidth="1"/>
    <col min="15878" max="15878" width="10.28515625" style="338" customWidth="1"/>
    <col min="15879" max="15879" width="14" style="338" customWidth="1"/>
    <col min="15880" max="15880" width="14.28515625" style="338" customWidth="1"/>
    <col min="15881" max="15881" width="11.28515625" style="338" customWidth="1"/>
    <col min="15882" max="16128" width="9.140625" style="338"/>
    <col min="16129" max="16129" width="4.28515625" style="338" customWidth="1"/>
    <col min="16130" max="16130" width="8.7109375" style="338" customWidth="1"/>
    <col min="16131" max="16131" width="5.5703125" style="338" customWidth="1"/>
    <col min="16132" max="16132" width="10.140625" style="338" customWidth="1"/>
    <col min="16133" max="16133" width="10.42578125" style="338" customWidth="1"/>
    <col min="16134" max="16134" width="10.28515625" style="338" customWidth="1"/>
    <col min="16135" max="16135" width="14" style="338" customWidth="1"/>
    <col min="16136" max="16136" width="14.28515625" style="338" customWidth="1"/>
    <col min="16137" max="16137" width="11.28515625" style="338" customWidth="1"/>
    <col min="16138" max="16384" width="9.140625" style="338"/>
  </cols>
  <sheetData>
    <row r="1" spans="1:9" x14ac:dyDescent="0.2">
      <c r="G1" s="3"/>
      <c r="H1" s="3" t="s">
        <v>4</v>
      </c>
    </row>
    <row r="2" spans="1:9" x14ac:dyDescent="0.2">
      <c r="G2" s="3"/>
      <c r="H2" s="4" t="s">
        <v>17</v>
      </c>
    </row>
    <row r="3" spans="1:9" x14ac:dyDescent="0.2">
      <c r="G3" s="3"/>
      <c r="H3" s="4" t="s">
        <v>0</v>
      </c>
    </row>
    <row r="4" spans="1:9" x14ac:dyDescent="0.2">
      <c r="G4" s="3"/>
      <c r="H4" s="4" t="s">
        <v>18</v>
      </c>
    </row>
    <row r="5" spans="1:9" x14ac:dyDescent="0.2">
      <c r="H5" s="5"/>
    </row>
    <row r="7" spans="1:9" ht="35.25" customHeight="1" x14ac:dyDescent="0.2">
      <c r="A7" s="6" t="s">
        <v>5</v>
      </c>
      <c r="B7" s="6"/>
      <c r="C7" s="6"/>
      <c r="D7" s="6"/>
      <c r="E7" s="6"/>
      <c r="F7" s="6"/>
      <c r="G7" s="6"/>
      <c r="H7" s="6"/>
      <c r="I7" s="6"/>
    </row>
    <row r="8" spans="1:9" ht="18" customHeight="1" x14ac:dyDescent="0.2">
      <c r="A8" s="7"/>
      <c r="B8" s="7"/>
      <c r="C8" s="7"/>
      <c r="D8" s="7"/>
      <c r="E8" s="7"/>
      <c r="F8" s="7"/>
      <c r="G8" s="7"/>
      <c r="H8" s="7"/>
      <c r="I8" s="7"/>
    </row>
    <row r="9" spans="1:9" ht="13.5" customHeight="1" x14ac:dyDescent="0.2">
      <c r="I9" s="8" t="s">
        <v>1</v>
      </c>
    </row>
    <row r="10" spans="1:9" ht="13.5" customHeight="1" x14ac:dyDescent="0.2">
      <c r="A10" s="9"/>
      <c r="B10" s="9"/>
      <c r="C10" s="9"/>
      <c r="D10" s="10"/>
      <c r="E10" s="10"/>
      <c r="F10" s="11" t="s">
        <v>6</v>
      </c>
      <c r="G10" s="12"/>
      <c r="H10" s="12"/>
      <c r="I10" s="13"/>
    </row>
    <row r="11" spans="1:9" ht="33.75" customHeight="1" x14ac:dyDescent="0.2">
      <c r="A11" s="14" t="s">
        <v>7</v>
      </c>
      <c r="B11" s="14" t="s">
        <v>8</v>
      </c>
      <c r="C11" s="14" t="s">
        <v>3</v>
      </c>
      <c r="D11" s="15" t="s">
        <v>9</v>
      </c>
      <c r="E11" s="15" t="s">
        <v>10</v>
      </c>
      <c r="F11" s="10"/>
      <c r="G11" s="11" t="s">
        <v>11</v>
      </c>
      <c r="H11" s="13"/>
      <c r="I11" s="10"/>
    </row>
    <row r="12" spans="1:9" ht="39.75" customHeight="1" x14ac:dyDescent="0.2">
      <c r="A12" s="16"/>
      <c r="B12" s="16"/>
      <c r="C12" s="16"/>
      <c r="D12" s="16"/>
      <c r="E12" s="17"/>
      <c r="F12" s="18" t="s">
        <v>12</v>
      </c>
      <c r="G12" s="19" t="s">
        <v>13</v>
      </c>
      <c r="H12" s="19" t="s">
        <v>14</v>
      </c>
      <c r="I12" s="18" t="s">
        <v>15</v>
      </c>
    </row>
    <row r="13" spans="1:9" ht="10.5" customHeight="1" x14ac:dyDescent="0.2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0">
        <v>8</v>
      </c>
      <c r="I13" s="20">
        <v>9</v>
      </c>
    </row>
    <row r="14" spans="1:9" ht="20.25" customHeight="1" x14ac:dyDescent="0.2">
      <c r="A14" s="340">
        <v>710</v>
      </c>
      <c r="B14" s="340">
        <v>71035</v>
      </c>
      <c r="C14" s="340">
        <v>2020</v>
      </c>
      <c r="D14" s="341">
        <f>9000+10000</f>
        <v>19000</v>
      </c>
      <c r="E14" s="341">
        <f t="shared" ref="E14:E19" si="0">SUM(F14,I14)</f>
        <v>19000</v>
      </c>
      <c r="F14" s="341">
        <f>9000+10000</f>
        <v>19000</v>
      </c>
      <c r="G14" s="341">
        <v>0</v>
      </c>
      <c r="H14" s="341">
        <v>0</v>
      </c>
      <c r="I14" s="341">
        <v>0</v>
      </c>
    </row>
    <row r="15" spans="1:9" ht="20.25" customHeight="1" x14ac:dyDescent="0.2">
      <c r="A15" s="340">
        <v>750</v>
      </c>
      <c r="B15" s="340">
        <v>75045</v>
      </c>
      <c r="C15" s="342">
        <v>2120</v>
      </c>
      <c r="D15" s="343">
        <f>25400+3340+960</f>
        <v>29700</v>
      </c>
      <c r="E15" s="341">
        <f t="shared" si="0"/>
        <v>29700</v>
      </c>
      <c r="F15" s="341">
        <f>25400+3340+960</f>
        <v>29700</v>
      </c>
      <c r="G15" s="341">
        <f>25400+3340-6600+960</f>
        <v>23100</v>
      </c>
      <c r="H15" s="341">
        <v>0</v>
      </c>
      <c r="I15" s="341">
        <v>0</v>
      </c>
    </row>
    <row r="16" spans="1:9" ht="20.25" customHeight="1" x14ac:dyDescent="0.2">
      <c r="A16" s="340">
        <v>754</v>
      </c>
      <c r="B16" s="340">
        <v>75421</v>
      </c>
      <c r="C16" s="342">
        <v>2020</v>
      </c>
      <c r="D16" s="343">
        <f>414000-342000-12676.83</f>
        <v>59323.17</v>
      </c>
      <c r="E16" s="341">
        <f t="shared" si="0"/>
        <v>59323.17</v>
      </c>
      <c r="F16" s="341">
        <f>414000-342000-12676.83</f>
        <v>59323.17</v>
      </c>
      <c r="G16" s="341">
        <v>0</v>
      </c>
      <c r="H16" s="341">
        <v>0</v>
      </c>
      <c r="I16" s="341">
        <v>0</v>
      </c>
    </row>
    <row r="17" spans="1:11" ht="20.25" customHeight="1" x14ac:dyDescent="0.2">
      <c r="A17" s="340">
        <v>801</v>
      </c>
      <c r="B17" s="340">
        <v>80146</v>
      </c>
      <c r="C17" s="342">
        <v>2020</v>
      </c>
      <c r="D17" s="343">
        <f>13423+7</f>
        <v>13430</v>
      </c>
      <c r="E17" s="341">
        <f t="shared" si="0"/>
        <v>13430</v>
      </c>
      <c r="F17" s="341">
        <f>13423+7</f>
        <v>13430</v>
      </c>
      <c r="G17" s="341">
        <f>13423+7</f>
        <v>13430</v>
      </c>
      <c r="H17" s="341">
        <v>0</v>
      </c>
      <c r="I17" s="341">
        <v>0</v>
      </c>
      <c r="K17" s="21"/>
    </row>
    <row r="18" spans="1:11" ht="20.25" customHeight="1" x14ac:dyDescent="0.2">
      <c r="A18" s="340">
        <v>801</v>
      </c>
      <c r="B18" s="340">
        <v>80146</v>
      </c>
      <c r="C18" s="342">
        <v>2120</v>
      </c>
      <c r="D18" s="343">
        <f>186000+116810-9551+17741</f>
        <v>311000</v>
      </c>
      <c r="E18" s="341">
        <f t="shared" si="0"/>
        <v>311000</v>
      </c>
      <c r="F18" s="341">
        <f>186000+116810-9551+17741</f>
        <v>311000</v>
      </c>
      <c r="G18" s="341">
        <f>178933+109204-1115-9551+17741+101</f>
        <v>295313</v>
      </c>
      <c r="H18" s="341">
        <f>1115</f>
        <v>1115</v>
      </c>
      <c r="I18" s="341">
        <v>0</v>
      </c>
    </row>
    <row r="19" spans="1:11" ht="20.25" customHeight="1" x14ac:dyDescent="0.2">
      <c r="A19" s="340">
        <v>801</v>
      </c>
      <c r="B19" s="340">
        <v>80195</v>
      </c>
      <c r="C19" s="342">
        <v>2120</v>
      </c>
      <c r="D19" s="343">
        <v>351450</v>
      </c>
      <c r="E19" s="341">
        <f t="shared" si="0"/>
        <v>351450</v>
      </c>
      <c r="F19" s="341">
        <v>351450</v>
      </c>
      <c r="G19" s="341">
        <v>319500</v>
      </c>
      <c r="H19" s="341">
        <v>0</v>
      </c>
      <c r="I19" s="341">
        <v>0</v>
      </c>
    </row>
    <row r="20" spans="1:11" ht="20.25" customHeight="1" x14ac:dyDescent="0.2">
      <c r="A20" s="340">
        <v>852</v>
      </c>
      <c r="B20" s="340">
        <v>85205</v>
      </c>
      <c r="C20" s="342">
        <v>2020</v>
      </c>
      <c r="D20" s="343">
        <v>71260</v>
      </c>
      <c r="E20" s="341">
        <f>SUM(F20,I20)</f>
        <v>89950</v>
      </c>
      <c r="F20" s="341">
        <v>89950</v>
      </c>
      <c r="G20" s="341">
        <v>6000</v>
      </c>
      <c r="H20" s="341">
        <v>0</v>
      </c>
      <c r="I20" s="341">
        <v>0</v>
      </c>
    </row>
    <row r="21" spans="1:11" ht="23.25" customHeight="1" x14ac:dyDescent="0.2">
      <c r="A21" s="344" t="s">
        <v>16</v>
      </c>
      <c r="B21" s="345"/>
      <c r="C21" s="346"/>
      <c r="D21" s="347">
        <f t="shared" ref="D21:I21" si="1">SUM(D14:D20)</f>
        <v>855163.16999999993</v>
      </c>
      <c r="E21" s="347">
        <f t="shared" si="1"/>
        <v>873853.16999999993</v>
      </c>
      <c r="F21" s="347">
        <f t="shared" si="1"/>
        <v>873853.16999999993</v>
      </c>
      <c r="G21" s="347">
        <f t="shared" si="1"/>
        <v>657343</v>
      </c>
      <c r="H21" s="347">
        <f t="shared" si="1"/>
        <v>1115</v>
      </c>
      <c r="I21" s="347">
        <f t="shared" si="1"/>
        <v>0</v>
      </c>
    </row>
    <row r="22" spans="1:11" ht="12" customHeight="1" x14ac:dyDescent="0.2"/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123C4-C8EB-4100-97CC-7AA1C3C6293D}">
  <sheetPr>
    <tabColor rgb="FFFF0000"/>
  </sheetPr>
  <dimension ref="A1:CA29"/>
  <sheetViews>
    <sheetView zoomScale="130" zoomScaleNormal="130" workbookViewId="0">
      <selection sqref="A1:XFD1048576"/>
    </sheetView>
  </sheetViews>
  <sheetFormatPr defaultRowHeight="12.75" x14ac:dyDescent="0.2"/>
  <cols>
    <col min="1" max="1" width="4.85546875" style="338" customWidth="1"/>
    <col min="2" max="2" width="6.7109375" style="338" customWidth="1"/>
    <col min="3" max="3" width="6.140625" style="338" customWidth="1"/>
    <col min="4" max="4" width="10" style="338" customWidth="1"/>
    <col min="5" max="5" width="11.28515625" style="338" customWidth="1"/>
    <col min="6" max="6" width="11.5703125" style="338" customWidth="1"/>
    <col min="7" max="7" width="13.85546875" style="338" customWidth="1"/>
    <col min="8" max="9" width="11.28515625" style="339" customWidth="1"/>
    <col min="10" max="10" width="10.140625" style="339" customWidth="1"/>
    <col min="11" max="79" width="9.140625" style="339"/>
    <col min="80" max="256" width="9.140625" style="338"/>
    <col min="257" max="257" width="4.85546875" style="338" customWidth="1"/>
    <col min="258" max="258" width="6.7109375" style="338" customWidth="1"/>
    <col min="259" max="259" width="6.140625" style="338" customWidth="1"/>
    <col min="260" max="260" width="10" style="338" customWidth="1"/>
    <col min="261" max="261" width="11.28515625" style="338" customWidth="1"/>
    <col min="262" max="262" width="11.5703125" style="338" customWidth="1"/>
    <col min="263" max="263" width="13.85546875" style="338" customWidth="1"/>
    <col min="264" max="265" width="11.28515625" style="338" customWidth="1"/>
    <col min="266" max="266" width="10.140625" style="338" customWidth="1"/>
    <col min="267" max="512" width="9.140625" style="338"/>
    <col min="513" max="513" width="4.85546875" style="338" customWidth="1"/>
    <col min="514" max="514" width="6.7109375" style="338" customWidth="1"/>
    <col min="515" max="515" width="6.140625" style="338" customWidth="1"/>
    <col min="516" max="516" width="10" style="338" customWidth="1"/>
    <col min="517" max="517" width="11.28515625" style="338" customWidth="1"/>
    <col min="518" max="518" width="11.5703125" style="338" customWidth="1"/>
    <col min="519" max="519" width="13.85546875" style="338" customWidth="1"/>
    <col min="520" max="521" width="11.28515625" style="338" customWidth="1"/>
    <col min="522" max="522" width="10.140625" style="338" customWidth="1"/>
    <col min="523" max="768" width="9.140625" style="338"/>
    <col min="769" max="769" width="4.85546875" style="338" customWidth="1"/>
    <col min="770" max="770" width="6.7109375" style="338" customWidth="1"/>
    <col min="771" max="771" width="6.140625" style="338" customWidth="1"/>
    <col min="772" max="772" width="10" style="338" customWidth="1"/>
    <col min="773" max="773" width="11.28515625" style="338" customWidth="1"/>
    <col min="774" max="774" width="11.5703125" style="338" customWidth="1"/>
    <col min="775" max="775" width="13.85546875" style="338" customWidth="1"/>
    <col min="776" max="777" width="11.28515625" style="338" customWidth="1"/>
    <col min="778" max="778" width="10.140625" style="338" customWidth="1"/>
    <col min="779" max="1024" width="9.140625" style="338"/>
    <col min="1025" max="1025" width="4.85546875" style="338" customWidth="1"/>
    <col min="1026" max="1026" width="6.7109375" style="338" customWidth="1"/>
    <col min="1027" max="1027" width="6.140625" style="338" customWidth="1"/>
    <col min="1028" max="1028" width="10" style="338" customWidth="1"/>
    <col min="1029" max="1029" width="11.28515625" style="338" customWidth="1"/>
    <col min="1030" max="1030" width="11.5703125" style="338" customWidth="1"/>
    <col min="1031" max="1031" width="13.85546875" style="338" customWidth="1"/>
    <col min="1032" max="1033" width="11.28515625" style="338" customWidth="1"/>
    <col min="1034" max="1034" width="10.140625" style="338" customWidth="1"/>
    <col min="1035" max="1280" width="9.140625" style="338"/>
    <col min="1281" max="1281" width="4.85546875" style="338" customWidth="1"/>
    <col min="1282" max="1282" width="6.7109375" style="338" customWidth="1"/>
    <col min="1283" max="1283" width="6.140625" style="338" customWidth="1"/>
    <col min="1284" max="1284" width="10" style="338" customWidth="1"/>
    <col min="1285" max="1285" width="11.28515625" style="338" customWidth="1"/>
    <col min="1286" max="1286" width="11.5703125" style="338" customWidth="1"/>
    <col min="1287" max="1287" width="13.85546875" style="338" customWidth="1"/>
    <col min="1288" max="1289" width="11.28515625" style="338" customWidth="1"/>
    <col min="1290" max="1290" width="10.140625" style="338" customWidth="1"/>
    <col min="1291" max="1536" width="9.140625" style="338"/>
    <col min="1537" max="1537" width="4.85546875" style="338" customWidth="1"/>
    <col min="1538" max="1538" width="6.7109375" style="338" customWidth="1"/>
    <col min="1539" max="1539" width="6.140625" style="338" customWidth="1"/>
    <col min="1540" max="1540" width="10" style="338" customWidth="1"/>
    <col min="1541" max="1541" width="11.28515625" style="338" customWidth="1"/>
    <col min="1542" max="1542" width="11.5703125" style="338" customWidth="1"/>
    <col min="1543" max="1543" width="13.85546875" style="338" customWidth="1"/>
    <col min="1544" max="1545" width="11.28515625" style="338" customWidth="1"/>
    <col min="1546" max="1546" width="10.140625" style="338" customWidth="1"/>
    <col min="1547" max="1792" width="9.140625" style="338"/>
    <col min="1793" max="1793" width="4.85546875" style="338" customWidth="1"/>
    <col min="1794" max="1794" width="6.7109375" style="338" customWidth="1"/>
    <col min="1795" max="1795" width="6.140625" style="338" customWidth="1"/>
    <col min="1796" max="1796" width="10" style="338" customWidth="1"/>
    <col min="1797" max="1797" width="11.28515625" style="338" customWidth="1"/>
    <col min="1798" max="1798" width="11.5703125" style="338" customWidth="1"/>
    <col min="1799" max="1799" width="13.85546875" style="338" customWidth="1"/>
    <col min="1800" max="1801" width="11.28515625" style="338" customWidth="1"/>
    <col min="1802" max="1802" width="10.140625" style="338" customWidth="1"/>
    <col min="1803" max="2048" width="9.140625" style="338"/>
    <col min="2049" max="2049" width="4.85546875" style="338" customWidth="1"/>
    <col min="2050" max="2050" width="6.7109375" style="338" customWidth="1"/>
    <col min="2051" max="2051" width="6.140625" style="338" customWidth="1"/>
    <col min="2052" max="2052" width="10" style="338" customWidth="1"/>
    <col min="2053" max="2053" width="11.28515625" style="338" customWidth="1"/>
    <col min="2054" max="2054" width="11.5703125" style="338" customWidth="1"/>
    <col min="2055" max="2055" width="13.85546875" style="338" customWidth="1"/>
    <col min="2056" max="2057" width="11.28515625" style="338" customWidth="1"/>
    <col min="2058" max="2058" width="10.140625" style="338" customWidth="1"/>
    <col min="2059" max="2304" width="9.140625" style="338"/>
    <col min="2305" max="2305" width="4.85546875" style="338" customWidth="1"/>
    <col min="2306" max="2306" width="6.7109375" style="338" customWidth="1"/>
    <col min="2307" max="2307" width="6.140625" style="338" customWidth="1"/>
    <col min="2308" max="2308" width="10" style="338" customWidth="1"/>
    <col min="2309" max="2309" width="11.28515625" style="338" customWidth="1"/>
    <col min="2310" max="2310" width="11.5703125" style="338" customWidth="1"/>
    <col min="2311" max="2311" width="13.85546875" style="338" customWidth="1"/>
    <col min="2312" max="2313" width="11.28515625" style="338" customWidth="1"/>
    <col min="2314" max="2314" width="10.140625" style="338" customWidth="1"/>
    <col min="2315" max="2560" width="9.140625" style="338"/>
    <col min="2561" max="2561" width="4.85546875" style="338" customWidth="1"/>
    <col min="2562" max="2562" width="6.7109375" style="338" customWidth="1"/>
    <col min="2563" max="2563" width="6.140625" style="338" customWidth="1"/>
    <col min="2564" max="2564" width="10" style="338" customWidth="1"/>
    <col min="2565" max="2565" width="11.28515625" style="338" customWidth="1"/>
    <col min="2566" max="2566" width="11.5703125" style="338" customWidth="1"/>
    <col min="2567" max="2567" width="13.85546875" style="338" customWidth="1"/>
    <col min="2568" max="2569" width="11.28515625" style="338" customWidth="1"/>
    <col min="2570" max="2570" width="10.140625" style="338" customWidth="1"/>
    <col min="2571" max="2816" width="9.140625" style="338"/>
    <col min="2817" max="2817" width="4.85546875" style="338" customWidth="1"/>
    <col min="2818" max="2818" width="6.7109375" style="338" customWidth="1"/>
    <col min="2819" max="2819" width="6.140625" style="338" customWidth="1"/>
    <col min="2820" max="2820" width="10" style="338" customWidth="1"/>
    <col min="2821" max="2821" width="11.28515625" style="338" customWidth="1"/>
    <col min="2822" max="2822" width="11.5703125" style="338" customWidth="1"/>
    <col min="2823" max="2823" width="13.85546875" style="338" customWidth="1"/>
    <col min="2824" max="2825" width="11.28515625" style="338" customWidth="1"/>
    <col min="2826" max="2826" width="10.140625" style="338" customWidth="1"/>
    <col min="2827" max="3072" width="9.140625" style="338"/>
    <col min="3073" max="3073" width="4.85546875" style="338" customWidth="1"/>
    <col min="3074" max="3074" width="6.7109375" style="338" customWidth="1"/>
    <col min="3075" max="3075" width="6.140625" style="338" customWidth="1"/>
    <col min="3076" max="3076" width="10" style="338" customWidth="1"/>
    <col min="3077" max="3077" width="11.28515625" style="338" customWidth="1"/>
    <col min="3078" max="3078" width="11.5703125" style="338" customWidth="1"/>
    <col min="3079" max="3079" width="13.85546875" style="338" customWidth="1"/>
    <col min="3080" max="3081" width="11.28515625" style="338" customWidth="1"/>
    <col min="3082" max="3082" width="10.140625" style="338" customWidth="1"/>
    <col min="3083" max="3328" width="9.140625" style="338"/>
    <col min="3329" max="3329" width="4.85546875" style="338" customWidth="1"/>
    <col min="3330" max="3330" width="6.7109375" style="338" customWidth="1"/>
    <col min="3331" max="3331" width="6.140625" style="338" customWidth="1"/>
    <col min="3332" max="3332" width="10" style="338" customWidth="1"/>
    <col min="3333" max="3333" width="11.28515625" style="338" customWidth="1"/>
    <col min="3334" max="3334" width="11.5703125" style="338" customWidth="1"/>
    <col min="3335" max="3335" width="13.85546875" style="338" customWidth="1"/>
    <col min="3336" max="3337" width="11.28515625" style="338" customWidth="1"/>
    <col min="3338" max="3338" width="10.140625" style="338" customWidth="1"/>
    <col min="3339" max="3584" width="9.140625" style="338"/>
    <col min="3585" max="3585" width="4.85546875" style="338" customWidth="1"/>
    <col min="3586" max="3586" width="6.7109375" style="338" customWidth="1"/>
    <col min="3587" max="3587" width="6.140625" style="338" customWidth="1"/>
    <col min="3588" max="3588" width="10" style="338" customWidth="1"/>
    <col min="3589" max="3589" width="11.28515625" style="338" customWidth="1"/>
    <col min="3590" max="3590" width="11.5703125" style="338" customWidth="1"/>
    <col min="3591" max="3591" width="13.85546875" style="338" customWidth="1"/>
    <col min="3592" max="3593" width="11.28515625" style="338" customWidth="1"/>
    <col min="3594" max="3594" width="10.140625" style="338" customWidth="1"/>
    <col min="3595" max="3840" width="9.140625" style="338"/>
    <col min="3841" max="3841" width="4.85546875" style="338" customWidth="1"/>
    <col min="3842" max="3842" width="6.7109375" style="338" customWidth="1"/>
    <col min="3843" max="3843" width="6.140625" style="338" customWidth="1"/>
    <col min="3844" max="3844" width="10" style="338" customWidth="1"/>
    <col min="3845" max="3845" width="11.28515625" style="338" customWidth="1"/>
    <col min="3846" max="3846" width="11.5703125" style="338" customWidth="1"/>
    <col min="3847" max="3847" width="13.85546875" style="338" customWidth="1"/>
    <col min="3848" max="3849" width="11.28515625" style="338" customWidth="1"/>
    <col min="3850" max="3850" width="10.140625" style="338" customWidth="1"/>
    <col min="3851" max="4096" width="9.140625" style="338"/>
    <col min="4097" max="4097" width="4.85546875" style="338" customWidth="1"/>
    <col min="4098" max="4098" width="6.7109375" style="338" customWidth="1"/>
    <col min="4099" max="4099" width="6.140625" style="338" customWidth="1"/>
    <col min="4100" max="4100" width="10" style="338" customWidth="1"/>
    <col min="4101" max="4101" width="11.28515625" style="338" customWidth="1"/>
    <col min="4102" max="4102" width="11.5703125" style="338" customWidth="1"/>
    <col min="4103" max="4103" width="13.85546875" style="338" customWidth="1"/>
    <col min="4104" max="4105" width="11.28515625" style="338" customWidth="1"/>
    <col min="4106" max="4106" width="10.140625" style="338" customWidth="1"/>
    <col min="4107" max="4352" width="9.140625" style="338"/>
    <col min="4353" max="4353" width="4.85546875" style="338" customWidth="1"/>
    <col min="4354" max="4354" width="6.7109375" style="338" customWidth="1"/>
    <col min="4355" max="4355" width="6.140625" style="338" customWidth="1"/>
    <col min="4356" max="4356" width="10" style="338" customWidth="1"/>
    <col min="4357" max="4357" width="11.28515625" style="338" customWidth="1"/>
    <col min="4358" max="4358" width="11.5703125" style="338" customWidth="1"/>
    <col min="4359" max="4359" width="13.85546875" style="338" customWidth="1"/>
    <col min="4360" max="4361" width="11.28515625" style="338" customWidth="1"/>
    <col min="4362" max="4362" width="10.140625" style="338" customWidth="1"/>
    <col min="4363" max="4608" width="9.140625" style="338"/>
    <col min="4609" max="4609" width="4.85546875" style="338" customWidth="1"/>
    <col min="4610" max="4610" width="6.7109375" style="338" customWidth="1"/>
    <col min="4611" max="4611" width="6.140625" style="338" customWidth="1"/>
    <col min="4612" max="4612" width="10" style="338" customWidth="1"/>
    <col min="4613" max="4613" width="11.28515625" style="338" customWidth="1"/>
    <col min="4614" max="4614" width="11.5703125" style="338" customWidth="1"/>
    <col min="4615" max="4615" width="13.85546875" style="338" customWidth="1"/>
    <col min="4616" max="4617" width="11.28515625" style="338" customWidth="1"/>
    <col min="4618" max="4618" width="10.140625" style="338" customWidth="1"/>
    <col min="4619" max="4864" width="9.140625" style="338"/>
    <col min="4865" max="4865" width="4.85546875" style="338" customWidth="1"/>
    <col min="4866" max="4866" width="6.7109375" style="338" customWidth="1"/>
    <col min="4867" max="4867" width="6.140625" style="338" customWidth="1"/>
    <col min="4868" max="4868" width="10" style="338" customWidth="1"/>
    <col min="4869" max="4869" width="11.28515625" style="338" customWidth="1"/>
    <col min="4870" max="4870" width="11.5703125" style="338" customWidth="1"/>
    <col min="4871" max="4871" width="13.85546875" style="338" customWidth="1"/>
    <col min="4872" max="4873" width="11.28515625" style="338" customWidth="1"/>
    <col min="4874" max="4874" width="10.140625" style="338" customWidth="1"/>
    <col min="4875" max="5120" width="9.140625" style="338"/>
    <col min="5121" max="5121" width="4.85546875" style="338" customWidth="1"/>
    <col min="5122" max="5122" width="6.7109375" style="338" customWidth="1"/>
    <col min="5123" max="5123" width="6.140625" style="338" customWidth="1"/>
    <col min="5124" max="5124" width="10" style="338" customWidth="1"/>
    <col min="5125" max="5125" width="11.28515625" style="338" customWidth="1"/>
    <col min="5126" max="5126" width="11.5703125" style="338" customWidth="1"/>
    <col min="5127" max="5127" width="13.85546875" style="338" customWidth="1"/>
    <col min="5128" max="5129" width="11.28515625" style="338" customWidth="1"/>
    <col min="5130" max="5130" width="10.140625" style="338" customWidth="1"/>
    <col min="5131" max="5376" width="9.140625" style="338"/>
    <col min="5377" max="5377" width="4.85546875" style="338" customWidth="1"/>
    <col min="5378" max="5378" width="6.7109375" style="338" customWidth="1"/>
    <col min="5379" max="5379" width="6.140625" style="338" customWidth="1"/>
    <col min="5380" max="5380" width="10" style="338" customWidth="1"/>
    <col min="5381" max="5381" width="11.28515625" style="338" customWidth="1"/>
    <col min="5382" max="5382" width="11.5703125" style="338" customWidth="1"/>
    <col min="5383" max="5383" width="13.85546875" style="338" customWidth="1"/>
    <col min="5384" max="5385" width="11.28515625" style="338" customWidth="1"/>
    <col min="5386" max="5386" width="10.140625" style="338" customWidth="1"/>
    <col min="5387" max="5632" width="9.140625" style="338"/>
    <col min="5633" max="5633" width="4.85546875" style="338" customWidth="1"/>
    <col min="5634" max="5634" width="6.7109375" style="338" customWidth="1"/>
    <col min="5635" max="5635" width="6.140625" style="338" customWidth="1"/>
    <col min="5636" max="5636" width="10" style="338" customWidth="1"/>
    <col min="5637" max="5637" width="11.28515625" style="338" customWidth="1"/>
    <col min="5638" max="5638" width="11.5703125" style="338" customWidth="1"/>
    <col min="5639" max="5639" width="13.85546875" style="338" customWidth="1"/>
    <col min="5640" max="5641" width="11.28515625" style="338" customWidth="1"/>
    <col min="5642" max="5642" width="10.140625" style="338" customWidth="1"/>
    <col min="5643" max="5888" width="9.140625" style="338"/>
    <col min="5889" max="5889" width="4.85546875" style="338" customWidth="1"/>
    <col min="5890" max="5890" width="6.7109375" style="338" customWidth="1"/>
    <col min="5891" max="5891" width="6.140625" style="338" customWidth="1"/>
    <col min="5892" max="5892" width="10" style="338" customWidth="1"/>
    <col min="5893" max="5893" width="11.28515625" style="338" customWidth="1"/>
    <col min="5894" max="5894" width="11.5703125" style="338" customWidth="1"/>
    <col min="5895" max="5895" width="13.85546875" style="338" customWidth="1"/>
    <col min="5896" max="5897" width="11.28515625" style="338" customWidth="1"/>
    <col min="5898" max="5898" width="10.140625" style="338" customWidth="1"/>
    <col min="5899" max="6144" width="9.140625" style="338"/>
    <col min="6145" max="6145" width="4.85546875" style="338" customWidth="1"/>
    <col min="6146" max="6146" width="6.7109375" style="338" customWidth="1"/>
    <col min="6147" max="6147" width="6.140625" style="338" customWidth="1"/>
    <col min="6148" max="6148" width="10" style="338" customWidth="1"/>
    <col min="6149" max="6149" width="11.28515625" style="338" customWidth="1"/>
    <col min="6150" max="6150" width="11.5703125" style="338" customWidth="1"/>
    <col min="6151" max="6151" width="13.85546875" style="338" customWidth="1"/>
    <col min="6152" max="6153" width="11.28515625" style="338" customWidth="1"/>
    <col min="6154" max="6154" width="10.140625" style="338" customWidth="1"/>
    <col min="6155" max="6400" width="9.140625" style="338"/>
    <col min="6401" max="6401" width="4.85546875" style="338" customWidth="1"/>
    <col min="6402" max="6402" width="6.7109375" style="338" customWidth="1"/>
    <col min="6403" max="6403" width="6.140625" style="338" customWidth="1"/>
    <col min="6404" max="6404" width="10" style="338" customWidth="1"/>
    <col min="6405" max="6405" width="11.28515625" style="338" customWidth="1"/>
    <col min="6406" max="6406" width="11.5703125" style="338" customWidth="1"/>
    <col min="6407" max="6407" width="13.85546875" style="338" customWidth="1"/>
    <col min="6408" max="6409" width="11.28515625" style="338" customWidth="1"/>
    <col min="6410" max="6410" width="10.140625" style="338" customWidth="1"/>
    <col min="6411" max="6656" width="9.140625" style="338"/>
    <col min="6657" max="6657" width="4.85546875" style="338" customWidth="1"/>
    <col min="6658" max="6658" width="6.7109375" style="338" customWidth="1"/>
    <col min="6659" max="6659" width="6.140625" style="338" customWidth="1"/>
    <col min="6660" max="6660" width="10" style="338" customWidth="1"/>
    <col min="6661" max="6661" width="11.28515625" style="338" customWidth="1"/>
    <col min="6662" max="6662" width="11.5703125" style="338" customWidth="1"/>
    <col min="6663" max="6663" width="13.85546875" style="338" customWidth="1"/>
    <col min="6664" max="6665" width="11.28515625" style="338" customWidth="1"/>
    <col min="6666" max="6666" width="10.140625" style="338" customWidth="1"/>
    <col min="6667" max="6912" width="9.140625" style="338"/>
    <col min="6913" max="6913" width="4.85546875" style="338" customWidth="1"/>
    <col min="6914" max="6914" width="6.7109375" style="338" customWidth="1"/>
    <col min="6915" max="6915" width="6.140625" style="338" customWidth="1"/>
    <col min="6916" max="6916" width="10" style="338" customWidth="1"/>
    <col min="6917" max="6917" width="11.28515625" style="338" customWidth="1"/>
    <col min="6918" max="6918" width="11.5703125" style="338" customWidth="1"/>
    <col min="6919" max="6919" width="13.85546875" style="338" customWidth="1"/>
    <col min="6920" max="6921" width="11.28515625" style="338" customWidth="1"/>
    <col min="6922" max="6922" width="10.140625" style="338" customWidth="1"/>
    <col min="6923" max="7168" width="9.140625" style="338"/>
    <col min="7169" max="7169" width="4.85546875" style="338" customWidth="1"/>
    <col min="7170" max="7170" width="6.7109375" style="338" customWidth="1"/>
    <col min="7171" max="7171" width="6.140625" style="338" customWidth="1"/>
    <col min="7172" max="7172" width="10" style="338" customWidth="1"/>
    <col min="7173" max="7173" width="11.28515625" style="338" customWidth="1"/>
    <col min="7174" max="7174" width="11.5703125" style="338" customWidth="1"/>
    <col min="7175" max="7175" width="13.85546875" style="338" customWidth="1"/>
    <col min="7176" max="7177" width="11.28515625" style="338" customWidth="1"/>
    <col min="7178" max="7178" width="10.140625" style="338" customWidth="1"/>
    <col min="7179" max="7424" width="9.140625" style="338"/>
    <col min="7425" max="7425" width="4.85546875" style="338" customWidth="1"/>
    <col min="7426" max="7426" width="6.7109375" style="338" customWidth="1"/>
    <col min="7427" max="7427" width="6.140625" style="338" customWidth="1"/>
    <col min="7428" max="7428" width="10" style="338" customWidth="1"/>
    <col min="7429" max="7429" width="11.28515625" style="338" customWidth="1"/>
    <col min="7430" max="7430" width="11.5703125" style="338" customWidth="1"/>
    <col min="7431" max="7431" width="13.85546875" style="338" customWidth="1"/>
    <col min="7432" max="7433" width="11.28515625" style="338" customWidth="1"/>
    <col min="7434" max="7434" width="10.140625" style="338" customWidth="1"/>
    <col min="7435" max="7680" width="9.140625" style="338"/>
    <col min="7681" max="7681" width="4.85546875" style="338" customWidth="1"/>
    <col min="7682" max="7682" width="6.7109375" style="338" customWidth="1"/>
    <col min="7683" max="7683" width="6.140625" style="338" customWidth="1"/>
    <col min="7684" max="7684" width="10" style="338" customWidth="1"/>
    <col min="7685" max="7685" width="11.28515625" style="338" customWidth="1"/>
    <col min="7686" max="7686" width="11.5703125" style="338" customWidth="1"/>
    <col min="7687" max="7687" width="13.85546875" style="338" customWidth="1"/>
    <col min="7688" max="7689" width="11.28515625" style="338" customWidth="1"/>
    <col min="7690" max="7690" width="10.140625" style="338" customWidth="1"/>
    <col min="7691" max="7936" width="9.140625" style="338"/>
    <col min="7937" max="7937" width="4.85546875" style="338" customWidth="1"/>
    <col min="7938" max="7938" width="6.7109375" style="338" customWidth="1"/>
    <col min="7939" max="7939" width="6.140625" style="338" customWidth="1"/>
    <col min="7940" max="7940" width="10" style="338" customWidth="1"/>
    <col min="7941" max="7941" width="11.28515625" style="338" customWidth="1"/>
    <col min="7942" max="7942" width="11.5703125" style="338" customWidth="1"/>
    <col min="7943" max="7943" width="13.85546875" style="338" customWidth="1"/>
    <col min="7944" max="7945" width="11.28515625" style="338" customWidth="1"/>
    <col min="7946" max="7946" width="10.140625" style="338" customWidth="1"/>
    <col min="7947" max="8192" width="9.140625" style="338"/>
    <col min="8193" max="8193" width="4.85546875" style="338" customWidth="1"/>
    <col min="8194" max="8194" width="6.7109375" style="338" customWidth="1"/>
    <col min="8195" max="8195" width="6.140625" style="338" customWidth="1"/>
    <col min="8196" max="8196" width="10" style="338" customWidth="1"/>
    <col min="8197" max="8197" width="11.28515625" style="338" customWidth="1"/>
    <col min="8198" max="8198" width="11.5703125" style="338" customWidth="1"/>
    <col min="8199" max="8199" width="13.85546875" style="338" customWidth="1"/>
    <col min="8200" max="8201" width="11.28515625" style="338" customWidth="1"/>
    <col min="8202" max="8202" width="10.140625" style="338" customWidth="1"/>
    <col min="8203" max="8448" width="9.140625" style="338"/>
    <col min="8449" max="8449" width="4.85546875" style="338" customWidth="1"/>
    <col min="8450" max="8450" width="6.7109375" style="338" customWidth="1"/>
    <col min="8451" max="8451" width="6.140625" style="338" customWidth="1"/>
    <col min="8452" max="8452" width="10" style="338" customWidth="1"/>
    <col min="8453" max="8453" width="11.28515625" style="338" customWidth="1"/>
    <col min="8454" max="8454" width="11.5703125" style="338" customWidth="1"/>
    <col min="8455" max="8455" width="13.85546875" style="338" customWidth="1"/>
    <col min="8456" max="8457" width="11.28515625" style="338" customWidth="1"/>
    <col min="8458" max="8458" width="10.140625" style="338" customWidth="1"/>
    <col min="8459" max="8704" width="9.140625" style="338"/>
    <col min="8705" max="8705" width="4.85546875" style="338" customWidth="1"/>
    <col min="8706" max="8706" width="6.7109375" style="338" customWidth="1"/>
    <col min="8707" max="8707" width="6.140625" style="338" customWidth="1"/>
    <col min="8708" max="8708" width="10" style="338" customWidth="1"/>
    <col min="8709" max="8709" width="11.28515625" style="338" customWidth="1"/>
    <col min="8710" max="8710" width="11.5703125" style="338" customWidth="1"/>
    <col min="8711" max="8711" width="13.85546875" style="338" customWidth="1"/>
    <col min="8712" max="8713" width="11.28515625" style="338" customWidth="1"/>
    <col min="8714" max="8714" width="10.140625" style="338" customWidth="1"/>
    <col min="8715" max="8960" width="9.140625" style="338"/>
    <col min="8961" max="8961" width="4.85546875" style="338" customWidth="1"/>
    <col min="8962" max="8962" width="6.7109375" style="338" customWidth="1"/>
    <col min="8963" max="8963" width="6.140625" style="338" customWidth="1"/>
    <col min="8964" max="8964" width="10" style="338" customWidth="1"/>
    <col min="8965" max="8965" width="11.28515625" style="338" customWidth="1"/>
    <col min="8966" max="8966" width="11.5703125" style="338" customWidth="1"/>
    <col min="8967" max="8967" width="13.85546875" style="338" customWidth="1"/>
    <col min="8968" max="8969" width="11.28515625" style="338" customWidth="1"/>
    <col min="8970" max="8970" width="10.140625" style="338" customWidth="1"/>
    <col min="8971" max="9216" width="9.140625" style="338"/>
    <col min="9217" max="9217" width="4.85546875" style="338" customWidth="1"/>
    <col min="9218" max="9218" width="6.7109375" style="338" customWidth="1"/>
    <col min="9219" max="9219" width="6.140625" style="338" customWidth="1"/>
    <col min="9220" max="9220" width="10" style="338" customWidth="1"/>
    <col min="9221" max="9221" width="11.28515625" style="338" customWidth="1"/>
    <col min="9222" max="9222" width="11.5703125" style="338" customWidth="1"/>
    <col min="9223" max="9223" width="13.85546875" style="338" customWidth="1"/>
    <col min="9224" max="9225" width="11.28515625" style="338" customWidth="1"/>
    <col min="9226" max="9226" width="10.140625" style="338" customWidth="1"/>
    <col min="9227" max="9472" width="9.140625" style="338"/>
    <col min="9473" max="9473" width="4.85546875" style="338" customWidth="1"/>
    <col min="9474" max="9474" width="6.7109375" style="338" customWidth="1"/>
    <col min="9475" max="9475" width="6.140625" style="338" customWidth="1"/>
    <col min="9476" max="9476" width="10" style="338" customWidth="1"/>
    <col min="9477" max="9477" width="11.28515625" style="338" customWidth="1"/>
    <col min="9478" max="9478" width="11.5703125" style="338" customWidth="1"/>
    <col min="9479" max="9479" width="13.85546875" style="338" customWidth="1"/>
    <col min="9480" max="9481" width="11.28515625" style="338" customWidth="1"/>
    <col min="9482" max="9482" width="10.140625" style="338" customWidth="1"/>
    <col min="9483" max="9728" width="9.140625" style="338"/>
    <col min="9729" max="9729" width="4.85546875" style="338" customWidth="1"/>
    <col min="9730" max="9730" width="6.7109375" style="338" customWidth="1"/>
    <col min="9731" max="9731" width="6.140625" style="338" customWidth="1"/>
    <col min="9732" max="9732" width="10" style="338" customWidth="1"/>
    <col min="9733" max="9733" width="11.28515625" style="338" customWidth="1"/>
    <col min="9734" max="9734" width="11.5703125" style="338" customWidth="1"/>
    <col min="9735" max="9735" width="13.85546875" style="338" customWidth="1"/>
    <col min="9736" max="9737" width="11.28515625" style="338" customWidth="1"/>
    <col min="9738" max="9738" width="10.140625" style="338" customWidth="1"/>
    <col min="9739" max="9984" width="9.140625" style="338"/>
    <col min="9985" max="9985" width="4.85546875" style="338" customWidth="1"/>
    <col min="9986" max="9986" width="6.7109375" style="338" customWidth="1"/>
    <col min="9987" max="9987" width="6.140625" style="338" customWidth="1"/>
    <col min="9988" max="9988" width="10" style="338" customWidth="1"/>
    <col min="9989" max="9989" width="11.28515625" style="338" customWidth="1"/>
    <col min="9990" max="9990" width="11.5703125" style="338" customWidth="1"/>
    <col min="9991" max="9991" width="13.85546875" style="338" customWidth="1"/>
    <col min="9992" max="9993" width="11.28515625" style="338" customWidth="1"/>
    <col min="9994" max="9994" width="10.140625" style="338" customWidth="1"/>
    <col min="9995" max="10240" width="9.140625" style="338"/>
    <col min="10241" max="10241" width="4.85546875" style="338" customWidth="1"/>
    <col min="10242" max="10242" width="6.7109375" style="338" customWidth="1"/>
    <col min="10243" max="10243" width="6.140625" style="338" customWidth="1"/>
    <col min="10244" max="10244" width="10" style="338" customWidth="1"/>
    <col min="10245" max="10245" width="11.28515625" style="338" customWidth="1"/>
    <col min="10246" max="10246" width="11.5703125" style="338" customWidth="1"/>
    <col min="10247" max="10247" width="13.85546875" style="338" customWidth="1"/>
    <col min="10248" max="10249" width="11.28515625" style="338" customWidth="1"/>
    <col min="10250" max="10250" width="10.140625" style="338" customWidth="1"/>
    <col min="10251" max="10496" width="9.140625" style="338"/>
    <col min="10497" max="10497" width="4.85546875" style="338" customWidth="1"/>
    <col min="10498" max="10498" width="6.7109375" style="338" customWidth="1"/>
    <col min="10499" max="10499" width="6.140625" style="338" customWidth="1"/>
    <col min="10500" max="10500" width="10" style="338" customWidth="1"/>
    <col min="10501" max="10501" width="11.28515625" style="338" customWidth="1"/>
    <col min="10502" max="10502" width="11.5703125" style="338" customWidth="1"/>
    <col min="10503" max="10503" width="13.85546875" style="338" customWidth="1"/>
    <col min="10504" max="10505" width="11.28515625" style="338" customWidth="1"/>
    <col min="10506" max="10506" width="10.140625" style="338" customWidth="1"/>
    <col min="10507" max="10752" width="9.140625" style="338"/>
    <col min="10753" max="10753" width="4.85546875" style="338" customWidth="1"/>
    <col min="10754" max="10754" width="6.7109375" style="338" customWidth="1"/>
    <col min="10755" max="10755" width="6.140625" style="338" customWidth="1"/>
    <col min="10756" max="10756" width="10" style="338" customWidth="1"/>
    <col min="10757" max="10757" width="11.28515625" style="338" customWidth="1"/>
    <col min="10758" max="10758" width="11.5703125" style="338" customWidth="1"/>
    <col min="10759" max="10759" width="13.85546875" style="338" customWidth="1"/>
    <col min="10760" max="10761" width="11.28515625" style="338" customWidth="1"/>
    <col min="10762" max="10762" width="10.140625" style="338" customWidth="1"/>
    <col min="10763" max="11008" width="9.140625" style="338"/>
    <col min="11009" max="11009" width="4.85546875" style="338" customWidth="1"/>
    <col min="11010" max="11010" width="6.7109375" style="338" customWidth="1"/>
    <col min="11011" max="11011" width="6.140625" style="338" customWidth="1"/>
    <col min="11012" max="11012" width="10" style="338" customWidth="1"/>
    <col min="11013" max="11013" width="11.28515625" style="338" customWidth="1"/>
    <col min="11014" max="11014" width="11.5703125" style="338" customWidth="1"/>
    <col min="11015" max="11015" width="13.85546875" style="338" customWidth="1"/>
    <col min="11016" max="11017" width="11.28515625" style="338" customWidth="1"/>
    <col min="11018" max="11018" width="10.140625" style="338" customWidth="1"/>
    <col min="11019" max="11264" width="9.140625" style="338"/>
    <col min="11265" max="11265" width="4.85546875" style="338" customWidth="1"/>
    <col min="11266" max="11266" width="6.7109375" style="338" customWidth="1"/>
    <col min="11267" max="11267" width="6.140625" style="338" customWidth="1"/>
    <col min="11268" max="11268" width="10" style="338" customWidth="1"/>
    <col min="11269" max="11269" width="11.28515625" style="338" customWidth="1"/>
    <col min="11270" max="11270" width="11.5703125" style="338" customWidth="1"/>
    <col min="11271" max="11271" width="13.85546875" style="338" customWidth="1"/>
    <col min="11272" max="11273" width="11.28515625" style="338" customWidth="1"/>
    <col min="11274" max="11274" width="10.140625" style="338" customWidth="1"/>
    <col min="11275" max="11520" width="9.140625" style="338"/>
    <col min="11521" max="11521" width="4.85546875" style="338" customWidth="1"/>
    <col min="11522" max="11522" width="6.7109375" style="338" customWidth="1"/>
    <col min="11523" max="11523" width="6.140625" style="338" customWidth="1"/>
    <col min="11524" max="11524" width="10" style="338" customWidth="1"/>
    <col min="11525" max="11525" width="11.28515625" style="338" customWidth="1"/>
    <col min="11526" max="11526" width="11.5703125" style="338" customWidth="1"/>
    <col min="11527" max="11527" width="13.85546875" style="338" customWidth="1"/>
    <col min="11528" max="11529" width="11.28515625" style="338" customWidth="1"/>
    <col min="11530" max="11530" width="10.140625" style="338" customWidth="1"/>
    <col min="11531" max="11776" width="9.140625" style="338"/>
    <col min="11777" max="11777" width="4.85546875" style="338" customWidth="1"/>
    <col min="11778" max="11778" width="6.7109375" style="338" customWidth="1"/>
    <col min="11779" max="11779" width="6.140625" style="338" customWidth="1"/>
    <col min="11780" max="11780" width="10" style="338" customWidth="1"/>
    <col min="11781" max="11781" width="11.28515625" style="338" customWidth="1"/>
    <col min="11782" max="11782" width="11.5703125" style="338" customWidth="1"/>
    <col min="11783" max="11783" width="13.85546875" style="338" customWidth="1"/>
    <col min="11784" max="11785" width="11.28515625" style="338" customWidth="1"/>
    <col min="11786" max="11786" width="10.140625" style="338" customWidth="1"/>
    <col min="11787" max="12032" width="9.140625" style="338"/>
    <col min="12033" max="12033" width="4.85546875" style="338" customWidth="1"/>
    <col min="12034" max="12034" width="6.7109375" style="338" customWidth="1"/>
    <col min="12035" max="12035" width="6.140625" style="338" customWidth="1"/>
    <col min="12036" max="12036" width="10" style="338" customWidth="1"/>
    <col min="12037" max="12037" width="11.28515625" style="338" customWidth="1"/>
    <col min="12038" max="12038" width="11.5703125" style="338" customWidth="1"/>
    <col min="12039" max="12039" width="13.85546875" style="338" customWidth="1"/>
    <col min="12040" max="12041" width="11.28515625" style="338" customWidth="1"/>
    <col min="12042" max="12042" width="10.140625" style="338" customWidth="1"/>
    <col min="12043" max="12288" width="9.140625" style="338"/>
    <col min="12289" max="12289" width="4.85546875" style="338" customWidth="1"/>
    <col min="12290" max="12290" width="6.7109375" style="338" customWidth="1"/>
    <col min="12291" max="12291" width="6.140625" style="338" customWidth="1"/>
    <col min="12292" max="12292" width="10" style="338" customWidth="1"/>
    <col min="12293" max="12293" width="11.28515625" style="338" customWidth="1"/>
    <col min="12294" max="12294" width="11.5703125" style="338" customWidth="1"/>
    <col min="12295" max="12295" width="13.85546875" style="338" customWidth="1"/>
    <col min="12296" max="12297" width="11.28515625" style="338" customWidth="1"/>
    <col min="12298" max="12298" width="10.140625" style="338" customWidth="1"/>
    <col min="12299" max="12544" width="9.140625" style="338"/>
    <col min="12545" max="12545" width="4.85546875" style="338" customWidth="1"/>
    <col min="12546" max="12546" width="6.7109375" style="338" customWidth="1"/>
    <col min="12547" max="12547" width="6.140625" style="338" customWidth="1"/>
    <col min="12548" max="12548" width="10" style="338" customWidth="1"/>
    <col min="12549" max="12549" width="11.28515625" style="338" customWidth="1"/>
    <col min="12550" max="12550" width="11.5703125" style="338" customWidth="1"/>
    <col min="12551" max="12551" width="13.85546875" style="338" customWidth="1"/>
    <col min="12552" max="12553" width="11.28515625" style="338" customWidth="1"/>
    <col min="12554" max="12554" width="10.140625" style="338" customWidth="1"/>
    <col min="12555" max="12800" width="9.140625" style="338"/>
    <col min="12801" max="12801" width="4.85546875" style="338" customWidth="1"/>
    <col min="12802" max="12802" width="6.7109375" style="338" customWidth="1"/>
    <col min="12803" max="12803" width="6.140625" style="338" customWidth="1"/>
    <col min="12804" max="12804" width="10" style="338" customWidth="1"/>
    <col min="12805" max="12805" width="11.28515625" style="338" customWidth="1"/>
    <col min="12806" max="12806" width="11.5703125" style="338" customWidth="1"/>
    <col min="12807" max="12807" width="13.85546875" style="338" customWidth="1"/>
    <col min="12808" max="12809" width="11.28515625" style="338" customWidth="1"/>
    <col min="12810" max="12810" width="10.140625" style="338" customWidth="1"/>
    <col min="12811" max="13056" width="9.140625" style="338"/>
    <col min="13057" max="13057" width="4.85546875" style="338" customWidth="1"/>
    <col min="13058" max="13058" width="6.7109375" style="338" customWidth="1"/>
    <col min="13059" max="13059" width="6.140625" style="338" customWidth="1"/>
    <col min="13060" max="13060" width="10" style="338" customWidth="1"/>
    <col min="13061" max="13061" width="11.28515625" style="338" customWidth="1"/>
    <col min="13062" max="13062" width="11.5703125" style="338" customWidth="1"/>
    <col min="13063" max="13063" width="13.85546875" style="338" customWidth="1"/>
    <col min="13064" max="13065" width="11.28515625" style="338" customWidth="1"/>
    <col min="13066" max="13066" width="10.140625" style="338" customWidth="1"/>
    <col min="13067" max="13312" width="9.140625" style="338"/>
    <col min="13313" max="13313" width="4.85546875" style="338" customWidth="1"/>
    <col min="13314" max="13314" width="6.7109375" style="338" customWidth="1"/>
    <col min="13315" max="13315" width="6.140625" style="338" customWidth="1"/>
    <col min="13316" max="13316" width="10" style="338" customWidth="1"/>
    <col min="13317" max="13317" width="11.28515625" style="338" customWidth="1"/>
    <col min="13318" max="13318" width="11.5703125" style="338" customWidth="1"/>
    <col min="13319" max="13319" width="13.85546875" style="338" customWidth="1"/>
    <col min="13320" max="13321" width="11.28515625" style="338" customWidth="1"/>
    <col min="13322" max="13322" width="10.140625" style="338" customWidth="1"/>
    <col min="13323" max="13568" width="9.140625" style="338"/>
    <col min="13569" max="13569" width="4.85546875" style="338" customWidth="1"/>
    <col min="13570" max="13570" width="6.7109375" style="338" customWidth="1"/>
    <col min="13571" max="13571" width="6.140625" style="338" customWidth="1"/>
    <col min="13572" max="13572" width="10" style="338" customWidth="1"/>
    <col min="13573" max="13573" width="11.28515625" style="338" customWidth="1"/>
    <col min="13574" max="13574" width="11.5703125" style="338" customWidth="1"/>
    <col min="13575" max="13575" width="13.85546875" style="338" customWidth="1"/>
    <col min="13576" max="13577" width="11.28515625" style="338" customWidth="1"/>
    <col min="13578" max="13578" width="10.140625" style="338" customWidth="1"/>
    <col min="13579" max="13824" width="9.140625" style="338"/>
    <col min="13825" max="13825" width="4.85546875" style="338" customWidth="1"/>
    <col min="13826" max="13826" width="6.7109375" style="338" customWidth="1"/>
    <col min="13827" max="13827" width="6.140625" style="338" customWidth="1"/>
    <col min="13828" max="13828" width="10" style="338" customWidth="1"/>
    <col min="13829" max="13829" width="11.28515625" style="338" customWidth="1"/>
    <col min="13830" max="13830" width="11.5703125" style="338" customWidth="1"/>
    <col min="13831" max="13831" width="13.85546875" style="338" customWidth="1"/>
    <col min="13832" max="13833" width="11.28515625" style="338" customWidth="1"/>
    <col min="13834" max="13834" width="10.140625" style="338" customWidth="1"/>
    <col min="13835" max="14080" width="9.140625" style="338"/>
    <col min="14081" max="14081" width="4.85546875" style="338" customWidth="1"/>
    <col min="14082" max="14082" width="6.7109375" style="338" customWidth="1"/>
    <col min="14083" max="14083" width="6.140625" style="338" customWidth="1"/>
    <col min="14084" max="14084" width="10" style="338" customWidth="1"/>
    <col min="14085" max="14085" width="11.28515625" style="338" customWidth="1"/>
    <col min="14086" max="14086" width="11.5703125" style="338" customWidth="1"/>
    <col min="14087" max="14087" width="13.85546875" style="338" customWidth="1"/>
    <col min="14088" max="14089" width="11.28515625" style="338" customWidth="1"/>
    <col min="14090" max="14090" width="10.140625" style="338" customWidth="1"/>
    <col min="14091" max="14336" width="9.140625" style="338"/>
    <col min="14337" max="14337" width="4.85546875" style="338" customWidth="1"/>
    <col min="14338" max="14338" width="6.7109375" style="338" customWidth="1"/>
    <col min="14339" max="14339" width="6.140625" style="338" customWidth="1"/>
    <col min="14340" max="14340" width="10" style="338" customWidth="1"/>
    <col min="14341" max="14341" width="11.28515625" style="338" customWidth="1"/>
    <col min="14342" max="14342" width="11.5703125" style="338" customWidth="1"/>
    <col min="14343" max="14343" width="13.85546875" style="338" customWidth="1"/>
    <col min="14344" max="14345" width="11.28515625" style="338" customWidth="1"/>
    <col min="14346" max="14346" width="10.140625" style="338" customWidth="1"/>
    <col min="14347" max="14592" width="9.140625" style="338"/>
    <col min="14593" max="14593" width="4.85546875" style="338" customWidth="1"/>
    <col min="14594" max="14594" width="6.7109375" style="338" customWidth="1"/>
    <col min="14595" max="14595" width="6.140625" style="338" customWidth="1"/>
    <col min="14596" max="14596" width="10" style="338" customWidth="1"/>
    <col min="14597" max="14597" width="11.28515625" style="338" customWidth="1"/>
    <col min="14598" max="14598" width="11.5703125" style="338" customWidth="1"/>
    <col min="14599" max="14599" width="13.85546875" style="338" customWidth="1"/>
    <col min="14600" max="14601" width="11.28515625" style="338" customWidth="1"/>
    <col min="14602" max="14602" width="10.140625" style="338" customWidth="1"/>
    <col min="14603" max="14848" width="9.140625" style="338"/>
    <col min="14849" max="14849" width="4.85546875" style="338" customWidth="1"/>
    <col min="14850" max="14850" width="6.7109375" style="338" customWidth="1"/>
    <col min="14851" max="14851" width="6.140625" style="338" customWidth="1"/>
    <col min="14852" max="14852" width="10" style="338" customWidth="1"/>
    <col min="14853" max="14853" width="11.28515625" style="338" customWidth="1"/>
    <col min="14854" max="14854" width="11.5703125" style="338" customWidth="1"/>
    <col min="14855" max="14855" width="13.85546875" style="338" customWidth="1"/>
    <col min="14856" max="14857" width="11.28515625" style="338" customWidth="1"/>
    <col min="14858" max="14858" width="10.140625" style="338" customWidth="1"/>
    <col min="14859" max="15104" width="9.140625" style="338"/>
    <col min="15105" max="15105" width="4.85546875" style="338" customWidth="1"/>
    <col min="15106" max="15106" width="6.7109375" style="338" customWidth="1"/>
    <col min="15107" max="15107" width="6.140625" style="338" customWidth="1"/>
    <col min="15108" max="15108" width="10" style="338" customWidth="1"/>
    <col min="15109" max="15109" width="11.28515625" style="338" customWidth="1"/>
    <col min="15110" max="15110" width="11.5703125" style="338" customWidth="1"/>
    <col min="15111" max="15111" width="13.85546875" style="338" customWidth="1"/>
    <col min="15112" max="15113" width="11.28515625" style="338" customWidth="1"/>
    <col min="15114" max="15114" width="10.140625" style="338" customWidth="1"/>
    <col min="15115" max="15360" width="9.140625" style="338"/>
    <col min="15361" max="15361" width="4.85546875" style="338" customWidth="1"/>
    <col min="15362" max="15362" width="6.7109375" style="338" customWidth="1"/>
    <col min="15363" max="15363" width="6.140625" style="338" customWidth="1"/>
    <col min="15364" max="15364" width="10" style="338" customWidth="1"/>
    <col min="15365" max="15365" width="11.28515625" style="338" customWidth="1"/>
    <col min="15366" max="15366" width="11.5703125" style="338" customWidth="1"/>
    <col min="15367" max="15367" width="13.85546875" style="338" customWidth="1"/>
    <col min="15368" max="15369" width="11.28515625" style="338" customWidth="1"/>
    <col min="15370" max="15370" width="10.140625" style="338" customWidth="1"/>
    <col min="15371" max="15616" width="9.140625" style="338"/>
    <col min="15617" max="15617" width="4.85546875" style="338" customWidth="1"/>
    <col min="15618" max="15618" width="6.7109375" style="338" customWidth="1"/>
    <col min="15619" max="15619" width="6.140625" style="338" customWidth="1"/>
    <col min="15620" max="15620" width="10" style="338" customWidth="1"/>
    <col min="15621" max="15621" width="11.28515625" style="338" customWidth="1"/>
    <col min="15622" max="15622" width="11.5703125" style="338" customWidth="1"/>
    <col min="15623" max="15623" width="13.85546875" style="338" customWidth="1"/>
    <col min="15624" max="15625" width="11.28515625" style="338" customWidth="1"/>
    <col min="15626" max="15626" width="10.140625" style="338" customWidth="1"/>
    <col min="15627" max="15872" width="9.140625" style="338"/>
    <col min="15873" max="15873" width="4.85546875" style="338" customWidth="1"/>
    <col min="15874" max="15874" width="6.7109375" style="338" customWidth="1"/>
    <col min="15875" max="15875" width="6.140625" style="338" customWidth="1"/>
    <col min="15876" max="15876" width="10" style="338" customWidth="1"/>
    <col min="15877" max="15877" width="11.28515625" style="338" customWidth="1"/>
    <col min="15878" max="15878" width="11.5703125" style="338" customWidth="1"/>
    <col min="15879" max="15879" width="13.85546875" style="338" customWidth="1"/>
    <col min="15880" max="15881" width="11.28515625" style="338" customWidth="1"/>
    <col min="15882" max="15882" width="10.140625" style="338" customWidth="1"/>
    <col min="15883" max="16128" width="9.140625" style="338"/>
    <col min="16129" max="16129" width="4.85546875" style="338" customWidth="1"/>
    <col min="16130" max="16130" width="6.7109375" style="338" customWidth="1"/>
    <col min="16131" max="16131" width="6.140625" style="338" customWidth="1"/>
    <col min="16132" max="16132" width="10" style="338" customWidth="1"/>
    <col min="16133" max="16133" width="11.28515625" style="338" customWidth="1"/>
    <col min="16134" max="16134" width="11.5703125" style="338" customWidth="1"/>
    <col min="16135" max="16135" width="13.85546875" style="338" customWidth="1"/>
    <col min="16136" max="16137" width="11.28515625" style="338" customWidth="1"/>
    <col min="16138" max="16138" width="10.140625" style="338" customWidth="1"/>
    <col min="16139" max="16384" width="9.140625" style="338"/>
  </cols>
  <sheetData>
    <row r="1" spans="1:75" x14ac:dyDescent="0.2">
      <c r="F1" s="4"/>
      <c r="H1" s="4" t="s">
        <v>19</v>
      </c>
      <c r="I1" s="3"/>
    </row>
    <row r="2" spans="1:75" x14ac:dyDescent="0.2">
      <c r="F2" s="4"/>
      <c r="H2" s="4" t="s">
        <v>17</v>
      </c>
      <c r="I2" s="3"/>
    </row>
    <row r="3" spans="1:75" x14ac:dyDescent="0.2">
      <c r="F3" s="4"/>
      <c r="H3" s="4" t="s">
        <v>0</v>
      </c>
      <c r="I3" s="3"/>
    </row>
    <row r="4" spans="1:75" x14ac:dyDescent="0.2">
      <c r="F4" s="4"/>
      <c r="H4" s="4" t="s">
        <v>18</v>
      </c>
      <c r="I4" s="3"/>
    </row>
    <row r="6" spans="1:75" x14ac:dyDescent="0.2">
      <c r="F6" s="4"/>
      <c r="G6" s="4"/>
      <c r="H6" s="3"/>
    </row>
    <row r="7" spans="1:75" ht="16.5" customHeight="1" x14ac:dyDescent="0.2">
      <c r="A7" s="22" t="s">
        <v>20</v>
      </c>
      <c r="B7" s="22"/>
      <c r="C7" s="22"/>
      <c r="D7" s="22"/>
      <c r="E7" s="22"/>
      <c r="F7" s="22"/>
      <c r="G7" s="22"/>
      <c r="H7" s="22"/>
      <c r="I7" s="22"/>
      <c r="J7" s="22"/>
      <c r="M7" s="3"/>
    </row>
    <row r="8" spans="1:75" ht="14.25" customHeight="1" x14ac:dyDescent="0.2">
      <c r="A8" s="22" t="s">
        <v>21</v>
      </c>
      <c r="B8" s="23"/>
      <c r="C8" s="23"/>
      <c r="D8" s="23"/>
      <c r="E8" s="23"/>
      <c r="F8" s="23"/>
      <c r="G8" s="23"/>
      <c r="H8" s="23"/>
      <c r="I8" s="23"/>
      <c r="J8" s="23"/>
      <c r="M8" s="3"/>
    </row>
    <row r="9" spans="1:75" ht="14.25" customHeight="1" x14ac:dyDescent="0.2">
      <c r="A9" s="22"/>
      <c r="B9" s="23"/>
      <c r="C9" s="23"/>
      <c r="D9" s="23"/>
      <c r="E9" s="23"/>
      <c r="F9" s="23"/>
      <c r="G9" s="23"/>
      <c r="H9" s="23"/>
      <c r="I9" s="23"/>
      <c r="J9" s="23"/>
      <c r="M9" s="3"/>
    </row>
    <row r="10" spans="1:75" ht="15" customHeight="1" x14ac:dyDescent="0.2">
      <c r="A10" s="24"/>
      <c r="B10" s="25"/>
      <c r="C10" s="25"/>
      <c r="D10" s="25"/>
      <c r="E10" s="25"/>
      <c r="F10" s="25"/>
      <c r="G10" s="25"/>
      <c r="H10" s="25"/>
      <c r="I10" s="25"/>
      <c r="J10" s="25"/>
      <c r="M10" s="3"/>
    </row>
    <row r="11" spans="1:75" x14ac:dyDescent="0.2">
      <c r="J11" s="8" t="s">
        <v>1</v>
      </c>
    </row>
    <row r="12" spans="1:75" s="32" customFormat="1" ht="16.5" customHeight="1" x14ac:dyDescent="0.2">
      <c r="A12" s="9"/>
      <c r="B12" s="9"/>
      <c r="C12" s="9"/>
      <c r="D12" s="10"/>
      <c r="E12" s="26" t="s">
        <v>22</v>
      </c>
      <c r="F12" s="27"/>
      <c r="G12" s="28"/>
      <c r="H12" s="29" t="s">
        <v>6</v>
      </c>
      <c r="I12" s="30"/>
      <c r="J12" s="19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</row>
    <row r="13" spans="1:75" s="32" customFormat="1" ht="15.75" customHeight="1" x14ac:dyDescent="0.2">
      <c r="A13" s="14"/>
      <c r="B13" s="14"/>
      <c r="C13" s="14"/>
      <c r="D13" s="14" t="s">
        <v>23</v>
      </c>
      <c r="E13" s="15" t="s">
        <v>24</v>
      </c>
      <c r="F13" s="10" t="s">
        <v>25</v>
      </c>
      <c r="G13" s="28"/>
      <c r="H13" s="28" t="s">
        <v>11</v>
      </c>
      <c r="I13" s="30"/>
      <c r="J13" s="26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</row>
    <row r="14" spans="1:75" s="32" customFormat="1" ht="53.25" customHeight="1" x14ac:dyDescent="0.2">
      <c r="A14" s="33" t="s">
        <v>7</v>
      </c>
      <c r="B14" s="33" t="s">
        <v>2</v>
      </c>
      <c r="C14" s="33" t="s">
        <v>3</v>
      </c>
      <c r="D14" s="33" t="s">
        <v>24</v>
      </c>
      <c r="E14" s="18" t="s">
        <v>26</v>
      </c>
      <c r="F14" s="18" t="s">
        <v>27</v>
      </c>
      <c r="G14" s="19" t="s">
        <v>13</v>
      </c>
      <c r="H14" s="19" t="s">
        <v>14</v>
      </c>
      <c r="I14" s="19" t="s">
        <v>28</v>
      </c>
      <c r="J14" s="18" t="s">
        <v>29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</row>
    <row r="15" spans="1:75" s="36" customFormat="1" ht="12" customHeight="1" x14ac:dyDescent="0.2">
      <c r="A15" s="34">
        <v>1</v>
      </c>
      <c r="B15" s="34">
        <v>2</v>
      </c>
      <c r="C15" s="34">
        <v>3</v>
      </c>
      <c r="D15" s="34">
        <v>4</v>
      </c>
      <c r="E15" s="34">
        <v>5</v>
      </c>
      <c r="F15" s="34">
        <v>6</v>
      </c>
      <c r="G15" s="34">
        <v>7</v>
      </c>
      <c r="H15" s="34">
        <v>8</v>
      </c>
      <c r="I15" s="34">
        <v>9</v>
      </c>
      <c r="J15" s="34">
        <v>10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</row>
    <row r="16" spans="1:75" s="41" customFormat="1" ht="16.5" customHeight="1" x14ac:dyDescent="0.2">
      <c r="A16" s="37">
        <v>750</v>
      </c>
      <c r="B16" s="37">
        <v>75058</v>
      </c>
      <c r="C16" s="37">
        <v>2338</v>
      </c>
      <c r="D16" s="38">
        <v>14528</v>
      </c>
      <c r="E16" s="38">
        <f>SUM(F16,J16)</f>
        <v>0</v>
      </c>
      <c r="F16" s="38">
        <f t="shared" ref="F16:F26" si="0">SUM(G16:I16)</f>
        <v>0</v>
      </c>
      <c r="G16" s="38">
        <v>0</v>
      </c>
      <c r="H16" s="38">
        <v>0</v>
      </c>
      <c r="I16" s="38">
        <v>0</v>
      </c>
      <c r="J16" s="38">
        <v>0</v>
      </c>
      <c r="K16" s="39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</row>
    <row r="17" spans="1:75" s="32" customFormat="1" ht="17.100000000000001" customHeight="1" x14ac:dyDescent="0.2">
      <c r="A17" s="37">
        <v>750</v>
      </c>
      <c r="B17" s="37">
        <v>75058</v>
      </c>
      <c r="C17" s="37">
        <v>2339</v>
      </c>
      <c r="D17" s="38">
        <v>0</v>
      </c>
      <c r="E17" s="38">
        <f t="shared" ref="E17:E25" si="1">SUM(F17,J17)</f>
        <v>65033</v>
      </c>
      <c r="F17" s="38">
        <f t="shared" si="0"/>
        <v>65033</v>
      </c>
      <c r="G17" s="38">
        <v>0</v>
      </c>
      <c r="H17" s="38">
        <v>0</v>
      </c>
      <c r="I17" s="38">
        <v>65033</v>
      </c>
      <c r="J17" s="38">
        <v>0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</row>
    <row r="18" spans="1:75" s="32" customFormat="1" ht="17.100000000000001" customHeight="1" x14ac:dyDescent="0.2">
      <c r="A18" s="37">
        <v>801</v>
      </c>
      <c r="B18" s="37">
        <v>80104</v>
      </c>
      <c r="C18" s="37">
        <v>2310</v>
      </c>
      <c r="D18" s="38">
        <v>0</v>
      </c>
      <c r="E18" s="38">
        <f t="shared" si="1"/>
        <v>240000</v>
      </c>
      <c r="F18" s="38">
        <f t="shared" si="0"/>
        <v>240000</v>
      </c>
      <c r="G18" s="38">
        <v>0</v>
      </c>
      <c r="H18" s="38">
        <v>0</v>
      </c>
      <c r="I18" s="38">
        <v>240000</v>
      </c>
      <c r="J18" s="38">
        <v>0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</row>
    <row r="19" spans="1:75" s="32" customFormat="1" ht="17.100000000000001" customHeight="1" x14ac:dyDescent="0.2">
      <c r="A19" s="37">
        <v>801</v>
      </c>
      <c r="B19" s="37">
        <v>80140</v>
      </c>
      <c r="C19" s="37">
        <v>2310</v>
      </c>
      <c r="D19" s="42">
        <v>46800</v>
      </c>
      <c r="E19" s="42">
        <f>SUM(F19,J19)</f>
        <v>0</v>
      </c>
      <c r="F19" s="38">
        <f>SUM(G19:I19)</f>
        <v>0</v>
      </c>
      <c r="G19" s="42">
        <v>0</v>
      </c>
      <c r="H19" s="42">
        <v>0</v>
      </c>
      <c r="I19" s="42">
        <v>0</v>
      </c>
      <c r="J19" s="42">
        <v>0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</row>
    <row r="20" spans="1:75" s="32" customFormat="1" ht="17.100000000000001" customHeight="1" x14ac:dyDescent="0.2">
      <c r="A20" s="37">
        <v>801</v>
      </c>
      <c r="B20" s="37">
        <v>80140</v>
      </c>
      <c r="C20" s="37">
        <v>2320</v>
      </c>
      <c r="D20" s="42">
        <v>193200</v>
      </c>
      <c r="E20" s="42">
        <f t="shared" si="1"/>
        <v>0</v>
      </c>
      <c r="F20" s="38">
        <f t="shared" si="0"/>
        <v>0</v>
      </c>
      <c r="G20" s="42">
        <v>0</v>
      </c>
      <c r="H20" s="42">
        <v>0</v>
      </c>
      <c r="I20" s="42">
        <v>0</v>
      </c>
      <c r="J20" s="42">
        <v>0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</row>
    <row r="21" spans="1:75" s="32" customFormat="1" ht="17.100000000000001" customHeight="1" x14ac:dyDescent="0.2">
      <c r="A21" s="43">
        <v>801</v>
      </c>
      <c r="B21" s="43">
        <v>80195</v>
      </c>
      <c r="C21" s="43">
        <v>2320</v>
      </c>
      <c r="D21" s="38">
        <v>0</v>
      </c>
      <c r="E21" s="38">
        <f t="shared" si="1"/>
        <v>3000</v>
      </c>
      <c r="F21" s="38">
        <f t="shared" si="0"/>
        <v>3000</v>
      </c>
      <c r="G21" s="38">
        <v>0</v>
      </c>
      <c r="H21" s="38">
        <v>0</v>
      </c>
      <c r="I21" s="38">
        <v>3000</v>
      </c>
      <c r="J21" s="38">
        <v>0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</row>
    <row r="22" spans="1:75" s="32" customFormat="1" ht="17.100000000000001" customHeight="1" x14ac:dyDescent="0.2">
      <c r="A22" s="43">
        <v>851</v>
      </c>
      <c r="B22" s="43">
        <v>85154</v>
      </c>
      <c r="C22" s="43">
        <v>2330</v>
      </c>
      <c r="D22" s="38">
        <v>0</v>
      </c>
      <c r="E22" s="38">
        <f t="shared" si="1"/>
        <v>6000</v>
      </c>
      <c r="F22" s="38">
        <f t="shared" si="0"/>
        <v>6000</v>
      </c>
      <c r="G22" s="38">
        <v>0</v>
      </c>
      <c r="H22" s="38">
        <v>0</v>
      </c>
      <c r="I22" s="38">
        <v>6000</v>
      </c>
      <c r="J22" s="38">
        <v>0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</row>
    <row r="23" spans="1:75" s="32" customFormat="1" ht="17.100000000000001" customHeight="1" x14ac:dyDescent="0.2">
      <c r="A23" s="37">
        <v>853</v>
      </c>
      <c r="B23" s="37">
        <v>85311</v>
      </c>
      <c r="C23" s="37">
        <v>2320</v>
      </c>
      <c r="D23" s="42">
        <v>30528</v>
      </c>
      <c r="E23" s="42">
        <f t="shared" si="1"/>
        <v>0</v>
      </c>
      <c r="F23" s="38">
        <f t="shared" si="0"/>
        <v>0</v>
      </c>
      <c r="G23" s="42">
        <v>0</v>
      </c>
      <c r="H23" s="42">
        <v>0</v>
      </c>
      <c r="I23" s="42">
        <v>0</v>
      </c>
      <c r="J23" s="42">
        <v>0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</row>
    <row r="24" spans="1:75" s="32" customFormat="1" ht="17.100000000000001" customHeight="1" x14ac:dyDescent="0.2">
      <c r="A24" s="37">
        <v>853</v>
      </c>
      <c r="B24" s="37">
        <v>85333</v>
      </c>
      <c r="C24" s="37">
        <v>2320</v>
      </c>
      <c r="D24" s="42">
        <v>0</v>
      </c>
      <c r="E24" s="42">
        <f t="shared" si="1"/>
        <v>3422964</v>
      </c>
      <c r="F24" s="42">
        <f t="shared" si="0"/>
        <v>3422964</v>
      </c>
      <c r="G24" s="42">
        <v>0</v>
      </c>
      <c r="H24" s="42">
        <v>0</v>
      </c>
      <c r="I24" s="42">
        <v>3422964</v>
      </c>
      <c r="J24" s="42">
        <v>0</v>
      </c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</row>
    <row r="25" spans="1:75" s="32" customFormat="1" ht="17.100000000000001" customHeight="1" x14ac:dyDescent="0.2">
      <c r="A25" s="43">
        <v>854</v>
      </c>
      <c r="B25" s="43">
        <v>85415</v>
      </c>
      <c r="C25" s="43">
        <v>2330</v>
      </c>
      <c r="D25" s="38">
        <f>5400+3600</f>
        <v>9000</v>
      </c>
      <c r="E25" s="42">
        <f t="shared" si="1"/>
        <v>0</v>
      </c>
      <c r="F25" s="42">
        <f t="shared" si="0"/>
        <v>0</v>
      </c>
      <c r="G25" s="38">
        <v>0</v>
      </c>
      <c r="H25" s="38">
        <v>0</v>
      </c>
      <c r="I25" s="38">
        <v>0</v>
      </c>
      <c r="J25" s="38">
        <v>0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</row>
    <row r="26" spans="1:75" s="32" customFormat="1" ht="17.100000000000001" customHeight="1" x14ac:dyDescent="0.2">
      <c r="A26" s="44">
        <v>900</v>
      </c>
      <c r="B26" s="44">
        <v>90095</v>
      </c>
      <c r="C26" s="44">
        <v>2339</v>
      </c>
      <c r="D26" s="45">
        <v>0</v>
      </c>
      <c r="E26" s="42">
        <f>SUM(F26,J26)</f>
        <v>40000</v>
      </c>
      <c r="F26" s="42">
        <f t="shared" si="0"/>
        <v>40000</v>
      </c>
      <c r="G26" s="45">
        <v>0</v>
      </c>
      <c r="H26" s="45">
        <v>0</v>
      </c>
      <c r="I26" s="45">
        <v>40000</v>
      </c>
      <c r="J26" s="45">
        <v>0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</row>
    <row r="27" spans="1:75" s="32" customFormat="1" ht="21" customHeight="1" x14ac:dyDescent="0.2">
      <c r="A27" s="46" t="s">
        <v>16</v>
      </c>
      <c r="B27" s="348"/>
      <c r="C27" s="349"/>
      <c r="D27" s="47">
        <f>SUM(D16:D26)</f>
        <v>294056</v>
      </c>
      <c r="E27" s="47">
        <f t="shared" ref="E27:J27" si="2">SUM(E16:E26)</f>
        <v>3776997</v>
      </c>
      <c r="F27" s="47">
        <f>SUM(F16:F26)</f>
        <v>3776997</v>
      </c>
      <c r="G27" s="47">
        <f t="shared" si="2"/>
        <v>0</v>
      </c>
      <c r="H27" s="47">
        <f t="shared" si="2"/>
        <v>0</v>
      </c>
      <c r="I27" s="47">
        <f>SUM(I16:I26)</f>
        <v>3776997</v>
      </c>
      <c r="J27" s="47">
        <f t="shared" si="2"/>
        <v>0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</row>
    <row r="29" spans="1:75" x14ac:dyDescent="0.2">
      <c r="A29" s="350"/>
      <c r="G29" s="339"/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FD9F-86C8-4D0E-AA2B-DFB28427E86A}">
  <sheetPr>
    <tabColor rgb="FFFF00FF"/>
  </sheetPr>
  <dimension ref="A1:G177"/>
  <sheetViews>
    <sheetView zoomScale="140" zoomScaleNormal="140" workbookViewId="0"/>
  </sheetViews>
  <sheetFormatPr defaultColWidth="4" defaultRowHeight="12.75" x14ac:dyDescent="0.2"/>
  <cols>
    <col min="1" max="1" width="4" style="351"/>
    <col min="2" max="2" width="5.7109375" style="351" customWidth="1"/>
    <col min="3" max="3" width="8.42578125" style="351" customWidth="1"/>
    <col min="4" max="4" width="49.140625" style="351" customWidth="1"/>
    <col min="5" max="5" width="21.42578125" style="351" customWidth="1"/>
    <col min="6" max="6" width="9.140625" style="50" customWidth="1"/>
    <col min="7" max="7" width="12.28515625" style="51" customWidth="1"/>
    <col min="8" max="255" width="9.140625" style="351" customWidth="1"/>
    <col min="256" max="257" width="4" style="351"/>
    <col min="258" max="258" width="5.7109375" style="351" customWidth="1"/>
    <col min="259" max="259" width="8.42578125" style="351" customWidth="1"/>
    <col min="260" max="260" width="49.140625" style="351" customWidth="1"/>
    <col min="261" max="261" width="21.42578125" style="351" customWidth="1"/>
    <col min="262" max="262" width="9.140625" style="351" customWidth="1"/>
    <col min="263" max="263" width="12.28515625" style="351" customWidth="1"/>
    <col min="264" max="511" width="9.140625" style="351" customWidth="1"/>
    <col min="512" max="513" width="4" style="351"/>
    <col min="514" max="514" width="5.7109375" style="351" customWidth="1"/>
    <col min="515" max="515" width="8.42578125" style="351" customWidth="1"/>
    <col min="516" max="516" width="49.140625" style="351" customWidth="1"/>
    <col min="517" max="517" width="21.42578125" style="351" customWidth="1"/>
    <col min="518" max="518" width="9.140625" style="351" customWidth="1"/>
    <col min="519" max="519" width="12.28515625" style="351" customWidth="1"/>
    <col min="520" max="767" width="9.140625" style="351" customWidth="1"/>
    <col min="768" max="769" width="4" style="351"/>
    <col min="770" max="770" width="5.7109375" style="351" customWidth="1"/>
    <col min="771" max="771" width="8.42578125" style="351" customWidth="1"/>
    <col min="772" max="772" width="49.140625" style="351" customWidth="1"/>
    <col min="773" max="773" width="21.42578125" style="351" customWidth="1"/>
    <col min="774" max="774" width="9.140625" style="351" customWidth="1"/>
    <col min="775" max="775" width="12.28515625" style="351" customWidth="1"/>
    <col min="776" max="1023" width="9.140625" style="351" customWidth="1"/>
    <col min="1024" max="1025" width="4" style="351"/>
    <col min="1026" max="1026" width="5.7109375" style="351" customWidth="1"/>
    <col min="1027" max="1027" width="8.42578125" style="351" customWidth="1"/>
    <col min="1028" max="1028" width="49.140625" style="351" customWidth="1"/>
    <col min="1029" max="1029" width="21.42578125" style="351" customWidth="1"/>
    <col min="1030" max="1030" width="9.140625" style="351" customWidth="1"/>
    <col min="1031" max="1031" width="12.28515625" style="351" customWidth="1"/>
    <col min="1032" max="1279" width="9.140625" style="351" customWidth="1"/>
    <col min="1280" max="1281" width="4" style="351"/>
    <col min="1282" max="1282" width="5.7109375" style="351" customWidth="1"/>
    <col min="1283" max="1283" width="8.42578125" style="351" customWidth="1"/>
    <col min="1284" max="1284" width="49.140625" style="351" customWidth="1"/>
    <col min="1285" max="1285" width="21.42578125" style="351" customWidth="1"/>
    <col min="1286" max="1286" width="9.140625" style="351" customWidth="1"/>
    <col min="1287" max="1287" width="12.28515625" style="351" customWidth="1"/>
    <col min="1288" max="1535" width="9.140625" style="351" customWidth="1"/>
    <col min="1536" max="1537" width="4" style="351"/>
    <col min="1538" max="1538" width="5.7109375" style="351" customWidth="1"/>
    <col min="1539" max="1539" width="8.42578125" style="351" customWidth="1"/>
    <col min="1540" max="1540" width="49.140625" style="351" customWidth="1"/>
    <col min="1541" max="1541" width="21.42578125" style="351" customWidth="1"/>
    <col min="1542" max="1542" width="9.140625" style="351" customWidth="1"/>
    <col min="1543" max="1543" width="12.28515625" style="351" customWidth="1"/>
    <col min="1544" max="1791" width="9.140625" style="351" customWidth="1"/>
    <col min="1792" max="1793" width="4" style="351"/>
    <col min="1794" max="1794" width="5.7109375" style="351" customWidth="1"/>
    <col min="1795" max="1795" width="8.42578125" style="351" customWidth="1"/>
    <col min="1796" max="1796" width="49.140625" style="351" customWidth="1"/>
    <col min="1797" max="1797" width="21.42578125" style="351" customWidth="1"/>
    <col min="1798" max="1798" width="9.140625" style="351" customWidth="1"/>
    <col min="1799" max="1799" width="12.28515625" style="351" customWidth="1"/>
    <col min="1800" max="2047" width="9.140625" style="351" customWidth="1"/>
    <col min="2048" max="2049" width="4" style="351"/>
    <col min="2050" max="2050" width="5.7109375" style="351" customWidth="1"/>
    <col min="2051" max="2051" width="8.42578125" style="351" customWidth="1"/>
    <col min="2052" max="2052" width="49.140625" style="351" customWidth="1"/>
    <col min="2053" max="2053" width="21.42578125" style="351" customWidth="1"/>
    <col min="2054" max="2054" width="9.140625" style="351" customWidth="1"/>
    <col min="2055" max="2055" width="12.28515625" style="351" customWidth="1"/>
    <col min="2056" max="2303" width="9.140625" style="351" customWidth="1"/>
    <col min="2304" max="2305" width="4" style="351"/>
    <col min="2306" max="2306" width="5.7109375" style="351" customWidth="1"/>
    <col min="2307" max="2307" width="8.42578125" style="351" customWidth="1"/>
    <col min="2308" max="2308" width="49.140625" style="351" customWidth="1"/>
    <col min="2309" max="2309" width="21.42578125" style="351" customWidth="1"/>
    <col min="2310" max="2310" width="9.140625" style="351" customWidth="1"/>
    <col min="2311" max="2311" width="12.28515625" style="351" customWidth="1"/>
    <col min="2312" max="2559" width="9.140625" style="351" customWidth="1"/>
    <col min="2560" max="2561" width="4" style="351"/>
    <col min="2562" max="2562" width="5.7109375" style="351" customWidth="1"/>
    <col min="2563" max="2563" width="8.42578125" style="351" customWidth="1"/>
    <col min="2564" max="2564" width="49.140625" style="351" customWidth="1"/>
    <col min="2565" max="2565" width="21.42578125" style="351" customWidth="1"/>
    <col min="2566" max="2566" width="9.140625" style="351" customWidth="1"/>
    <col min="2567" max="2567" width="12.28515625" style="351" customWidth="1"/>
    <col min="2568" max="2815" width="9.140625" style="351" customWidth="1"/>
    <col min="2816" max="2817" width="4" style="351"/>
    <col min="2818" max="2818" width="5.7109375" style="351" customWidth="1"/>
    <col min="2819" max="2819" width="8.42578125" style="351" customWidth="1"/>
    <col min="2820" max="2820" width="49.140625" style="351" customWidth="1"/>
    <col min="2821" max="2821" width="21.42578125" style="351" customWidth="1"/>
    <col min="2822" max="2822" width="9.140625" style="351" customWidth="1"/>
    <col min="2823" max="2823" width="12.28515625" style="351" customWidth="1"/>
    <col min="2824" max="3071" width="9.140625" style="351" customWidth="1"/>
    <col min="3072" max="3073" width="4" style="351"/>
    <col min="3074" max="3074" width="5.7109375" style="351" customWidth="1"/>
    <col min="3075" max="3075" width="8.42578125" style="351" customWidth="1"/>
    <col min="3076" max="3076" width="49.140625" style="351" customWidth="1"/>
    <col min="3077" max="3077" width="21.42578125" style="351" customWidth="1"/>
    <col min="3078" max="3078" width="9.140625" style="351" customWidth="1"/>
    <col min="3079" max="3079" width="12.28515625" style="351" customWidth="1"/>
    <col min="3080" max="3327" width="9.140625" style="351" customWidth="1"/>
    <col min="3328" max="3329" width="4" style="351"/>
    <col min="3330" max="3330" width="5.7109375" style="351" customWidth="1"/>
    <col min="3331" max="3331" width="8.42578125" style="351" customWidth="1"/>
    <col min="3332" max="3332" width="49.140625" style="351" customWidth="1"/>
    <col min="3333" max="3333" width="21.42578125" style="351" customWidth="1"/>
    <col min="3334" max="3334" width="9.140625" style="351" customWidth="1"/>
    <col min="3335" max="3335" width="12.28515625" style="351" customWidth="1"/>
    <col min="3336" max="3583" width="9.140625" style="351" customWidth="1"/>
    <col min="3584" max="3585" width="4" style="351"/>
    <col min="3586" max="3586" width="5.7109375" style="351" customWidth="1"/>
    <col min="3587" max="3587" width="8.42578125" style="351" customWidth="1"/>
    <col min="3588" max="3588" width="49.140625" style="351" customWidth="1"/>
    <col min="3589" max="3589" width="21.42578125" style="351" customWidth="1"/>
    <col min="3590" max="3590" width="9.140625" style="351" customWidth="1"/>
    <col min="3591" max="3591" width="12.28515625" style="351" customWidth="1"/>
    <col min="3592" max="3839" width="9.140625" style="351" customWidth="1"/>
    <col min="3840" max="3841" width="4" style="351"/>
    <col min="3842" max="3842" width="5.7109375" style="351" customWidth="1"/>
    <col min="3843" max="3843" width="8.42578125" style="351" customWidth="1"/>
    <col min="3844" max="3844" width="49.140625" style="351" customWidth="1"/>
    <col min="3845" max="3845" width="21.42578125" style="351" customWidth="1"/>
    <col min="3846" max="3846" width="9.140625" style="351" customWidth="1"/>
    <col min="3847" max="3847" width="12.28515625" style="351" customWidth="1"/>
    <col min="3848" max="4095" width="9.140625" style="351" customWidth="1"/>
    <col min="4096" max="4097" width="4" style="351"/>
    <col min="4098" max="4098" width="5.7109375" style="351" customWidth="1"/>
    <col min="4099" max="4099" width="8.42578125" style="351" customWidth="1"/>
    <col min="4100" max="4100" width="49.140625" style="351" customWidth="1"/>
    <col min="4101" max="4101" width="21.42578125" style="351" customWidth="1"/>
    <col min="4102" max="4102" width="9.140625" style="351" customWidth="1"/>
    <col min="4103" max="4103" width="12.28515625" style="351" customWidth="1"/>
    <col min="4104" max="4351" width="9.140625" style="351" customWidth="1"/>
    <col min="4352" max="4353" width="4" style="351"/>
    <col min="4354" max="4354" width="5.7109375" style="351" customWidth="1"/>
    <col min="4355" max="4355" width="8.42578125" style="351" customWidth="1"/>
    <col min="4356" max="4356" width="49.140625" style="351" customWidth="1"/>
    <col min="4357" max="4357" width="21.42578125" style="351" customWidth="1"/>
    <col min="4358" max="4358" width="9.140625" style="351" customWidth="1"/>
    <col min="4359" max="4359" width="12.28515625" style="351" customWidth="1"/>
    <col min="4360" max="4607" width="9.140625" style="351" customWidth="1"/>
    <col min="4608" max="4609" width="4" style="351"/>
    <col min="4610" max="4610" width="5.7109375" style="351" customWidth="1"/>
    <col min="4611" max="4611" width="8.42578125" style="351" customWidth="1"/>
    <col min="4612" max="4612" width="49.140625" style="351" customWidth="1"/>
    <col min="4613" max="4613" width="21.42578125" style="351" customWidth="1"/>
    <col min="4614" max="4614" width="9.140625" style="351" customWidth="1"/>
    <col min="4615" max="4615" width="12.28515625" style="351" customWidth="1"/>
    <col min="4616" max="4863" width="9.140625" style="351" customWidth="1"/>
    <col min="4864" max="4865" width="4" style="351"/>
    <col min="4866" max="4866" width="5.7109375" style="351" customWidth="1"/>
    <col min="4867" max="4867" width="8.42578125" style="351" customWidth="1"/>
    <col min="4868" max="4868" width="49.140625" style="351" customWidth="1"/>
    <col min="4869" max="4869" width="21.42578125" style="351" customWidth="1"/>
    <col min="4870" max="4870" width="9.140625" style="351" customWidth="1"/>
    <col min="4871" max="4871" width="12.28515625" style="351" customWidth="1"/>
    <col min="4872" max="5119" width="9.140625" style="351" customWidth="1"/>
    <col min="5120" max="5121" width="4" style="351"/>
    <col min="5122" max="5122" width="5.7109375" style="351" customWidth="1"/>
    <col min="5123" max="5123" width="8.42578125" style="351" customWidth="1"/>
    <col min="5124" max="5124" width="49.140625" style="351" customWidth="1"/>
    <col min="5125" max="5125" width="21.42578125" style="351" customWidth="1"/>
    <col min="5126" max="5126" width="9.140625" style="351" customWidth="1"/>
    <col min="5127" max="5127" width="12.28515625" style="351" customWidth="1"/>
    <col min="5128" max="5375" width="9.140625" style="351" customWidth="1"/>
    <col min="5376" max="5377" width="4" style="351"/>
    <col min="5378" max="5378" width="5.7109375" style="351" customWidth="1"/>
    <col min="5379" max="5379" width="8.42578125" style="351" customWidth="1"/>
    <col min="5380" max="5380" width="49.140625" style="351" customWidth="1"/>
    <col min="5381" max="5381" width="21.42578125" style="351" customWidth="1"/>
    <col min="5382" max="5382" width="9.140625" style="351" customWidth="1"/>
    <col min="5383" max="5383" width="12.28515625" style="351" customWidth="1"/>
    <col min="5384" max="5631" width="9.140625" style="351" customWidth="1"/>
    <col min="5632" max="5633" width="4" style="351"/>
    <col min="5634" max="5634" width="5.7109375" style="351" customWidth="1"/>
    <col min="5635" max="5635" width="8.42578125" style="351" customWidth="1"/>
    <col min="5636" max="5636" width="49.140625" style="351" customWidth="1"/>
    <col min="5637" max="5637" width="21.42578125" style="351" customWidth="1"/>
    <col min="5638" max="5638" width="9.140625" style="351" customWidth="1"/>
    <col min="5639" max="5639" width="12.28515625" style="351" customWidth="1"/>
    <col min="5640" max="5887" width="9.140625" style="351" customWidth="1"/>
    <col min="5888" max="5889" width="4" style="351"/>
    <col min="5890" max="5890" width="5.7109375" style="351" customWidth="1"/>
    <col min="5891" max="5891" width="8.42578125" style="351" customWidth="1"/>
    <col min="5892" max="5892" width="49.140625" style="351" customWidth="1"/>
    <col min="5893" max="5893" width="21.42578125" style="351" customWidth="1"/>
    <col min="5894" max="5894" width="9.140625" style="351" customWidth="1"/>
    <col min="5895" max="5895" width="12.28515625" style="351" customWidth="1"/>
    <col min="5896" max="6143" width="9.140625" style="351" customWidth="1"/>
    <col min="6144" max="6145" width="4" style="351"/>
    <col min="6146" max="6146" width="5.7109375" style="351" customWidth="1"/>
    <col min="6147" max="6147" width="8.42578125" style="351" customWidth="1"/>
    <col min="6148" max="6148" width="49.140625" style="351" customWidth="1"/>
    <col min="6149" max="6149" width="21.42578125" style="351" customWidth="1"/>
    <col min="6150" max="6150" width="9.140625" style="351" customWidth="1"/>
    <col min="6151" max="6151" width="12.28515625" style="351" customWidth="1"/>
    <col min="6152" max="6399" width="9.140625" style="351" customWidth="1"/>
    <col min="6400" max="6401" width="4" style="351"/>
    <col min="6402" max="6402" width="5.7109375" style="351" customWidth="1"/>
    <col min="6403" max="6403" width="8.42578125" style="351" customWidth="1"/>
    <col min="6404" max="6404" width="49.140625" style="351" customWidth="1"/>
    <col min="6405" max="6405" width="21.42578125" style="351" customWidth="1"/>
    <col min="6406" max="6406" width="9.140625" style="351" customWidth="1"/>
    <col min="6407" max="6407" width="12.28515625" style="351" customWidth="1"/>
    <col min="6408" max="6655" width="9.140625" style="351" customWidth="1"/>
    <col min="6656" max="6657" width="4" style="351"/>
    <col min="6658" max="6658" width="5.7109375" style="351" customWidth="1"/>
    <col min="6659" max="6659" width="8.42578125" style="351" customWidth="1"/>
    <col min="6660" max="6660" width="49.140625" style="351" customWidth="1"/>
    <col min="6661" max="6661" width="21.42578125" style="351" customWidth="1"/>
    <col min="6662" max="6662" width="9.140625" style="351" customWidth="1"/>
    <col min="6663" max="6663" width="12.28515625" style="351" customWidth="1"/>
    <col min="6664" max="6911" width="9.140625" style="351" customWidth="1"/>
    <col min="6912" max="6913" width="4" style="351"/>
    <col min="6914" max="6914" width="5.7109375" style="351" customWidth="1"/>
    <col min="6915" max="6915" width="8.42578125" style="351" customWidth="1"/>
    <col min="6916" max="6916" width="49.140625" style="351" customWidth="1"/>
    <col min="6917" max="6917" width="21.42578125" style="351" customWidth="1"/>
    <col min="6918" max="6918" width="9.140625" style="351" customWidth="1"/>
    <col min="6919" max="6919" width="12.28515625" style="351" customWidth="1"/>
    <col min="6920" max="7167" width="9.140625" style="351" customWidth="1"/>
    <col min="7168" max="7169" width="4" style="351"/>
    <col min="7170" max="7170" width="5.7109375" style="351" customWidth="1"/>
    <col min="7171" max="7171" width="8.42578125" style="351" customWidth="1"/>
    <col min="7172" max="7172" width="49.140625" style="351" customWidth="1"/>
    <col min="7173" max="7173" width="21.42578125" style="351" customWidth="1"/>
    <col min="7174" max="7174" width="9.140625" style="351" customWidth="1"/>
    <col min="7175" max="7175" width="12.28515625" style="351" customWidth="1"/>
    <col min="7176" max="7423" width="9.140625" style="351" customWidth="1"/>
    <col min="7424" max="7425" width="4" style="351"/>
    <col min="7426" max="7426" width="5.7109375" style="351" customWidth="1"/>
    <col min="7427" max="7427" width="8.42578125" style="351" customWidth="1"/>
    <col min="7428" max="7428" width="49.140625" style="351" customWidth="1"/>
    <col min="7429" max="7429" width="21.42578125" style="351" customWidth="1"/>
    <col min="7430" max="7430" width="9.140625" style="351" customWidth="1"/>
    <col min="7431" max="7431" width="12.28515625" style="351" customWidth="1"/>
    <col min="7432" max="7679" width="9.140625" style="351" customWidth="1"/>
    <col min="7680" max="7681" width="4" style="351"/>
    <col min="7682" max="7682" width="5.7109375" style="351" customWidth="1"/>
    <col min="7683" max="7683" width="8.42578125" style="351" customWidth="1"/>
    <col min="7684" max="7684" width="49.140625" style="351" customWidth="1"/>
    <col min="7685" max="7685" width="21.42578125" style="351" customWidth="1"/>
    <col min="7686" max="7686" width="9.140625" style="351" customWidth="1"/>
    <col min="7687" max="7687" width="12.28515625" style="351" customWidth="1"/>
    <col min="7688" max="7935" width="9.140625" style="351" customWidth="1"/>
    <col min="7936" max="7937" width="4" style="351"/>
    <col min="7938" max="7938" width="5.7109375" style="351" customWidth="1"/>
    <col min="7939" max="7939" width="8.42578125" style="351" customWidth="1"/>
    <col min="7940" max="7940" width="49.140625" style="351" customWidth="1"/>
    <col min="7941" max="7941" width="21.42578125" style="351" customWidth="1"/>
    <col min="7942" max="7942" width="9.140625" style="351" customWidth="1"/>
    <col min="7943" max="7943" width="12.28515625" style="351" customWidth="1"/>
    <col min="7944" max="8191" width="9.140625" style="351" customWidth="1"/>
    <col min="8192" max="8193" width="4" style="351"/>
    <col min="8194" max="8194" width="5.7109375" style="351" customWidth="1"/>
    <col min="8195" max="8195" width="8.42578125" style="351" customWidth="1"/>
    <col min="8196" max="8196" width="49.140625" style="351" customWidth="1"/>
    <col min="8197" max="8197" width="21.42578125" style="351" customWidth="1"/>
    <col min="8198" max="8198" width="9.140625" style="351" customWidth="1"/>
    <col min="8199" max="8199" width="12.28515625" style="351" customWidth="1"/>
    <col min="8200" max="8447" width="9.140625" style="351" customWidth="1"/>
    <col min="8448" max="8449" width="4" style="351"/>
    <col min="8450" max="8450" width="5.7109375" style="351" customWidth="1"/>
    <col min="8451" max="8451" width="8.42578125" style="351" customWidth="1"/>
    <col min="8452" max="8452" width="49.140625" style="351" customWidth="1"/>
    <col min="8453" max="8453" width="21.42578125" style="351" customWidth="1"/>
    <col min="8454" max="8454" width="9.140625" style="351" customWidth="1"/>
    <col min="8455" max="8455" width="12.28515625" style="351" customWidth="1"/>
    <col min="8456" max="8703" width="9.140625" style="351" customWidth="1"/>
    <col min="8704" max="8705" width="4" style="351"/>
    <col min="8706" max="8706" width="5.7109375" style="351" customWidth="1"/>
    <col min="8707" max="8707" width="8.42578125" style="351" customWidth="1"/>
    <col min="8708" max="8708" width="49.140625" style="351" customWidth="1"/>
    <col min="8709" max="8709" width="21.42578125" style="351" customWidth="1"/>
    <col min="8710" max="8710" width="9.140625" style="351" customWidth="1"/>
    <col min="8711" max="8711" width="12.28515625" style="351" customWidth="1"/>
    <col min="8712" max="8959" width="9.140625" style="351" customWidth="1"/>
    <col min="8960" max="8961" width="4" style="351"/>
    <col min="8962" max="8962" width="5.7109375" style="351" customWidth="1"/>
    <col min="8963" max="8963" width="8.42578125" style="351" customWidth="1"/>
    <col min="8964" max="8964" width="49.140625" style="351" customWidth="1"/>
    <col min="8965" max="8965" width="21.42578125" style="351" customWidth="1"/>
    <col min="8966" max="8966" width="9.140625" style="351" customWidth="1"/>
    <col min="8967" max="8967" width="12.28515625" style="351" customWidth="1"/>
    <col min="8968" max="9215" width="9.140625" style="351" customWidth="1"/>
    <col min="9216" max="9217" width="4" style="351"/>
    <col min="9218" max="9218" width="5.7109375" style="351" customWidth="1"/>
    <col min="9219" max="9219" width="8.42578125" style="351" customWidth="1"/>
    <col min="9220" max="9220" width="49.140625" style="351" customWidth="1"/>
    <col min="9221" max="9221" width="21.42578125" style="351" customWidth="1"/>
    <col min="9222" max="9222" width="9.140625" style="351" customWidth="1"/>
    <col min="9223" max="9223" width="12.28515625" style="351" customWidth="1"/>
    <col min="9224" max="9471" width="9.140625" style="351" customWidth="1"/>
    <col min="9472" max="9473" width="4" style="351"/>
    <col min="9474" max="9474" width="5.7109375" style="351" customWidth="1"/>
    <col min="9475" max="9475" width="8.42578125" style="351" customWidth="1"/>
    <col min="9476" max="9476" width="49.140625" style="351" customWidth="1"/>
    <col min="9477" max="9477" width="21.42578125" style="351" customWidth="1"/>
    <col min="9478" max="9478" width="9.140625" style="351" customWidth="1"/>
    <col min="9479" max="9479" width="12.28515625" style="351" customWidth="1"/>
    <col min="9480" max="9727" width="9.140625" style="351" customWidth="1"/>
    <col min="9728" max="9729" width="4" style="351"/>
    <col min="9730" max="9730" width="5.7109375" style="351" customWidth="1"/>
    <col min="9731" max="9731" width="8.42578125" style="351" customWidth="1"/>
    <col min="9732" max="9732" width="49.140625" style="351" customWidth="1"/>
    <col min="9733" max="9733" width="21.42578125" style="351" customWidth="1"/>
    <col min="9734" max="9734" width="9.140625" style="351" customWidth="1"/>
    <col min="9735" max="9735" width="12.28515625" style="351" customWidth="1"/>
    <col min="9736" max="9983" width="9.140625" style="351" customWidth="1"/>
    <col min="9984" max="9985" width="4" style="351"/>
    <col min="9986" max="9986" width="5.7109375" style="351" customWidth="1"/>
    <col min="9987" max="9987" width="8.42578125" style="351" customWidth="1"/>
    <col min="9988" max="9988" width="49.140625" style="351" customWidth="1"/>
    <col min="9989" max="9989" width="21.42578125" style="351" customWidth="1"/>
    <col min="9990" max="9990" width="9.140625" style="351" customWidth="1"/>
    <col min="9991" max="9991" width="12.28515625" style="351" customWidth="1"/>
    <col min="9992" max="10239" width="9.140625" style="351" customWidth="1"/>
    <col min="10240" max="10241" width="4" style="351"/>
    <col min="10242" max="10242" width="5.7109375" style="351" customWidth="1"/>
    <col min="10243" max="10243" width="8.42578125" style="351" customWidth="1"/>
    <col min="10244" max="10244" width="49.140625" style="351" customWidth="1"/>
    <col min="10245" max="10245" width="21.42578125" style="351" customWidth="1"/>
    <col min="10246" max="10246" width="9.140625" style="351" customWidth="1"/>
    <col min="10247" max="10247" width="12.28515625" style="351" customWidth="1"/>
    <col min="10248" max="10495" width="9.140625" style="351" customWidth="1"/>
    <col min="10496" max="10497" width="4" style="351"/>
    <col min="10498" max="10498" width="5.7109375" style="351" customWidth="1"/>
    <col min="10499" max="10499" width="8.42578125" style="351" customWidth="1"/>
    <col min="10500" max="10500" width="49.140625" style="351" customWidth="1"/>
    <col min="10501" max="10501" width="21.42578125" style="351" customWidth="1"/>
    <col min="10502" max="10502" width="9.140625" style="351" customWidth="1"/>
    <col min="10503" max="10503" width="12.28515625" style="351" customWidth="1"/>
    <col min="10504" max="10751" width="9.140625" style="351" customWidth="1"/>
    <col min="10752" max="10753" width="4" style="351"/>
    <col min="10754" max="10754" width="5.7109375" style="351" customWidth="1"/>
    <col min="10755" max="10755" width="8.42578125" style="351" customWidth="1"/>
    <col min="10756" max="10756" width="49.140625" style="351" customWidth="1"/>
    <col min="10757" max="10757" width="21.42578125" style="351" customWidth="1"/>
    <col min="10758" max="10758" width="9.140625" style="351" customWidth="1"/>
    <col min="10759" max="10759" width="12.28515625" style="351" customWidth="1"/>
    <col min="10760" max="11007" width="9.140625" style="351" customWidth="1"/>
    <col min="11008" max="11009" width="4" style="351"/>
    <col min="11010" max="11010" width="5.7109375" style="351" customWidth="1"/>
    <col min="11011" max="11011" width="8.42578125" style="351" customWidth="1"/>
    <col min="11012" max="11012" width="49.140625" style="351" customWidth="1"/>
    <col min="11013" max="11013" width="21.42578125" style="351" customWidth="1"/>
    <col min="11014" max="11014" width="9.140625" style="351" customWidth="1"/>
    <col min="11015" max="11015" width="12.28515625" style="351" customWidth="1"/>
    <col min="11016" max="11263" width="9.140625" style="351" customWidth="1"/>
    <col min="11264" max="11265" width="4" style="351"/>
    <col min="11266" max="11266" width="5.7109375" style="351" customWidth="1"/>
    <col min="11267" max="11267" width="8.42578125" style="351" customWidth="1"/>
    <col min="11268" max="11268" width="49.140625" style="351" customWidth="1"/>
    <col min="11269" max="11269" width="21.42578125" style="351" customWidth="1"/>
    <col min="11270" max="11270" width="9.140625" style="351" customWidth="1"/>
    <col min="11271" max="11271" width="12.28515625" style="351" customWidth="1"/>
    <col min="11272" max="11519" width="9.140625" style="351" customWidth="1"/>
    <col min="11520" max="11521" width="4" style="351"/>
    <col min="11522" max="11522" width="5.7109375" style="351" customWidth="1"/>
    <col min="11523" max="11523" width="8.42578125" style="351" customWidth="1"/>
    <col min="11524" max="11524" width="49.140625" style="351" customWidth="1"/>
    <col min="11525" max="11525" width="21.42578125" style="351" customWidth="1"/>
    <col min="11526" max="11526" width="9.140625" style="351" customWidth="1"/>
    <col min="11527" max="11527" width="12.28515625" style="351" customWidth="1"/>
    <col min="11528" max="11775" width="9.140625" style="351" customWidth="1"/>
    <col min="11776" max="11777" width="4" style="351"/>
    <col min="11778" max="11778" width="5.7109375" style="351" customWidth="1"/>
    <col min="11779" max="11779" width="8.42578125" style="351" customWidth="1"/>
    <col min="11780" max="11780" width="49.140625" style="351" customWidth="1"/>
    <col min="11781" max="11781" width="21.42578125" style="351" customWidth="1"/>
    <col min="11782" max="11782" width="9.140625" style="351" customWidth="1"/>
    <col min="11783" max="11783" width="12.28515625" style="351" customWidth="1"/>
    <col min="11784" max="12031" width="9.140625" style="351" customWidth="1"/>
    <col min="12032" max="12033" width="4" style="351"/>
    <col min="12034" max="12034" width="5.7109375" style="351" customWidth="1"/>
    <col min="12035" max="12035" width="8.42578125" style="351" customWidth="1"/>
    <col min="12036" max="12036" width="49.140625" style="351" customWidth="1"/>
    <col min="12037" max="12037" width="21.42578125" style="351" customWidth="1"/>
    <col min="12038" max="12038" width="9.140625" style="351" customWidth="1"/>
    <col min="12039" max="12039" width="12.28515625" style="351" customWidth="1"/>
    <col min="12040" max="12287" width="9.140625" style="351" customWidth="1"/>
    <col min="12288" max="12289" width="4" style="351"/>
    <col min="12290" max="12290" width="5.7109375" style="351" customWidth="1"/>
    <col min="12291" max="12291" width="8.42578125" style="351" customWidth="1"/>
    <col min="12292" max="12292" width="49.140625" style="351" customWidth="1"/>
    <col min="12293" max="12293" width="21.42578125" style="351" customWidth="1"/>
    <col min="12294" max="12294" width="9.140625" style="351" customWidth="1"/>
    <col min="12295" max="12295" width="12.28515625" style="351" customWidth="1"/>
    <col min="12296" max="12543" width="9.140625" style="351" customWidth="1"/>
    <col min="12544" max="12545" width="4" style="351"/>
    <col min="12546" max="12546" width="5.7109375" style="351" customWidth="1"/>
    <col min="12547" max="12547" width="8.42578125" style="351" customWidth="1"/>
    <col min="12548" max="12548" width="49.140625" style="351" customWidth="1"/>
    <col min="12549" max="12549" width="21.42578125" style="351" customWidth="1"/>
    <col min="12550" max="12550" width="9.140625" style="351" customWidth="1"/>
    <col min="12551" max="12551" width="12.28515625" style="351" customWidth="1"/>
    <col min="12552" max="12799" width="9.140625" style="351" customWidth="1"/>
    <col min="12800" max="12801" width="4" style="351"/>
    <col min="12802" max="12802" width="5.7109375" style="351" customWidth="1"/>
    <col min="12803" max="12803" width="8.42578125" style="351" customWidth="1"/>
    <col min="12804" max="12804" width="49.140625" style="351" customWidth="1"/>
    <col min="12805" max="12805" width="21.42578125" style="351" customWidth="1"/>
    <col min="12806" max="12806" width="9.140625" style="351" customWidth="1"/>
    <col min="12807" max="12807" width="12.28515625" style="351" customWidth="1"/>
    <col min="12808" max="13055" width="9.140625" style="351" customWidth="1"/>
    <col min="13056" max="13057" width="4" style="351"/>
    <col min="13058" max="13058" width="5.7109375" style="351" customWidth="1"/>
    <col min="13059" max="13059" width="8.42578125" style="351" customWidth="1"/>
    <col min="13060" max="13060" width="49.140625" style="351" customWidth="1"/>
    <col min="13061" max="13061" width="21.42578125" style="351" customWidth="1"/>
    <col min="13062" max="13062" width="9.140625" style="351" customWidth="1"/>
    <col min="13063" max="13063" width="12.28515625" style="351" customWidth="1"/>
    <col min="13064" max="13311" width="9.140625" style="351" customWidth="1"/>
    <col min="13312" max="13313" width="4" style="351"/>
    <col min="13314" max="13314" width="5.7109375" style="351" customWidth="1"/>
    <col min="13315" max="13315" width="8.42578125" style="351" customWidth="1"/>
    <col min="13316" max="13316" width="49.140625" style="351" customWidth="1"/>
    <col min="13317" max="13317" width="21.42578125" style="351" customWidth="1"/>
    <col min="13318" max="13318" width="9.140625" style="351" customWidth="1"/>
    <col min="13319" max="13319" width="12.28515625" style="351" customWidth="1"/>
    <col min="13320" max="13567" width="9.140625" style="351" customWidth="1"/>
    <col min="13568" max="13569" width="4" style="351"/>
    <col min="13570" max="13570" width="5.7109375" style="351" customWidth="1"/>
    <col min="13571" max="13571" width="8.42578125" style="351" customWidth="1"/>
    <col min="13572" max="13572" width="49.140625" style="351" customWidth="1"/>
    <col min="13573" max="13573" width="21.42578125" style="351" customWidth="1"/>
    <col min="13574" max="13574" width="9.140625" style="351" customWidth="1"/>
    <col min="13575" max="13575" width="12.28515625" style="351" customWidth="1"/>
    <col min="13576" max="13823" width="9.140625" style="351" customWidth="1"/>
    <col min="13824" max="13825" width="4" style="351"/>
    <col min="13826" max="13826" width="5.7109375" style="351" customWidth="1"/>
    <col min="13827" max="13827" width="8.42578125" style="351" customWidth="1"/>
    <col min="13828" max="13828" width="49.140625" style="351" customWidth="1"/>
    <col min="13829" max="13829" width="21.42578125" style="351" customWidth="1"/>
    <col min="13830" max="13830" width="9.140625" style="351" customWidth="1"/>
    <col min="13831" max="13831" width="12.28515625" style="351" customWidth="1"/>
    <col min="13832" max="14079" width="9.140625" style="351" customWidth="1"/>
    <col min="14080" max="14081" width="4" style="351"/>
    <col min="14082" max="14082" width="5.7109375" style="351" customWidth="1"/>
    <col min="14083" max="14083" width="8.42578125" style="351" customWidth="1"/>
    <col min="14084" max="14084" width="49.140625" style="351" customWidth="1"/>
    <col min="14085" max="14085" width="21.42578125" style="351" customWidth="1"/>
    <col min="14086" max="14086" width="9.140625" style="351" customWidth="1"/>
    <col min="14087" max="14087" width="12.28515625" style="351" customWidth="1"/>
    <col min="14088" max="14335" width="9.140625" style="351" customWidth="1"/>
    <col min="14336" max="14337" width="4" style="351"/>
    <col min="14338" max="14338" width="5.7109375" style="351" customWidth="1"/>
    <col min="14339" max="14339" width="8.42578125" style="351" customWidth="1"/>
    <col min="14340" max="14340" width="49.140625" style="351" customWidth="1"/>
    <col min="14341" max="14341" width="21.42578125" style="351" customWidth="1"/>
    <col min="14342" max="14342" width="9.140625" style="351" customWidth="1"/>
    <col min="14343" max="14343" width="12.28515625" style="351" customWidth="1"/>
    <col min="14344" max="14591" width="9.140625" style="351" customWidth="1"/>
    <col min="14592" max="14593" width="4" style="351"/>
    <col min="14594" max="14594" width="5.7109375" style="351" customWidth="1"/>
    <col min="14595" max="14595" width="8.42578125" style="351" customWidth="1"/>
    <col min="14596" max="14596" width="49.140625" style="351" customWidth="1"/>
    <col min="14597" max="14597" width="21.42578125" style="351" customWidth="1"/>
    <col min="14598" max="14598" width="9.140625" style="351" customWidth="1"/>
    <col min="14599" max="14599" width="12.28515625" style="351" customWidth="1"/>
    <col min="14600" max="14847" width="9.140625" style="351" customWidth="1"/>
    <col min="14848" max="14849" width="4" style="351"/>
    <col min="14850" max="14850" width="5.7109375" style="351" customWidth="1"/>
    <col min="14851" max="14851" width="8.42578125" style="351" customWidth="1"/>
    <col min="14852" max="14852" width="49.140625" style="351" customWidth="1"/>
    <col min="14853" max="14853" width="21.42578125" style="351" customWidth="1"/>
    <col min="14854" max="14854" width="9.140625" style="351" customWidth="1"/>
    <col min="14855" max="14855" width="12.28515625" style="351" customWidth="1"/>
    <col min="14856" max="15103" width="9.140625" style="351" customWidth="1"/>
    <col min="15104" max="15105" width="4" style="351"/>
    <col min="15106" max="15106" width="5.7109375" style="351" customWidth="1"/>
    <col min="15107" max="15107" width="8.42578125" style="351" customWidth="1"/>
    <col min="15108" max="15108" width="49.140625" style="351" customWidth="1"/>
    <col min="15109" max="15109" width="21.42578125" style="351" customWidth="1"/>
    <col min="15110" max="15110" width="9.140625" style="351" customWidth="1"/>
    <col min="15111" max="15111" width="12.28515625" style="351" customWidth="1"/>
    <col min="15112" max="15359" width="9.140625" style="351" customWidth="1"/>
    <col min="15360" max="15361" width="4" style="351"/>
    <col min="15362" max="15362" width="5.7109375" style="351" customWidth="1"/>
    <col min="15363" max="15363" width="8.42578125" style="351" customWidth="1"/>
    <col min="15364" max="15364" width="49.140625" style="351" customWidth="1"/>
    <col min="15365" max="15365" width="21.42578125" style="351" customWidth="1"/>
    <col min="15366" max="15366" width="9.140625" style="351" customWidth="1"/>
    <col min="15367" max="15367" width="12.28515625" style="351" customWidth="1"/>
    <col min="15368" max="15615" width="9.140625" style="351" customWidth="1"/>
    <col min="15616" max="15617" width="4" style="351"/>
    <col min="15618" max="15618" width="5.7109375" style="351" customWidth="1"/>
    <col min="15619" max="15619" width="8.42578125" style="351" customWidth="1"/>
    <col min="15620" max="15620" width="49.140625" style="351" customWidth="1"/>
    <col min="15621" max="15621" width="21.42578125" style="351" customWidth="1"/>
    <col min="15622" max="15622" width="9.140625" style="351" customWidth="1"/>
    <col min="15623" max="15623" width="12.28515625" style="351" customWidth="1"/>
    <col min="15624" max="15871" width="9.140625" style="351" customWidth="1"/>
    <col min="15872" max="15873" width="4" style="351"/>
    <col min="15874" max="15874" width="5.7109375" style="351" customWidth="1"/>
    <col min="15875" max="15875" width="8.42578125" style="351" customWidth="1"/>
    <col min="15876" max="15876" width="49.140625" style="351" customWidth="1"/>
    <col min="15877" max="15877" width="21.42578125" style="351" customWidth="1"/>
    <col min="15878" max="15878" width="9.140625" style="351" customWidth="1"/>
    <col min="15879" max="15879" width="12.28515625" style="351" customWidth="1"/>
    <col min="15880" max="16127" width="9.140625" style="351" customWidth="1"/>
    <col min="16128" max="16129" width="4" style="351"/>
    <col min="16130" max="16130" width="5.7109375" style="351" customWidth="1"/>
    <col min="16131" max="16131" width="8.42578125" style="351" customWidth="1"/>
    <col min="16132" max="16132" width="49.140625" style="351" customWidth="1"/>
    <col min="16133" max="16133" width="21.42578125" style="351" customWidth="1"/>
    <col min="16134" max="16134" width="9.140625" style="351" customWidth="1"/>
    <col min="16135" max="16135" width="12.28515625" style="351" customWidth="1"/>
    <col min="16136" max="16383" width="9.140625" style="351" customWidth="1"/>
    <col min="16384" max="16384" width="4" style="351"/>
  </cols>
  <sheetData>
    <row r="1" spans="1:7" x14ac:dyDescent="0.2">
      <c r="A1" s="41"/>
      <c r="D1" s="48"/>
      <c r="E1" s="49" t="s">
        <v>30</v>
      </c>
    </row>
    <row r="2" spans="1:7" x14ac:dyDescent="0.2">
      <c r="D2" s="48"/>
      <c r="E2" s="4" t="s">
        <v>17</v>
      </c>
    </row>
    <row r="3" spans="1:7" x14ac:dyDescent="0.2">
      <c r="D3" s="48"/>
      <c r="E3" s="4" t="s">
        <v>0</v>
      </c>
    </row>
    <row r="4" spans="1:7" x14ac:dyDescent="0.2">
      <c r="D4" s="48"/>
      <c r="E4" s="4" t="s">
        <v>18</v>
      </c>
    </row>
    <row r="5" spans="1:7" ht="9.75" customHeight="1" x14ac:dyDescent="0.2">
      <c r="D5" s="49"/>
      <c r="E5" s="50"/>
    </row>
    <row r="6" spans="1:7" ht="15.75" customHeight="1" x14ac:dyDescent="0.2">
      <c r="A6" s="52" t="s">
        <v>31</v>
      </c>
      <c r="B6" s="52"/>
      <c r="C6" s="52"/>
      <c r="D6" s="52"/>
      <c r="E6" s="52"/>
    </row>
    <row r="7" spans="1:7" ht="15.75" customHeight="1" x14ac:dyDescent="0.2">
      <c r="A7" s="52" t="s">
        <v>32</v>
      </c>
      <c r="B7" s="52"/>
      <c r="C7" s="52"/>
      <c r="D7" s="52"/>
      <c r="E7" s="52"/>
    </row>
    <row r="8" spans="1:7" ht="5.25" customHeight="1" x14ac:dyDescent="0.2">
      <c r="E8" s="53"/>
    </row>
    <row r="9" spans="1:7" ht="10.5" customHeight="1" x14ac:dyDescent="0.2">
      <c r="E9" s="54" t="s">
        <v>1</v>
      </c>
    </row>
    <row r="10" spans="1:7" ht="20.25" customHeight="1" x14ac:dyDescent="0.2">
      <c r="A10" s="55" t="s">
        <v>33</v>
      </c>
      <c r="B10" s="56" t="s">
        <v>7</v>
      </c>
      <c r="C10" s="56" t="s">
        <v>8</v>
      </c>
      <c r="D10" s="57" t="s">
        <v>34</v>
      </c>
      <c r="E10" s="56" t="s">
        <v>35</v>
      </c>
    </row>
    <row r="11" spans="1:7" s="61" customFormat="1" ht="9" customHeight="1" x14ac:dyDescent="0.2">
      <c r="A11" s="58">
        <v>1</v>
      </c>
      <c r="B11" s="58">
        <v>2</v>
      </c>
      <c r="C11" s="58">
        <v>3</v>
      </c>
      <c r="D11" s="59">
        <v>4</v>
      </c>
      <c r="E11" s="58">
        <v>5</v>
      </c>
      <c r="F11" s="48"/>
      <c r="G11" s="60"/>
    </row>
    <row r="12" spans="1:7" ht="17.25" customHeight="1" x14ac:dyDescent="0.2">
      <c r="A12" s="352" t="s">
        <v>36</v>
      </c>
      <c r="B12" s="353"/>
      <c r="C12" s="353"/>
      <c r="D12" s="353"/>
      <c r="E12" s="354"/>
    </row>
    <row r="13" spans="1:7" ht="15.75" customHeight="1" x14ac:dyDescent="0.2">
      <c r="A13" s="62">
        <v>1</v>
      </c>
      <c r="B13" s="62">
        <v>700</v>
      </c>
      <c r="C13" s="62">
        <v>70095</v>
      </c>
      <c r="D13" s="63" t="s">
        <v>37</v>
      </c>
      <c r="E13" s="64">
        <f>1500000-320000</f>
        <v>1180000</v>
      </c>
      <c r="F13" s="65"/>
    </row>
    <row r="14" spans="1:7" ht="26.25" customHeight="1" x14ac:dyDescent="0.2">
      <c r="A14" s="66">
        <v>2</v>
      </c>
      <c r="B14" s="66">
        <v>750</v>
      </c>
      <c r="C14" s="66">
        <v>75095</v>
      </c>
      <c r="D14" s="67" t="s">
        <v>38</v>
      </c>
      <c r="E14" s="68">
        <v>85000</v>
      </c>
      <c r="G14" s="69"/>
    </row>
    <row r="15" spans="1:7" ht="15" customHeight="1" x14ac:dyDescent="0.2">
      <c r="A15" s="66">
        <v>3</v>
      </c>
      <c r="B15" s="66">
        <v>755</v>
      </c>
      <c r="C15" s="66">
        <v>75515</v>
      </c>
      <c r="D15" s="67" t="s">
        <v>39</v>
      </c>
      <c r="E15" s="64">
        <v>128040</v>
      </c>
      <c r="G15" s="69"/>
    </row>
    <row r="16" spans="1:7" ht="14.25" customHeight="1" x14ac:dyDescent="0.2">
      <c r="A16" s="70">
        <v>4</v>
      </c>
      <c r="B16" s="70">
        <v>801</v>
      </c>
      <c r="C16" s="70">
        <v>80101</v>
      </c>
      <c r="D16" s="71" t="s">
        <v>40</v>
      </c>
      <c r="E16" s="64">
        <f>24797.85</f>
        <v>24797.85</v>
      </c>
      <c r="G16" s="69"/>
    </row>
    <row r="17" spans="1:7" ht="15" customHeight="1" x14ac:dyDescent="0.2">
      <c r="A17" s="72"/>
      <c r="B17" s="73"/>
      <c r="C17" s="74"/>
      <c r="D17" s="75" t="s">
        <v>41</v>
      </c>
      <c r="E17" s="76"/>
      <c r="G17" s="69"/>
    </row>
    <row r="18" spans="1:7" ht="23.25" customHeight="1" x14ac:dyDescent="0.2">
      <c r="A18" s="77"/>
      <c r="B18" s="78"/>
      <c r="C18" s="79"/>
      <c r="D18" s="80" t="s">
        <v>42</v>
      </c>
      <c r="E18" s="81"/>
      <c r="G18" s="69"/>
    </row>
    <row r="19" spans="1:7" ht="15" customHeight="1" x14ac:dyDescent="0.2">
      <c r="A19" s="82"/>
      <c r="B19" s="83"/>
      <c r="C19" s="84"/>
      <c r="D19" s="85" t="s">
        <v>43</v>
      </c>
      <c r="E19" s="86"/>
      <c r="G19" s="69"/>
    </row>
    <row r="20" spans="1:7" ht="14.25" customHeight="1" x14ac:dyDescent="0.2">
      <c r="A20" s="70">
        <v>5</v>
      </c>
      <c r="B20" s="70">
        <v>801</v>
      </c>
      <c r="C20" s="70">
        <v>80104</v>
      </c>
      <c r="D20" s="71" t="s">
        <v>44</v>
      </c>
      <c r="E20" s="64">
        <f>2391.32+3201.31+3587.48</f>
        <v>9180.11</v>
      </c>
      <c r="G20" s="69"/>
    </row>
    <row r="21" spans="1:7" ht="15" customHeight="1" x14ac:dyDescent="0.2">
      <c r="A21" s="72"/>
      <c r="B21" s="73"/>
      <c r="C21" s="74"/>
      <c r="D21" s="87" t="s">
        <v>45</v>
      </c>
      <c r="E21" s="76"/>
      <c r="G21" s="69"/>
    </row>
    <row r="22" spans="1:7" ht="15" customHeight="1" x14ac:dyDescent="0.2">
      <c r="A22" s="77"/>
      <c r="B22" s="78"/>
      <c r="C22" s="79"/>
      <c r="D22" s="87" t="s">
        <v>46</v>
      </c>
      <c r="E22" s="88"/>
      <c r="G22" s="69"/>
    </row>
    <row r="23" spans="1:7" ht="15" customHeight="1" x14ac:dyDescent="0.2">
      <c r="A23" s="77"/>
      <c r="B23" s="78"/>
      <c r="C23" s="79"/>
      <c r="D23" s="89" t="s">
        <v>47</v>
      </c>
      <c r="E23" s="88"/>
      <c r="G23" s="69"/>
    </row>
    <row r="24" spans="1:7" ht="15" customHeight="1" x14ac:dyDescent="0.2">
      <c r="A24" s="77"/>
      <c r="B24" s="78"/>
      <c r="C24" s="79"/>
      <c r="D24" s="90" t="s">
        <v>48</v>
      </c>
      <c r="E24" s="88"/>
      <c r="G24" s="69"/>
    </row>
    <row r="25" spans="1:7" ht="15" customHeight="1" x14ac:dyDescent="0.2">
      <c r="A25" s="82"/>
      <c r="B25" s="83"/>
      <c r="C25" s="84"/>
      <c r="D25" s="91" t="s">
        <v>49</v>
      </c>
      <c r="E25" s="86"/>
      <c r="G25" s="69"/>
    </row>
    <row r="26" spans="1:7" ht="15" customHeight="1" x14ac:dyDescent="0.2">
      <c r="A26" s="70">
        <v>6</v>
      </c>
      <c r="B26" s="70">
        <v>801</v>
      </c>
      <c r="C26" s="70">
        <v>80117</v>
      </c>
      <c r="D26" s="71" t="s">
        <v>50</v>
      </c>
      <c r="E26" s="64">
        <f>709.34+740.59</f>
        <v>1449.93</v>
      </c>
      <c r="G26" s="69"/>
    </row>
    <row r="27" spans="1:7" ht="15" customHeight="1" x14ac:dyDescent="0.2">
      <c r="A27" s="71"/>
      <c r="B27" s="92"/>
      <c r="C27" s="93"/>
      <c r="D27" s="94" t="s">
        <v>51</v>
      </c>
      <c r="E27" s="64"/>
      <c r="G27" s="69"/>
    </row>
    <row r="28" spans="1:7" ht="15.75" customHeight="1" x14ac:dyDescent="0.2">
      <c r="A28" s="70">
        <v>7</v>
      </c>
      <c r="B28" s="70">
        <v>801</v>
      </c>
      <c r="C28" s="70">
        <v>80120</v>
      </c>
      <c r="D28" s="71" t="s">
        <v>52</v>
      </c>
      <c r="E28" s="64">
        <f>12774.65+4478.39+4665.89</f>
        <v>21918.93</v>
      </c>
      <c r="G28" s="69"/>
    </row>
    <row r="29" spans="1:7" ht="15" customHeight="1" x14ac:dyDescent="0.2">
      <c r="A29" s="72"/>
      <c r="B29" s="73"/>
      <c r="C29" s="74"/>
      <c r="D29" s="95" t="s">
        <v>53</v>
      </c>
      <c r="E29" s="76"/>
      <c r="G29" s="69"/>
    </row>
    <row r="30" spans="1:7" ht="22.5" customHeight="1" x14ac:dyDescent="0.2">
      <c r="A30" s="77"/>
      <c r="B30" s="78"/>
      <c r="C30" s="79"/>
      <c r="D30" s="96" t="s">
        <v>54</v>
      </c>
      <c r="E30" s="88"/>
      <c r="G30" s="69"/>
    </row>
    <row r="31" spans="1:7" ht="24.75" customHeight="1" x14ac:dyDescent="0.2">
      <c r="A31" s="82"/>
      <c r="B31" s="83"/>
      <c r="C31" s="84"/>
      <c r="D31" s="97" t="s">
        <v>55</v>
      </c>
      <c r="E31" s="86"/>
      <c r="G31" s="69"/>
    </row>
    <row r="32" spans="1:7" ht="51" customHeight="1" x14ac:dyDescent="0.2">
      <c r="A32" s="98">
        <v>8</v>
      </c>
      <c r="B32" s="98">
        <v>801</v>
      </c>
      <c r="C32" s="98">
        <v>80153</v>
      </c>
      <c r="D32" s="99" t="s">
        <v>56</v>
      </c>
      <c r="E32" s="100">
        <f>33841+15955+1732.31+3011.85-1579.12+1039.5</f>
        <v>54000.539999999994</v>
      </c>
      <c r="G32" s="69"/>
    </row>
    <row r="33" spans="1:7" ht="15" customHeight="1" x14ac:dyDescent="0.2">
      <c r="A33" s="101"/>
      <c r="B33" s="101"/>
      <c r="C33" s="101"/>
      <c r="D33" s="102" t="s">
        <v>57</v>
      </c>
      <c r="E33" s="103"/>
      <c r="G33" s="69"/>
    </row>
    <row r="34" spans="1:7" ht="15" customHeight="1" x14ac:dyDescent="0.2">
      <c r="A34" s="104"/>
      <c r="B34" s="104"/>
      <c r="C34" s="104"/>
      <c r="D34" s="105" t="s">
        <v>43</v>
      </c>
      <c r="E34" s="106"/>
      <c r="G34" s="69"/>
    </row>
    <row r="35" spans="1:7" ht="21.75" customHeight="1" x14ac:dyDescent="0.2">
      <c r="A35" s="104"/>
      <c r="B35" s="104"/>
      <c r="C35" s="104"/>
      <c r="D35" s="107" t="s">
        <v>42</v>
      </c>
      <c r="E35" s="108"/>
      <c r="G35" s="69"/>
    </row>
    <row r="36" spans="1:7" ht="15" customHeight="1" x14ac:dyDescent="0.2">
      <c r="A36" s="109"/>
      <c r="B36" s="109"/>
      <c r="C36" s="109"/>
      <c r="D36" s="110" t="s">
        <v>58</v>
      </c>
      <c r="E36" s="111"/>
      <c r="G36" s="69"/>
    </row>
    <row r="37" spans="1:7" ht="41.25" customHeight="1" x14ac:dyDescent="0.2">
      <c r="A37" s="112">
        <v>9</v>
      </c>
      <c r="B37" s="112">
        <v>801</v>
      </c>
      <c r="C37" s="112">
        <v>80195</v>
      </c>
      <c r="D37" s="113" t="s">
        <v>59</v>
      </c>
      <c r="E37" s="114">
        <f>533646-31962+295000</f>
        <v>796684</v>
      </c>
      <c r="G37" s="69"/>
    </row>
    <row r="38" spans="1:7" ht="15" customHeight="1" x14ac:dyDescent="0.2">
      <c r="A38" s="70">
        <v>10</v>
      </c>
      <c r="B38" s="70">
        <v>851</v>
      </c>
      <c r="C38" s="70">
        <v>85153</v>
      </c>
      <c r="D38" s="82" t="s">
        <v>60</v>
      </c>
      <c r="E38" s="86">
        <v>55000</v>
      </c>
      <c r="G38" s="69"/>
    </row>
    <row r="39" spans="1:7" s="51" customFormat="1" ht="39" customHeight="1" x14ac:dyDescent="0.2">
      <c r="A39" s="66">
        <v>11</v>
      </c>
      <c r="B39" s="66">
        <v>851</v>
      </c>
      <c r="C39" s="66">
        <v>85154</v>
      </c>
      <c r="D39" s="67" t="s">
        <v>61</v>
      </c>
      <c r="E39" s="68">
        <f>550000-21000</f>
        <v>529000</v>
      </c>
      <c r="F39" s="50"/>
    </row>
    <row r="40" spans="1:7" s="51" customFormat="1" ht="27" customHeight="1" x14ac:dyDescent="0.2">
      <c r="A40" s="115">
        <v>12</v>
      </c>
      <c r="B40" s="115">
        <v>851</v>
      </c>
      <c r="C40" s="116">
        <v>85195</v>
      </c>
      <c r="D40" s="67" t="s">
        <v>62</v>
      </c>
      <c r="E40" s="68">
        <v>67500</v>
      </c>
      <c r="F40" s="50"/>
    </row>
    <row r="41" spans="1:7" s="51" customFormat="1" ht="25.5" customHeight="1" x14ac:dyDescent="0.2">
      <c r="A41" s="117">
        <v>13</v>
      </c>
      <c r="B41" s="117">
        <v>852</v>
      </c>
      <c r="C41" s="118">
        <v>85228</v>
      </c>
      <c r="D41" s="119" t="s">
        <v>63</v>
      </c>
      <c r="E41" s="64">
        <f>7049731-244300-15000</f>
        <v>6790431</v>
      </c>
      <c r="F41" s="50"/>
    </row>
    <row r="42" spans="1:7" s="51" customFormat="1" ht="25.5" customHeight="1" x14ac:dyDescent="0.2">
      <c r="A42" s="112"/>
      <c r="B42" s="112"/>
      <c r="C42" s="120"/>
      <c r="D42" s="121" t="s">
        <v>64</v>
      </c>
      <c r="E42" s="86">
        <f>1327900+746426+746426+361440+189584+907</f>
        <v>3372683</v>
      </c>
      <c r="F42" s="50"/>
    </row>
    <row r="43" spans="1:7" s="51" customFormat="1" ht="25.5" customHeight="1" x14ac:dyDescent="0.2">
      <c r="A43" s="66">
        <v>14</v>
      </c>
      <c r="B43" s="66">
        <v>852</v>
      </c>
      <c r="C43" s="66">
        <v>85295</v>
      </c>
      <c r="D43" s="67" t="s">
        <v>65</v>
      </c>
      <c r="E43" s="64">
        <f>1230600+47700</f>
        <v>1278300</v>
      </c>
      <c r="F43" s="50"/>
    </row>
    <row r="44" spans="1:7" s="51" customFormat="1" ht="26.25" customHeight="1" x14ac:dyDescent="0.2">
      <c r="A44" s="66">
        <v>15</v>
      </c>
      <c r="B44" s="66">
        <v>852</v>
      </c>
      <c r="C44" s="66">
        <v>85295</v>
      </c>
      <c r="D44" s="67" t="s">
        <v>66</v>
      </c>
      <c r="E44" s="64">
        <v>413452.32</v>
      </c>
      <c r="F44" s="50"/>
    </row>
    <row r="45" spans="1:7" s="51" customFormat="1" ht="26.25" customHeight="1" x14ac:dyDescent="0.2">
      <c r="A45" s="66">
        <v>16</v>
      </c>
      <c r="B45" s="66">
        <v>853</v>
      </c>
      <c r="C45" s="66">
        <v>85395</v>
      </c>
      <c r="D45" s="67" t="s">
        <v>67</v>
      </c>
      <c r="E45" s="68">
        <f>40000-10005</f>
        <v>29995</v>
      </c>
      <c r="F45" s="50"/>
    </row>
    <row r="46" spans="1:7" s="51" customFormat="1" ht="41.45" customHeight="1" x14ac:dyDescent="0.2">
      <c r="A46" s="66">
        <v>17</v>
      </c>
      <c r="B46" s="66">
        <v>853</v>
      </c>
      <c r="C46" s="66">
        <v>85395</v>
      </c>
      <c r="D46" s="67" t="s">
        <v>68</v>
      </c>
      <c r="E46" s="68">
        <v>265510.90999999997</v>
      </c>
      <c r="F46" s="50"/>
    </row>
    <row r="47" spans="1:7" s="51" customFormat="1" ht="15.75" customHeight="1" x14ac:dyDescent="0.2">
      <c r="A47" s="70">
        <v>18</v>
      </c>
      <c r="B47" s="70">
        <v>855</v>
      </c>
      <c r="C47" s="70">
        <v>85510</v>
      </c>
      <c r="D47" s="119" t="s">
        <v>69</v>
      </c>
      <c r="E47" s="64">
        <f>1568400+312600</f>
        <v>1881000</v>
      </c>
      <c r="F47" s="50"/>
    </row>
    <row r="48" spans="1:7" s="51" customFormat="1" ht="26.25" customHeight="1" x14ac:dyDescent="0.2">
      <c r="A48" s="66">
        <v>19</v>
      </c>
      <c r="B48" s="66">
        <v>900</v>
      </c>
      <c r="C48" s="66">
        <v>90005</v>
      </c>
      <c r="D48" s="67" t="s">
        <v>70</v>
      </c>
      <c r="E48" s="68">
        <f>200000+100000-32000</f>
        <v>268000</v>
      </c>
      <c r="F48" s="65"/>
    </row>
    <row r="49" spans="1:7" s="51" customFormat="1" ht="26.25" customHeight="1" x14ac:dyDescent="0.2">
      <c r="A49" s="66">
        <v>20</v>
      </c>
      <c r="B49" s="66">
        <v>900</v>
      </c>
      <c r="C49" s="66">
        <v>90005</v>
      </c>
      <c r="D49" s="67" t="s">
        <v>71</v>
      </c>
      <c r="E49" s="68">
        <f>200000+100000+32000</f>
        <v>332000</v>
      </c>
      <c r="F49" s="65"/>
      <c r="G49" s="69"/>
    </row>
    <row r="50" spans="1:7" s="51" customFormat="1" ht="16.5" customHeight="1" x14ac:dyDescent="0.2">
      <c r="A50" s="70">
        <v>21</v>
      </c>
      <c r="B50" s="70">
        <v>921</v>
      </c>
      <c r="C50" s="70">
        <v>92120</v>
      </c>
      <c r="D50" s="71" t="s">
        <v>72</v>
      </c>
      <c r="E50" s="64">
        <v>500000</v>
      </c>
      <c r="F50" s="50"/>
    </row>
    <row r="51" spans="1:7" s="51" customFormat="1" ht="39.75" customHeight="1" x14ac:dyDescent="0.2">
      <c r="A51" s="66">
        <v>22</v>
      </c>
      <c r="B51" s="66">
        <v>921</v>
      </c>
      <c r="C51" s="66">
        <v>92195</v>
      </c>
      <c r="D51" s="67" t="s">
        <v>73</v>
      </c>
      <c r="E51" s="64">
        <f>239100+27900-27900-34000-2500</f>
        <v>202600</v>
      </c>
      <c r="F51" s="50"/>
    </row>
    <row r="52" spans="1:7" s="51" customFormat="1" ht="39.75" customHeight="1" x14ac:dyDescent="0.2">
      <c r="A52" s="66">
        <v>23</v>
      </c>
      <c r="B52" s="66">
        <v>921</v>
      </c>
      <c r="C52" s="66">
        <v>92195</v>
      </c>
      <c r="D52" s="67" t="s">
        <v>68</v>
      </c>
      <c r="E52" s="68">
        <v>320536.26</v>
      </c>
      <c r="F52" s="50"/>
    </row>
    <row r="53" spans="1:7" s="51" customFormat="1" ht="14.45" customHeight="1" x14ac:dyDescent="0.2">
      <c r="A53" s="70">
        <v>24</v>
      </c>
      <c r="B53" s="70">
        <v>926</v>
      </c>
      <c r="C53" s="70">
        <v>92605</v>
      </c>
      <c r="D53" s="119" t="s">
        <v>74</v>
      </c>
      <c r="E53" s="64">
        <v>1833375</v>
      </c>
      <c r="F53" s="50"/>
    </row>
    <row r="54" spans="1:7" s="51" customFormat="1" ht="38.450000000000003" customHeight="1" x14ac:dyDescent="0.2">
      <c r="A54" s="66">
        <v>25</v>
      </c>
      <c r="B54" s="66">
        <v>926</v>
      </c>
      <c r="C54" s="66">
        <v>92605</v>
      </c>
      <c r="D54" s="119" t="s">
        <v>75</v>
      </c>
      <c r="E54" s="68">
        <v>106845.42</v>
      </c>
      <c r="F54" s="50"/>
    </row>
    <row r="55" spans="1:7" s="51" customFormat="1" ht="15" customHeight="1" x14ac:dyDescent="0.2">
      <c r="A55" s="355"/>
      <c r="B55" s="356"/>
      <c r="C55" s="356"/>
      <c r="D55" s="356" t="s">
        <v>76</v>
      </c>
      <c r="E55" s="357">
        <f>SUM(E13:E54)</f>
        <v>20547300.270000003</v>
      </c>
      <c r="F55" s="50"/>
    </row>
    <row r="56" spans="1:7" s="51" customFormat="1" ht="20.25" customHeight="1" x14ac:dyDescent="0.2">
      <c r="A56" s="352" t="s">
        <v>77</v>
      </c>
      <c r="B56" s="353"/>
      <c r="C56" s="353"/>
      <c r="D56" s="353"/>
      <c r="E56" s="354"/>
      <c r="F56" s="50"/>
    </row>
    <row r="57" spans="1:7" s="51" customFormat="1" ht="17.25" customHeight="1" x14ac:dyDescent="0.2">
      <c r="A57" s="55" t="s">
        <v>33</v>
      </c>
      <c r="B57" s="56" t="s">
        <v>7</v>
      </c>
      <c r="C57" s="56" t="s">
        <v>8</v>
      </c>
      <c r="D57" s="57" t="s">
        <v>78</v>
      </c>
      <c r="E57" s="56" t="s">
        <v>35</v>
      </c>
      <c r="F57" s="50"/>
    </row>
    <row r="58" spans="1:7" s="51" customFormat="1" ht="14.25" customHeight="1" x14ac:dyDescent="0.2">
      <c r="A58" s="70">
        <v>1</v>
      </c>
      <c r="B58" s="70">
        <v>801</v>
      </c>
      <c r="C58" s="70">
        <v>80101</v>
      </c>
      <c r="D58" s="71" t="s">
        <v>40</v>
      </c>
      <c r="E58" s="64">
        <f>7612585+11903.79+15110.88+120000+518000+50000+50000+157000+40000-77000+332000</f>
        <v>8829599.6699999999</v>
      </c>
      <c r="F58" s="50"/>
    </row>
    <row r="59" spans="1:7" s="51" customFormat="1" ht="13.5" customHeight="1" x14ac:dyDescent="0.2">
      <c r="A59" s="72"/>
      <c r="B59" s="73"/>
      <c r="C59" s="74"/>
      <c r="D59" s="75" t="s">
        <v>41</v>
      </c>
      <c r="E59" s="76"/>
      <c r="F59" s="50"/>
    </row>
    <row r="60" spans="1:7" s="51" customFormat="1" ht="13.5" customHeight="1" x14ac:dyDescent="0.2">
      <c r="A60" s="77"/>
      <c r="B60" s="78"/>
      <c r="C60" s="79"/>
      <c r="D60" s="122" t="s">
        <v>79</v>
      </c>
      <c r="E60" s="88"/>
      <c r="F60" s="123"/>
    </row>
    <row r="61" spans="1:7" s="51" customFormat="1" ht="13.5" customHeight="1" x14ac:dyDescent="0.2">
      <c r="A61" s="77"/>
      <c r="B61" s="78"/>
      <c r="C61" s="79"/>
      <c r="D61" s="124" t="s">
        <v>80</v>
      </c>
      <c r="E61" s="81"/>
      <c r="F61" s="50"/>
    </row>
    <row r="62" spans="1:7" s="51" customFormat="1" ht="26.25" customHeight="1" x14ac:dyDescent="0.2">
      <c r="A62" s="77"/>
      <c r="B62" s="78"/>
      <c r="C62" s="79"/>
      <c r="D62" s="125" t="s">
        <v>81</v>
      </c>
      <c r="E62" s="88"/>
      <c r="F62" s="50"/>
    </row>
    <row r="63" spans="1:7" s="51" customFormat="1" ht="27" customHeight="1" x14ac:dyDescent="0.2">
      <c r="A63" s="77"/>
      <c r="B63" s="78"/>
      <c r="C63" s="79"/>
      <c r="D63" s="125" t="s">
        <v>82</v>
      </c>
      <c r="E63" s="88"/>
      <c r="F63" s="50"/>
    </row>
    <row r="64" spans="1:7" s="51" customFormat="1" ht="24.75" customHeight="1" x14ac:dyDescent="0.2">
      <c r="A64" s="77"/>
      <c r="B64" s="78"/>
      <c r="C64" s="79"/>
      <c r="D64" s="122" t="s">
        <v>83</v>
      </c>
      <c r="E64" s="88"/>
      <c r="F64" s="50"/>
    </row>
    <row r="65" spans="1:7" s="51" customFormat="1" ht="25.5" customHeight="1" x14ac:dyDescent="0.2">
      <c r="A65" s="77"/>
      <c r="B65" s="78"/>
      <c r="C65" s="79"/>
      <c r="D65" s="96" t="s">
        <v>84</v>
      </c>
      <c r="E65" s="81"/>
      <c r="F65" s="50"/>
    </row>
    <row r="66" spans="1:7" s="51" customFormat="1" ht="13.5" customHeight="1" x14ac:dyDescent="0.2">
      <c r="A66" s="77"/>
      <c r="B66" s="78"/>
      <c r="C66" s="79"/>
      <c r="D66" s="126" t="s">
        <v>43</v>
      </c>
      <c r="E66" s="88"/>
      <c r="F66" s="50"/>
    </row>
    <row r="67" spans="1:7" s="51" customFormat="1" ht="24" customHeight="1" x14ac:dyDescent="0.2">
      <c r="A67" s="82"/>
      <c r="B67" s="83"/>
      <c r="C67" s="84"/>
      <c r="D67" s="127" t="s">
        <v>42</v>
      </c>
      <c r="E67" s="86"/>
      <c r="F67" s="50"/>
    </row>
    <row r="68" spans="1:7" s="51" customFormat="1" ht="13.5" customHeight="1" x14ac:dyDescent="0.2">
      <c r="A68" s="70">
        <v>2</v>
      </c>
      <c r="B68" s="70">
        <v>801</v>
      </c>
      <c r="C68" s="70">
        <v>80103</v>
      </c>
      <c r="D68" s="71" t="s">
        <v>85</v>
      </c>
      <c r="E68" s="64">
        <f>124687+15000+30000</f>
        <v>169687</v>
      </c>
      <c r="F68" s="50"/>
    </row>
    <row r="69" spans="1:7" s="51" customFormat="1" ht="24" customHeight="1" x14ac:dyDescent="0.2">
      <c r="A69" s="77"/>
      <c r="B69" s="78"/>
      <c r="C69" s="79"/>
      <c r="D69" s="128" t="s">
        <v>81</v>
      </c>
      <c r="E69" s="76"/>
      <c r="F69" s="50"/>
    </row>
    <row r="70" spans="1:7" s="51" customFormat="1" ht="13.5" customHeight="1" x14ac:dyDescent="0.2">
      <c r="A70" s="82"/>
      <c r="B70" s="83"/>
      <c r="C70" s="84"/>
      <c r="D70" s="129" t="s">
        <v>43</v>
      </c>
      <c r="E70" s="86"/>
      <c r="F70" s="50"/>
    </row>
    <row r="71" spans="1:7" s="51" customFormat="1" ht="14.25" customHeight="1" x14ac:dyDescent="0.2">
      <c r="A71" s="70">
        <v>3</v>
      </c>
      <c r="B71" s="70">
        <v>801</v>
      </c>
      <c r="C71" s="70">
        <v>80104</v>
      </c>
      <c r="D71" s="71" t="s">
        <v>44</v>
      </c>
      <c r="E71" s="64">
        <f>8825749+13966.37+917.02+230000+200000+800000+300000+400000+57000-6000</f>
        <v>10821632.389999999</v>
      </c>
      <c r="F71" s="50"/>
    </row>
    <row r="72" spans="1:7" s="51" customFormat="1" ht="14.25" customHeight="1" x14ac:dyDescent="0.2">
      <c r="A72" s="72"/>
      <c r="B72" s="73"/>
      <c r="C72" s="74"/>
      <c r="D72" s="75" t="s">
        <v>86</v>
      </c>
      <c r="E72" s="76"/>
      <c r="F72" s="50"/>
    </row>
    <row r="73" spans="1:7" s="51" customFormat="1" ht="14.25" customHeight="1" x14ac:dyDescent="0.2">
      <c r="A73" s="77"/>
      <c r="B73" s="78"/>
      <c r="C73" s="79"/>
      <c r="D73" s="87" t="s">
        <v>45</v>
      </c>
      <c r="E73" s="88"/>
      <c r="F73" s="50"/>
    </row>
    <row r="74" spans="1:7" s="51" customFormat="1" ht="13.5" customHeight="1" x14ac:dyDescent="0.2">
      <c r="A74" s="77"/>
      <c r="B74" s="78"/>
      <c r="C74" s="79"/>
      <c r="D74" s="130" t="s">
        <v>46</v>
      </c>
      <c r="E74" s="81"/>
      <c r="F74" s="50"/>
    </row>
    <row r="75" spans="1:7" s="50" customFormat="1" ht="23.25" customHeight="1" x14ac:dyDescent="0.2">
      <c r="A75" s="77"/>
      <c r="B75" s="78"/>
      <c r="C75" s="79"/>
      <c r="D75" s="125" t="s">
        <v>87</v>
      </c>
      <c r="E75" s="88"/>
      <c r="G75" s="51"/>
    </row>
    <row r="76" spans="1:7" s="50" customFormat="1" ht="13.5" customHeight="1" x14ac:dyDescent="0.2">
      <c r="A76" s="82"/>
      <c r="B76" s="83"/>
      <c r="C76" s="84"/>
      <c r="D76" s="85" t="s">
        <v>88</v>
      </c>
      <c r="E76" s="86"/>
      <c r="G76" s="51"/>
    </row>
    <row r="77" spans="1:7" s="50" customFormat="1" ht="13.5" customHeight="1" x14ac:dyDescent="0.2">
      <c r="A77" s="77"/>
      <c r="B77" s="78"/>
      <c r="C77" s="79"/>
      <c r="D77" s="96" t="s">
        <v>89</v>
      </c>
      <c r="E77" s="81"/>
      <c r="G77" s="51"/>
    </row>
    <row r="78" spans="1:7" s="50" customFormat="1" ht="13.5" customHeight="1" x14ac:dyDescent="0.2">
      <c r="A78" s="77"/>
      <c r="B78" s="78"/>
      <c r="C78" s="79"/>
      <c r="D78" s="125" t="s">
        <v>90</v>
      </c>
      <c r="E78" s="88"/>
      <c r="G78" s="51"/>
    </row>
    <row r="79" spans="1:7" s="50" customFormat="1" ht="13.5" customHeight="1" x14ac:dyDescent="0.2">
      <c r="A79" s="77"/>
      <c r="B79" s="78"/>
      <c r="C79" s="79"/>
      <c r="D79" s="130" t="s">
        <v>48</v>
      </c>
      <c r="E79" s="81"/>
      <c r="G79" s="51"/>
    </row>
    <row r="80" spans="1:7" s="50" customFormat="1" ht="23.25" customHeight="1" x14ac:dyDescent="0.2">
      <c r="A80" s="77"/>
      <c r="B80" s="78"/>
      <c r="C80" s="79"/>
      <c r="D80" s="130" t="s">
        <v>91</v>
      </c>
      <c r="E80" s="81"/>
      <c r="G80" s="51"/>
    </row>
    <row r="81" spans="1:7" s="50" customFormat="1" ht="13.5" customHeight="1" x14ac:dyDescent="0.2">
      <c r="A81" s="77"/>
      <c r="B81" s="78"/>
      <c r="C81" s="79"/>
      <c r="D81" s="125" t="s">
        <v>92</v>
      </c>
      <c r="E81" s="88"/>
      <c r="G81" s="51"/>
    </row>
    <row r="82" spans="1:7" s="50" customFormat="1" ht="13.5" customHeight="1" x14ac:dyDescent="0.2">
      <c r="A82" s="77"/>
      <c r="B82" s="78"/>
      <c r="C82" s="79"/>
      <c r="D82" s="126" t="s">
        <v>47</v>
      </c>
      <c r="E82" s="88"/>
      <c r="G82" s="51"/>
    </row>
    <row r="83" spans="1:7" s="50" customFormat="1" ht="13.5" customHeight="1" x14ac:dyDescent="0.2">
      <c r="A83" s="77"/>
      <c r="B83" s="78"/>
      <c r="C83" s="79"/>
      <c r="D83" s="91" t="s">
        <v>49</v>
      </c>
      <c r="E83" s="81"/>
      <c r="G83" s="51"/>
    </row>
    <row r="84" spans="1:7" s="50" customFormat="1" ht="13.5" customHeight="1" x14ac:dyDescent="0.2">
      <c r="A84" s="77"/>
      <c r="B84" s="78"/>
      <c r="C84" s="79"/>
      <c r="D84" s="91" t="s">
        <v>93</v>
      </c>
      <c r="E84" s="81"/>
      <c r="G84" s="51"/>
    </row>
    <row r="85" spans="1:7" s="50" customFormat="1" ht="13.5" customHeight="1" x14ac:dyDescent="0.2">
      <c r="A85" s="77"/>
      <c r="B85" s="78"/>
      <c r="C85" s="79"/>
      <c r="D85" s="126" t="s">
        <v>94</v>
      </c>
      <c r="E85" s="88"/>
      <c r="G85" s="51"/>
    </row>
    <row r="86" spans="1:7" s="50" customFormat="1" ht="13.5" customHeight="1" x14ac:dyDescent="0.2">
      <c r="A86" s="82"/>
      <c r="B86" s="83"/>
      <c r="C86" s="84"/>
      <c r="D86" s="85" t="s">
        <v>95</v>
      </c>
      <c r="E86" s="86"/>
      <c r="G86" s="51"/>
    </row>
    <row r="87" spans="1:7" s="50" customFormat="1" ht="24" customHeight="1" x14ac:dyDescent="0.2">
      <c r="A87" s="66">
        <v>4</v>
      </c>
      <c r="B87" s="66">
        <v>801</v>
      </c>
      <c r="C87" s="66">
        <v>80106</v>
      </c>
      <c r="D87" s="67" t="s">
        <v>96</v>
      </c>
      <c r="E87" s="68">
        <f>62237+7000+3500</f>
        <v>72737</v>
      </c>
      <c r="G87" s="51"/>
    </row>
    <row r="88" spans="1:7" s="50" customFormat="1" ht="13.5" customHeight="1" x14ac:dyDescent="0.2">
      <c r="A88" s="71"/>
      <c r="B88" s="92"/>
      <c r="C88" s="93"/>
      <c r="D88" s="131" t="s">
        <v>97</v>
      </c>
      <c r="E88" s="64"/>
      <c r="G88" s="51"/>
    </row>
    <row r="89" spans="1:7" s="50" customFormat="1" ht="13.5" customHeight="1" x14ac:dyDescent="0.2">
      <c r="A89" s="70">
        <v>5</v>
      </c>
      <c r="B89" s="70">
        <v>801</v>
      </c>
      <c r="C89" s="70">
        <v>80115</v>
      </c>
      <c r="D89" s="92" t="s">
        <v>98</v>
      </c>
      <c r="E89" s="64">
        <f>2505180+12243.98+164000+100000+142000</f>
        <v>2923423.98</v>
      </c>
      <c r="G89" s="51"/>
    </row>
    <row r="90" spans="1:7" s="50" customFormat="1" ht="23.25" customHeight="1" x14ac:dyDescent="0.2">
      <c r="A90" s="71"/>
      <c r="B90" s="92"/>
      <c r="C90" s="93"/>
      <c r="D90" s="132" t="s">
        <v>99</v>
      </c>
      <c r="E90" s="64"/>
      <c r="G90" s="51"/>
    </row>
    <row r="91" spans="1:7" s="50" customFormat="1" ht="16.5" customHeight="1" x14ac:dyDescent="0.2">
      <c r="A91" s="70">
        <v>6</v>
      </c>
      <c r="B91" s="70">
        <v>801</v>
      </c>
      <c r="C91" s="70">
        <v>80116</v>
      </c>
      <c r="D91" s="92" t="s">
        <v>100</v>
      </c>
      <c r="E91" s="64">
        <f>5272240-50000-140000+24309.91-200000+200000+400000+78000</f>
        <v>5584549.9100000001</v>
      </c>
      <c r="G91" s="51"/>
    </row>
    <row r="92" spans="1:7" s="50" customFormat="1" ht="13.5" customHeight="1" x14ac:dyDescent="0.2">
      <c r="A92" s="72"/>
      <c r="B92" s="73"/>
      <c r="C92" s="74"/>
      <c r="D92" s="133" t="s">
        <v>101</v>
      </c>
      <c r="E92" s="76"/>
      <c r="G92" s="51"/>
    </row>
    <row r="93" spans="1:7" s="50" customFormat="1" ht="25.5" customHeight="1" x14ac:dyDescent="0.2">
      <c r="A93" s="77"/>
      <c r="B93" s="78"/>
      <c r="C93" s="79"/>
      <c r="D93" s="122" t="s">
        <v>102</v>
      </c>
      <c r="E93" s="88"/>
      <c r="G93" s="51"/>
    </row>
    <row r="94" spans="1:7" s="50" customFormat="1" ht="22.5" customHeight="1" x14ac:dyDescent="0.2">
      <c r="A94" s="77"/>
      <c r="B94" s="78"/>
      <c r="C94" s="79"/>
      <c r="D94" s="125" t="s">
        <v>103</v>
      </c>
      <c r="E94" s="88"/>
      <c r="G94" s="51"/>
    </row>
    <row r="95" spans="1:7" s="50" customFormat="1" ht="13.5" customHeight="1" x14ac:dyDescent="0.2">
      <c r="A95" s="77"/>
      <c r="B95" s="78"/>
      <c r="C95" s="79"/>
      <c r="D95" s="91" t="s">
        <v>104</v>
      </c>
      <c r="E95" s="81"/>
      <c r="G95" s="51"/>
    </row>
    <row r="96" spans="1:7" s="50" customFormat="1" ht="13.5" customHeight="1" x14ac:dyDescent="0.2">
      <c r="A96" s="77"/>
      <c r="B96" s="78"/>
      <c r="C96" s="79"/>
      <c r="D96" s="126" t="s">
        <v>105</v>
      </c>
      <c r="E96" s="88"/>
      <c r="G96" s="51"/>
    </row>
    <row r="97" spans="1:7" s="50" customFormat="1" ht="25.5" customHeight="1" x14ac:dyDescent="0.2">
      <c r="A97" s="77"/>
      <c r="B97" s="78"/>
      <c r="C97" s="79"/>
      <c r="D97" s="124" t="s">
        <v>106</v>
      </c>
      <c r="E97" s="81"/>
      <c r="G97" s="51"/>
    </row>
    <row r="98" spans="1:7" s="50" customFormat="1" ht="13.5" customHeight="1" x14ac:dyDescent="0.2">
      <c r="A98" s="77"/>
      <c r="B98" s="78"/>
      <c r="C98" s="79"/>
      <c r="D98" s="122" t="s">
        <v>107</v>
      </c>
      <c r="E98" s="88"/>
      <c r="G98" s="51"/>
    </row>
    <row r="99" spans="1:7" s="50" customFormat="1" ht="13.5" customHeight="1" x14ac:dyDescent="0.2">
      <c r="A99" s="77"/>
      <c r="B99" s="78"/>
      <c r="C99" s="79"/>
      <c r="D99" s="122" t="s">
        <v>108</v>
      </c>
      <c r="E99" s="88"/>
      <c r="G99" s="51"/>
    </row>
    <row r="100" spans="1:7" s="50" customFormat="1" ht="12.75" customHeight="1" x14ac:dyDescent="0.2">
      <c r="A100" s="77"/>
      <c r="B100" s="78"/>
      <c r="C100" s="79"/>
      <c r="D100" s="125" t="s">
        <v>109</v>
      </c>
      <c r="E100" s="88"/>
      <c r="G100" s="51"/>
    </row>
    <row r="101" spans="1:7" s="50" customFormat="1" ht="13.5" customHeight="1" x14ac:dyDescent="0.2">
      <c r="A101" s="77"/>
      <c r="B101" s="78"/>
      <c r="C101" s="79"/>
      <c r="D101" s="126" t="s">
        <v>110</v>
      </c>
      <c r="E101" s="88"/>
      <c r="G101" s="51"/>
    </row>
    <row r="102" spans="1:7" s="50" customFormat="1" ht="13.5" customHeight="1" x14ac:dyDescent="0.2">
      <c r="A102" s="77"/>
      <c r="B102" s="78"/>
      <c r="C102" s="79"/>
      <c r="D102" s="134" t="s">
        <v>111</v>
      </c>
      <c r="E102" s="81"/>
      <c r="G102" s="51"/>
    </row>
    <row r="103" spans="1:7" s="50" customFormat="1" ht="13.5" customHeight="1" x14ac:dyDescent="0.2">
      <c r="A103" s="77"/>
      <c r="B103" s="78"/>
      <c r="C103" s="79"/>
      <c r="D103" s="135" t="s">
        <v>112</v>
      </c>
      <c r="E103" s="88"/>
      <c r="G103" s="51"/>
    </row>
    <row r="104" spans="1:7" s="50" customFormat="1" ht="13.5" customHeight="1" x14ac:dyDescent="0.2">
      <c r="A104" s="77"/>
      <c r="B104" s="78"/>
      <c r="C104" s="79"/>
      <c r="D104" s="126" t="s">
        <v>113</v>
      </c>
      <c r="E104" s="88"/>
      <c r="G104" s="51"/>
    </row>
    <row r="105" spans="1:7" s="50" customFormat="1" ht="25.5" customHeight="1" x14ac:dyDescent="0.2">
      <c r="A105" s="82"/>
      <c r="B105" s="83"/>
      <c r="C105" s="84"/>
      <c r="D105" s="127" t="s">
        <v>114</v>
      </c>
      <c r="E105" s="86"/>
      <c r="G105" s="51"/>
    </row>
    <row r="106" spans="1:7" s="50" customFormat="1" ht="16.5" customHeight="1" x14ac:dyDescent="0.2">
      <c r="A106" s="70">
        <v>7</v>
      </c>
      <c r="B106" s="70">
        <v>801</v>
      </c>
      <c r="C106" s="70">
        <v>80117</v>
      </c>
      <c r="D106" s="71" t="s">
        <v>50</v>
      </c>
      <c r="E106" s="64">
        <f>2656984+7306.5+3929.27+85000-200000-50000+50000-70000-50000</f>
        <v>2433219.77</v>
      </c>
      <c r="G106" s="51"/>
    </row>
    <row r="107" spans="1:7" s="50" customFormat="1" ht="15" customHeight="1" x14ac:dyDescent="0.2">
      <c r="A107" s="72"/>
      <c r="B107" s="73"/>
      <c r="C107" s="74"/>
      <c r="D107" s="94" t="s">
        <v>51</v>
      </c>
      <c r="E107" s="76"/>
      <c r="G107" s="51"/>
    </row>
    <row r="108" spans="1:7" s="50" customFormat="1" ht="15" customHeight="1" x14ac:dyDescent="0.2">
      <c r="A108" s="77"/>
      <c r="B108" s="78"/>
      <c r="C108" s="79"/>
      <c r="D108" s="124" t="s">
        <v>115</v>
      </c>
      <c r="E108" s="81"/>
      <c r="G108" s="51"/>
    </row>
    <row r="109" spans="1:7" s="50" customFormat="1" ht="15" customHeight="1" x14ac:dyDescent="0.2">
      <c r="A109" s="77"/>
      <c r="B109" s="78"/>
      <c r="C109" s="79"/>
      <c r="D109" s="124" t="s">
        <v>116</v>
      </c>
      <c r="E109" s="81"/>
      <c r="G109" s="51"/>
    </row>
    <row r="110" spans="1:7" s="50" customFormat="1" ht="25.5" customHeight="1" x14ac:dyDescent="0.2">
      <c r="A110" s="77"/>
      <c r="B110" s="78"/>
      <c r="C110" s="79"/>
      <c r="D110" s="127" t="s">
        <v>117</v>
      </c>
      <c r="E110" s="136"/>
      <c r="G110" s="51"/>
    </row>
    <row r="111" spans="1:7" s="50" customFormat="1" ht="15.75" customHeight="1" x14ac:dyDescent="0.2">
      <c r="A111" s="70">
        <v>8</v>
      </c>
      <c r="B111" s="70">
        <v>801</v>
      </c>
      <c r="C111" s="70">
        <v>80120</v>
      </c>
      <c r="D111" s="71" t="s">
        <v>52</v>
      </c>
      <c r="E111" s="64">
        <f>6769589+14576.58+11167.36-450000-100000+250000+180000-50000-25000</f>
        <v>6600332.9400000004</v>
      </c>
      <c r="G111" s="51"/>
    </row>
    <row r="112" spans="1:7" s="50" customFormat="1" ht="13.5" customHeight="1" x14ac:dyDescent="0.2">
      <c r="A112" s="77"/>
      <c r="B112" s="78"/>
      <c r="C112" s="79"/>
      <c r="D112" s="122" t="s">
        <v>118</v>
      </c>
      <c r="E112" s="88"/>
      <c r="G112" s="51"/>
    </row>
    <row r="113" spans="1:7" s="50" customFormat="1" ht="13.5" customHeight="1" x14ac:dyDescent="0.2">
      <c r="A113" s="77"/>
      <c r="B113" s="78"/>
      <c r="C113" s="79"/>
      <c r="D113" s="122" t="s">
        <v>119</v>
      </c>
      <c r="E113" s="88"/>
      <c r="G113" s="51"/>
    </row>
    <row r="114" spans="1:7" s="50" customFormat="1" ht="13.5" customHeight="1" x14ac:dyDescent="0.2">
      <c r="A114" s="77"/>
      <c r="B114" s="78"/>
      <c r="C114" s="79"/>
      <c r="D114" s="126" t="s">
        <v>120</v>
      </c>
      <c r="E114" s="88"/>
      <c r="G114" s="51"/>
    </row>
    <row r="115" spans="1:7" s="50" customFormat="1" ht="24.75" customHeight="1" x14ac:dyDescent="0.2">
      <c r="A115" s="77"/>
      <c r="B115" s="78"/>
      <c r="C115" s="79"/>
      <c r="D115" s="124" t="s">
        <v>121</v>
      </c>
      <c r="E115" s="81"/>
      <c r="G115" s="51"/>
    </row>
    <row r="116" spans="1:7" s="50" customFormat="1" ht="13.5" customHeight="1" x14ac:dyDescent="0.2">
      <c r="A116" s="77"/>
      <c r="B116" s="78"/>
      <c r="C116" s="79"/>
      <c r="D116" s="126" t="s">
        <v>122</v>
      </c>
      <c r="E116" s="88"/>
      <c r="G116" s="51"/>
    </row>
    <row r="117" spans="1:7" s="50" customFormat="1" ht="15" customHeight="1" x14ac:dyDescent="0.2">
      <c r="A117" s="77"/>
      <c r="B117" s="78"/>
      <c r="C117" s="79"/>
      <c r="D117" s="122" t="s">
        <v>123</v>
      </c>
      <c r="E117" s="88"/>
      <c r="G117" s="51"/>
    </row>
    <row r="118" spans="1:7" s="50" customFormat="1" ht="25.5" customHeight="1" x14ac:dyDescent="0.2">
      <c r="A118" s="77"/>
      <c r="B118" s="78"/>
      <c r="C118" s="79"/>
      <c r="D118" s="130" t="s">
        <v>124</v>
      </c>
      <c r="E118" s="81"/>
      <c r="G118" s="51"/>
    </row>
    <row r="119" spans="1:7" s="50" customFormat="1" ht="25.5" customHeight="1" x14ac:dyDescent="0.2">
      <c r="A119" s="82"/>
      <c r="B119" s="83"/>
      <c r="C119" s="84"/>
      <c r="D119" s="137" t="s">
        <v>54</v>
      </c>
      <c r="E119" s="86"/>
      <c r="G119" s="51"/>
    </row>
    <row r="120" spans="1:7" s="50" customFormat="1" ht="25.5" customHeight="1" x14ac:dyDescent="0.2">
      <c r="A120" s="77"/>
      <c r="B120" s="78"/>
      <c r="C120" s="79"/>
      <c r="D120" s="96" t="s">
        <v>55</v>
      </c>
      <c r="E120" s="81"/>
      <c r="G120" s="51"/>
    </row>
    <row r="121" spans="1:7" s="50" customFormat="1" ht="13.5" customHeight="1" x14ac:dyDescent="0.2">
      <c r="A121" s="77"/>
      <c r="B121" s="78"/>
      <c r="C121" s="79"/>
      <c r="D121" s="91" t="s">
        <v>125</v>
      </c>
      <c r="E121" s="81"/>
      <c r="G121" s="51"/>
    </row>
    <row r="122" spans="1:7" s="50" customFormat="1" ht="13.5" customHeight="1" x14ac:dyDescent="0.2">
      <c r="A122" s="82"/>
      <c r="B122" s="83"/>
      <c r="C122" s="84"/>
      <c r="D122" s="85" t="s">
        <v>53</v>
      </c>
      <c r="E122" s="86"/>
      <c r="G122" s="51"/>
    </row>
    <row r="123" spans="1:7" s="50" customFormat="1" ht="51" customHeight="1" x14ac:dyDescent="0.2">
      <c r="A123" s="66">
        <v>9</v>
      </c>
      <c r="B123" s="66">
        <v>801</v>
      </c>
      <c r="C123" s="66">
        <v>80149</v>
      </c>
      <c r="D123" s="67" t="s">
        <v>126</v>
      </c>
      <c r="E123" s="68">
        <f>2707080-430000-7000+250000-10000-25000-7000</f>
        <v>2478080</v>
      </c>
      <c r="G123" s="51"/>
    </row>
    <row r="124" spans="1:7" s="50" customFormat="1" ht="25.5" customHeight="1" x14ac:dyDescent="0.2">
      <c r="A124" s="72"/>
      <c r="B124" s="73"/>
      <c r="C124" s="74"/>
      <c r="D124" s="128" t="s">
        <v>87</v>
      </c>
      <c r="E124" s="76"/>
      <c r="G124" s="51"/>
    </row>
    <row r="125" spans="1:7" s="50" customFormat="1" ht="13.5" customHeight="1" x14ac:dyDescent="0.2">
      <c r="A125" s="77"/>
      <c r="B125" s="78"/>
      <c r="C125" s="79"/>
      <c r="D125" s="96" t="s">
        <v>47</v>
      </c>
      <c r="E125" s="81"/>
      <c r="G125" s="51"/>
    </row>
    <row r="126" spans="1:7" s="50" customFormat="1" ht="13.5" customHeight="1" x14ac:dyDescent="0.2">
      <c r="A126" s="77"/>
      <c r="B126" s="78"/>
      <c r="C126" s="79"/>
      <c r="D126" s="125" t="s">
        <v>127</v>
      </c>
      <c r="E126" s="88"/>
      <c r="G126" s="51"/>
    </row>
    <row r="127" spans="1:7" s="50" customFormat="1" ht="13.5" customHeight="1" x14ac:dyDescent="0.2">
      <c r="A127" s="77"/>
      <c r="B127" s="78"/>
      <c r="C127" s="79"/>
      <c r="D127" s="130" t="s">
        <v>86</v>
      </c>
      <c r="E127" s="81"/>
      <c r="G127" s="51"/>
    </row>
    <row r="128" spans="1:7" s="50" customFormat="1" ht="13.5" customHeight="1" x14ac:dyDescent="0.2">
      <c r="A128" s="77"/>
      <c r="B128" s="78"/>
      <c r="C128" s="79"/>
      <c r="D128" s="87" t="s">
        <v>46</v>
      </c>
      <c r="E128" s="88"/>
      <c r="G128" s="51"/>
    </row>
    <row r="129" spans="1:7" s="50" customFormat="1" ht="13.5" customHeight="1" x14ac:dyDescent="0.2">
      <c r="A129" s="77"/>
      <c r="B129" s="78"/>
      <c r="C129" s="79"/>
      <c r="D129" s="125" t="s">
        <v>128</v>
      </c>
      <c r="E129" s="88"/>
      <c r="G129" s="51"/>
    </row>
    <row r="130" spans="1:7" s="50" customFormat="1" ht="13.5" customHeight="1" x14ac:dyDescent="0.2">
      <c r="A130" s="77"/>
      <c r="B130" s="78"/>
      <c r="C130" s="79"/>
      <c r="D130" s="125" t="s">
        <v>129</v>
      </c>
      <c r="E130" s="88"/>
      <c r="G130" s="51"/>
    </row>
    <row r="131" spans="1:7" s="50" customFormat="1" ht="13.5" customHeight="1" x14ac:dyDescent="0.2">
      <c r="A131" s="77"/>
      <c r="B131" s="78"/>
      <c r="C131" s="79"/>
      <c r="D131" s="125" t="s">
        <v>43</v>
      </c>
      <c r="E131" s="88"/>
      <c r="G131" s="51"/>
    </row>
    <row r="132" spans="1:7" s="50" customFormat="1" ht="13.5" customHeight="1" x14ac:dyDescent="0.2">
      <c r="A132" s="77"/>
      <c r="B132" s="78"/>
      <c r="C132" s="79"/>
      <c r="D132" s="125" t="s">
        <v>90</v>
      </c>
      <c r="E132" s="88"/>
      <c r="G132" s="51"/>
    </row>
    <row r="133" spans="1:7" s="50" customFormat="1" ht="13.5" customHeight="1" x14ac:dyDescent="0.2">
      <c r="A133" s="77"/>
      <c r="B133" s="78"/>
      <c r="C133" s="79"/>
      <c r="D133" s="87" t="s">
        <v>45</v>
      </c>
      <c r="E133" s="88"/>
      <c r="G133" s="51"/>
    </row>
    <row r="134" spans="1:7" s="50" customFormat="1" ht="13.5" customHeight="1" x14ac:dyDescent="0.2">
      <c r="A134" s="77"/>
      <c r="B134" s="78"/>
      <c r="C134" s="79"/>
      <c r="D134" s="125" t="s">
        <v>95</v>
      </c>
      <c r="E134" s="88"/>
      <c r="G134" s="51"/>
    </row>
    <row r="135" spans="1:7" s="50" customFormat="1" ht="15" customHeight="1" x14ac:dyDescent="0.2">
      <c r="A135" s="82"/>
      <c r="B135" s="83"/>
      <c r="C135" s="84"/>
      <c r="D135" s="137" t="s">
        <v>93</v>
      </c>
      <c r="E135" s="86"/>
      <c r="G135" s="51"/>
    </row>
    <row r="136" spans="1:7" s="50" customFormat="1" ht="39" customHeight="1" x14ac:dyDescent="0.2">
      <c r="A136" s="66">
        <v>10</v>
      </c>
      <c r="B136" s="66">
        <v>801</v>
      </c>
      <c r="C136" s="66">
        <v>80150</v>
      </c>
      <c r="D136" s="67" t="s">
        <v>130</v>
      </c>
      <c r="E136" s="68">
        <f>165299+20000+40000+20000+10000-10000-20000</f>
        <v>225299</v>
      </c>
      <c r="G136" s="51"/>
    </row>
    <row r="137" spans="1:7" s="50" customFormat="1" ht="13.5" customHeight="1" x14ac:dyDescent="0.2">
      <c r="A137" s="72"/>
      <c r="B137" s="73"/>
      <c r="C137" s="74"/>
      <c r="D137" s="128" t="s">
        <v>41</v>
      </c>
      <c r="E137" s="76"/>
      <c r="G137" s="51"/>
    </row>
    <row r="138" spans="1:7" s="50" customFormat="1" ht="13.5" customHeight="1" x14ac:dyDescent="0.2">
      <c r="A138" s="77"/>
      <c r="B138" s="78"/>
      <c r="C138" s="79"/>
      <c r="D138" s="96" t="s">
        <v>43</v>
      </c>
      <c r="E138" s="81"/>
      <c r="G138" s="51"/>
    </row>
    <row r="139" spans="1:7" s="51" customFormat="1" ht="25.5" customHeight="1" x14ac:dyDescent="0.2">
      <c r="A139" s="77"/>
      <c r="B139" s="78"/>
      <c r="C139" s="79"/>
      <c r="D139" s="122" t="s">
        <v>131</v>
      </c>
      <c r="E139" s="88"/>
      <c r="F139" s="50"/>
    </row>
    <row r="140" spans="1:7" s="51" customFormat="1" ht="15.75" customHeight="1" x14ac:dyDescent="0.2">
      <c r="A140" s="82"/>
      <c r="B140" s="83"/>
      <c r="C140" s="84"/>
      <c r="D140" s="127" t="s">
        <v>79</v>
      </c>
      <c r="E140" s="86"/>
      <c r="F140" s="123"/>
    </row>
    <row r="141" spans="1:7" s="51" customFormat="1" ht="13.5" customHeight="1" x14ac:dyDescent="0.2">
      <c r="A141" s="70">
        <v>11</v>
      </c>
      <c r="B141" s="70">
        <v>801</v>
      </c>
      <c r="C141" s="70">
        <v>80151</v>
      </c>
      <c r="D141" s="92" t="s">
        <v>132</v>
      </c>
      <c r="E141" s="64">
        <f>108410-52000-50000-6000</f>
        <v>410</v>
      </c>
      <c r="F141" s="50"/>
    </row>
    <row r="142" spans="1:7" s="51" customFormat="1" ht="13.5" customHeight="1" x14ac:dyDescent="0.2">
      <c r="A142" s="71"/>
      <c r="B142" s="92"/>
      <c r="C142" s="93"/>
      <c r="D142" s="138" t="s">
        <v>133</v>
      </c>
      <c r="E142" s="64"/>
      <c r="F142" s="50"/>
    </row>
    <row r="143" spans="1:7" s="51" customFormat="1" ht="13.5" customHeight="1" x14ac:dyDescent="0.2">
      <c r="A143" s="82"/>
      <c r="B143" s="83"/>
      <c r="C143" s="84"/>
      <c r="D143" s="139" t="s">
        <v>110</v>
      </c>
      <c r="E143" s="86"/>
      <c r="F143" s="50"/>
    </row>
    <row r="144" spans="1:7" s="51" customFormat="1" ht="114" customHeight="1" x14ac:dyDescent="0.2">
      <c r="A144" s="66">
        <v>12</v>
      </c>
      <c r="B144" s="66">
        <v>801</v>
      </c>
      <c r="C144" s="66">
        <v>80152</v>
      </c>
      <c r="D144" s="67" t="s">
        <v>134</v>
      </c>
      <c r="E144" s="68">
        <f>413835+30000+100000+30000-10000-20000</f>
        <v>543835</v>
      </c>
      <c r="F144" s="50"/>
    </row>
    <row r="145" spans="1:7" s="51" customFormat="1" ht="12.75" customHeight="1" x14ac:dyDescent="0.2">
      <c r="A145" s="72"/>
      <c r="B145" s="73"/>
      <c r="C145" s="74"/>
      <c r="D145" s="140" t="s">
        <v>51</v>
      </c>
      <c r="E145" s="76"/>
      <c r="F145" s="50"/>
    </row>
    <row r="146" spans="1:7" s="51" customFormat="1" ht="15" customHeight="1" x14ac:dyDescent="0.2">
      <c r="A146" s="77"/>
      <c r="B146" s="78"/>
      <c r="C146" s="79"/>
      <c r="D146" s="87" t="s">
        <v>53</v>
      </c>
      <c r="E146" s="88"/>
      <c r="F146" s="50"/>
    </row>
    <row r="147" spans="1:7" s="51" customFormat="1" ht="22.9" customHeight="1" x14ac:dyDescent="0.2">
      <c r="A147" s="77"/>
      <c r="B147" s="78"/>
      <c r="C147" s="79"/>
      <c r="D147" s="141" t="s">
        <v>99</v>
      </c>
      <c r="E147" s="88"/>
      <c r="F147" s="50"/>
    </row>
    <row r="148" spans="1:7" s="51" customFormat="1" ht="22.9" customHeight="1" x14ac:dyDescent="0.2">
      <c r="A148" s="77"/>
      <c r="B148" s="78"/>
      <c r="C148" s="79"/>
      <c r="D148" s="122" t="s">
        <v>117</v>
      </c>
      <c r="E148" s="88"/>
      <c r="F148" s="50"/>
    </row>
    <row r="149" spans="1:7" s="51" customFormat="1" ht="23.25" customHeight="1" x14ac:dyDescent="0.2">
      <c r="A149" s="82"/>
      <c r="B149" s="83"/>
      <c r="C149" s="84"/>
      <c r="D149" s="137" t="s">
        <v>55</v>
      </c>
      <c r="E149" s="86"/>
      <c r="F149" s="50"/>
    </row>
    <row r="150" spans="1:7" s="51" customFormat="1" ht="15.75" customHeight="1" x14ac:dyDescent="0.2">
      <c r="A150" s="142">
        <v>13</v>
      </c>
      <c r="B150" s="142">
        <v>853</v>
      </c>
      <c r="C150" s="142">
        <v>85311</v>
      </c>
      <c r="D150" s="83" t="s">
        <v>135</v>
      </c>
      <c r="E150" s="86">
        <f>190800+10005+15000</f>
        <v>215805</v>
      </c>
      <c r="F150" s="50"/>
    </row>
    <row r="151" spans="1:7" s="51" customFormat="1" ht="15" customHeight="1" x14ac:dyDescent="0.2">
      <c r="A151" s="71"/>
      <c r="B151" s="92"/>
      <c r="C151" s="84"/>
      <c r="D151" s="129" t="s">
        <v>136</v>
      </c>
      <c r="E151" s="86"/>
      <c r="F151" s="50"/>
    </row>
    <row r="152" spans="1:7" s="51" customFormat="1" ht="15.75" customHeight="1" x14ac:dyDescent="0.2">
      <c r="A152" s="70">
        <v>14</v>
      </c>
      <c r="B152" s="70">
        <v>854</v>
      </c>
      <c r="C152" s="70">
        <v>85402</v>
      </c>
      <c r="D152" s="92" t="s">
        <v>137</v>
      </c>
      <c r="E152" s="64">
        <f>706538+70000+160000+3574.51</f>
        <v>940112.51</v>
      </c>
      <c r="F152" s="50"/>
    </row>
    <row r="153" spans="1:7" s="51" customFormat="1" ht="23.25" customHeight="1" x14ac:dyDescent="0.2">
      <c r="A153" s="71"/>
      <c r="B153" s="92"/>
      <c r="C153" s="93"/>
      <c r="D153" s="143" t="s">
        <v>138</v>
      </c>
      <c r="E153" s="64"/>
      <c r="F153" s="50"/>
    </row>
    <row r="154" spans="1:7" s="51" customFormat="1" ht="15.75" customHeight="1" x14ac:dyDescent="0.2">
      <c r="A154" s="70">
        <v>15</v>
      </c>
      <c r="B154" s="70">
        <v>854</v>
      </c>
      <c r="C154" s="70">
        <v>85404</v>
      </c>
      <c r="D154" s="92" t="s">
        <v>139</v>
      </c>
      <c r="E154" s="64">
        <f>500188+15500</f>
        <v>515688</v>
      </c>
      <c r="F154" s="50"/>
    </row>
    <row r="155" spans="1:7" s="51" customFormat="1" ht="13.5" customHeight="1" x14ac:dyDescent="0.2">
      <c r="A155" s="71"/>
      <c r="B155" s="92"/>
      <c r="C155" s="93"/>
      <c r="D155" s="144" t="s">
        <v>93</v>
      </c>
      <c r="E155" s="64"/>
      <c r="F155" s="50"/>
    </row>
    <row r="156" spans="1:7" s="50" customFormat="1" ht="13.5" customHeight="1" x14ac:dyDescent="0.2">
      <c r="A156" s="72"/>
      <c r="B156" s="73"/>
      <c r="C156" s="74"/>
      <c r="D156" s="75" t="s">
        <v>46</v>
      </c>
      <c r="E156" s="76"/>
      <c r="G156" s="51"/>
    </row>
    <row r="157" spans="1:7" s="50" customFormat="1" ht="24.75" customHeight="1" x14ac:dyDescent="0.2">
      <c r="A157" s="77"/>
      <c r="B157" s="78"/>
      <c r="C157" s="79"/>
      <c r="D157" s="96" t="s">
        <v>140</v>
      </c>
      <c r="E157" s="81"/>
      <c r="G157" s="51"/>
    </row>
    <row r="158" spans="1:7" s="50" customFormat="1" ht="13.5" customHeight="1" x14ac:dyDescent="0.2">
      <c r="A158" s="77"/>
      <c r="B158" s="78"/>
      <c r="C158" s="79"/>
      <c r="D158" s="96" t="s">
        <v>127</v>
      </c>
      <c r="E158" s="81"/>
      <c r="G158" s="51"/>
    </row>
    <row r="159" spans="1:7" s="50" customFormat="1" ht="13.5" customHeight="1" x14ac:dyDescent="0.2">
      <c r="A159" s="77"/>
      <c r="B159" s="78"/>
      <c r="C159" s="79"/>
      <c r="D159" s="87" t="s">
        <v>48</v>
      </c>
      <c r="E159" s="88"/>
      <c r="G159" s="51"/>
    </row>
    <row r="160" spans="1:7" s="50" customFormat="1" ht="13.5" customHeight="1" x14ac:dyDescent="0.2">
      <c r="A160" s="77"/>
      <c r="B160" s="78"/>
      <c r="C160" s="79"/>
      <c r="D160" s="125" t="s">
        <v>128</v>
      </c>
      <c r="E160" s="88"/>
      <c r="G160" s="51"/>
    </row>
    <row r="161" spans="1:7" s="50" customFormat="1" ht="13.5" customHeight="1" x14ac:dyDescent="0.2">
      <c r="A161" s="77"/>
      <c r="B161" s="78"/>
      <c r="C161" s="79"/>
      <c r="D161" s="96" t="s">
        <v>90</v>
      </c>
      <c r="E161" s="81"/>
      <c r="G161" s="51"/>
    </row>
    <row r="162" spans="1:7" s="50" customFormat="1" ht="13.5" customHeight="1" x14ac:dyDescent="0.2">
      <c r="A162" s="77"/>
      <c r="B162" s="78"/>
      <c r="C162" s="79"/>
      <c r="D162" s="130" t="s">
        <v>86</v>
      </c>
      <c r="E162" s="81"/>
      <c r="G162" s="51"/>
    </row>
    <row r="163" spans="1:7" s="50" customFormat="1" ht="13.5" customHeight="1" x14ac:dyDescent="0.2">
      <c r="A163" s="77"/>
      <c r="B163" s="78"/>
      <c r="C163" s="79"/>
      <c r="D163" s="87" t="s">
        <v>45</v>
      </c>
      <c r="E163" s="88"/>
      <c r="G163" s="51"/>
    </row>
    <row r="164" spans="1:7" s="50" customFormat="1" ht="14.25" customHeight="1" x14ac:dyDescent="0.2">
      <c r="A164" s="82"/>
      <c r="B164" s="83"/>
      <c r="C164" s="84"/>
      <c r="D164" s="137" t="s">
        <v>129</v>
      </c>
      <c r="E164" s="86"/>
      <c r="G164" s="51"/>
    </row>
    <row r="165" spans="1:7" s="50" customFormat="1" ht="25.5" customHeight="1" x14ac:dyDescent="0.2">
      <c r="A165" s="66">
        <v>16</v>
      </c>
      <c r="B165" s="66">
        <v>854</v>
      </c>
      <c r="C165" s="66">
        <v>85406</v>
      </c>
      <c r="D165" s="145" t="s">
        <v>141</v>
      </c>
      <c r="E165" s="64">
        <f>217601-70000-90000+135.86</f>
        <v>57736.86</v>
      </c>
      <c r="G165" s="51"/>
    </row>
    <row r="166" spans="1:7" s="50" customFormat="1" ht="12.75" customHeight="1" x14ac:dyDescent="0.2">
      <c r="A166" s="72"/>
      <c r="B166" s="73"/>
      <c r="C166" s="74"/>
      <c r="D166" s="146" t="s">
        <v>142</v>
      </c>
      <c r="E166" s="76"/>
      <c r="G166" s="51"/>
    </row>
    <row r="167" spans="1:7" s="50" customFormat="1" ht="37.5" customHeight="1" x14ac:dyDescent="0.2">
      <c r="A167" s="82"/>
      <c r="B167" s="83"/>
      <c r="C167" s="84"/>
      <c r="D167" s="147" t="s">
        <v>143</v>
      </c>
      <c r="E167" s="86"/>
      <c r="G167" s="51"/>
    </row>
    <row r="168" spans="1:7" s="50" customFormat="1" ht="13.5" customHeight="1" x14ac:dyDescent="0.2">
      <c r="A168" s="70">
        <v>17</v>
      </c>
      <c r="B168" s="70">
        <v>854</v>
      </c>
      <c r="C168" s="70">
        <v>85410</v>
      </c>
      <c r="D168" s="92" t="s">
        <v>144</v>
      </c>
      <c r="E168" s="64">
        <f>952007-70000+100000+100000</f>
        <v>1082007</v>
      </c>
      <c r="G168" s="51"/>
    </row>
    <row r="169" spans="1:7" s="50" customFormat="1" ht="12.75" customHeight="1" x14ac:dyDescent="0.2">
      <c r="A169" s="71"/>
      <c r="B169" s="92"/>
      <c r="C169" s="93"/>
      <c r="D169" s="129" t="s">
        <v>145</v>
      </c>
      <c r="E169" s="64"/>
      <c r="G169" s="51"/>
    </row>
    <row r="170" spans="1:7" s="50" customFormat="1" ht="14.25" customHeight="1" x14ac:dyDescent="0.2">
      <c r="A170" s="355"/>
      <c r="B170" s="356"/>
      <c r="C170" s="356"/>
      <c r="D170" s="356" t="s">
        <v>76</v>
      </c>
      <c r="E170" s="357">
        <f>SUM(E58:E169)</f>
        <v>43494156.029999994</v>
      </c>
      <c r="G170" s="51"/>
    </row>
    <row r="171" spans="1:7" s="50" customFormat="1" ht="15.75" customHeight="1" x14ac:dyDescent="0.2">
      <c r="A171" s="148"/>
      <c r="B171" s="149"/>
      <c r="C171" s="149"/>
      <c r="D171" s="149" t="s">
        <v>16</v>
      </c>
      <c r="E171" s="150">
        <f>SUM(E55,E170)</f>
        <v>64041456.299999997</v>
      </c>
      <c r="G171" s="51"/>
    </row>
    <row r="173" spans="1:7" s="50" customFormat="1" ht="12.6" customHeight="1" x14ac:dyDescent="0.2">
      <c r="A173" s="358"/>
      <c r="B173" s="351"/>
      <c r="C173" s="351"/>
      <c r="D173" s="351"/>
      <c r="E173" s="359"/>
      <c r="G173" s="51"/>
    </row>
    <row r="175" spans="1:7" s="50" customFormat="1" x14ac:dyDescent="0.2">
      <c r="A175" s="351"/>
      <c r="B175" s="351"/>
      <c r="C175" s="351"/>
      <c r="D175" s="351"/>
      <c r="E175" s="359"/>
      <c r="G175" s="51"/>
    </row>
    <row r="177" spans="1:7" s="50" customFormat="1" x14ac:dyDescent="0.2">
      <c r="A177" s="351"/>
      <c r="B177" s="351"/>
      <c r="C177" s="351"/>
      <c r="D177" s="351"/>
      <c r="E177" s="360"/>
      <c r="G177" s="51"/>
    </row>
  </sheetData>
  <pageMargins left="0.51181102362204722" right="0.51181102362204722" top="0.74803149606299213" bottom="0.59055118110236227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E70C-56C0-4291-9A28-2B3B1B43FDAE}">
  <sheetPr>
    <tabColor rgb="FF00CCFF"/>
  </sheetPr>
  <dimension ref="A1:BX203"/>
  <sheetViews>
    <sheetView zoomScale="140" zoomScaleNormal="140" workbookViewId="0"/>
  </sheetViews>
  <sheetFormatPr defaultRowHeight="15" x14ac:dyDescent="0.25"/>
  <cols>
    <col min="1" max="1" width="4.85546875" style="361" customWidth="1"/>
    <col min="2" max="2" width="33.42578125" style="361" customWidth="1"/>
    <col min="3" max="3" width="8.5703125" style="361" customWidth="1"/>
    <col min="4" max="4" width="9.42578125" style="361" customWidth="1"/>
    <col min="5" max="5" width="8.140625" style="361" customWidth="1"/>
    <col min="6" max="6" width="13" customWidth="1"/>
    <col min="7" max="7" width="12.85546875" customWidth="1"/>
    <col min="9" max="9" width="12.42578125" customWidth="1"/>
    <col min="77" max="253" width="9.140625" style="361"/>
    <col min="254" max="254" width="5.28515625" style="361" customWidth="1"/>
    <col min="255" max="255" width="8" style="361" customWidth="1"/>
    <col min="256" max="256" width="5.85546875" style="361" customWidth="1"/>
    <col min="257" max="257" width="9.42578125" style="361" customWidth="1"/>
    <col min="258" max="258" width="11.28515625" style="361" customWidth="1"/>
    <col min="259" max="259" width="11" style="361" customWidth="1"/>
    <col min="260" max="260" width="13.140625" style="361" customWidth="1"/>
    <col min="261" max="261" width="11.7109375" style="361" customWidth="1"/>
    <col min="262" max="262" width="11.140625" style="361" customWidth="1"/>
    <col min="263" max="263" width="11.7109375" style="361" customWidth="1"/>
    <col min="264" max="509" width="9.140625" style="361"/>
    <col min="510" max="510" width="5.28515625" style="361" customWidth="1"/>
    <col min="511" max="511" width="8" style="361" customWidth="1"/>
    <col min="512" max="512" width="5.85546875" style="361" customWidth="1"/>
    <col min="513" max="513" width="9.42578125" style="361" customWidth="1"/>
    <col min="514" max="514" width="11.28515625" style="361" customWidth="1"/>
    <col min="515" max="515" width="11" style="361" customWidth="1"/>
    <col min="516" max="516" width="13.140625" style="361" customWidth="1"/>
    <col min="517" max="517" width="11.7109375" style="361" customWidth="1"/>
    <col min="518" max="518" width="11.140625" style="361" customWidth="1"/>
    <col min="519" max="519" width="11.7109375" style="361" customWidth="1"/>
    <col min="520" max="765" width="9.140625" style="361"/>
    <col min="766" max="766" width="5.28515625" style="361" customWidth="1"/>
    <col min="767" max="767" width="8" style="361" customWidth="1"/>
    <col min="768" max="768" width="5.85546875" style="361" customWidth="1"/>
    <col min="769" max="769" width="9.42578125" style="361" customWidth="1"/>
    <col min="770" max="770" width="11.28515625" style="361" customWidth="1"/>
    <col min="771" max="771" width="11" style="361" customWidth="1"/>
    <col min="772" max="772" width="13.140625" style="361" customWidth="1"/>
    <col min="773" max="773" width="11.7109375" style="361" customWidth="1"/>
    <col min="774" max="774" width="11.140625" style="361" customWidth="1"/>
    <col min="775" max="775" width="11.7109375" style="361" customWidth="1"/>
    <col min="776" max="1021" width="9.140625" style="361"/>
    <col min="1022" max="1022" width="5.28515625" style="361" customWidth="1"/>
    <col min="1023" max="1023" width="8" style="361" customWidth="1"/>
    <col min="1024" max="1024" width="5.85546875" style="361" customWidth="1"/>
    <col min="1025" max="1025" width="9.42578125" style="361" customWidth="1"/>
    <col min="1026" max="1026" width="11.28515625" style="361" customWidth="1"/>
    <col min="1027" max="1027" width="11" style="361" customWidth="1"/>
    <col min="1028" max="1028" width="13.140625" style="361" customWidth="1"/>
    <col min="1029" max="1029" width="11.7109375" style="361" customWidth="1"/>
    <col min="1030" max="1030" width="11.140625" style="361" customWidth="1"/>
    <col min="1031" max="1031" width="11.7109375" style="361" customWidth="1"/>
    <col min="1032" max="1277" width="9.140625" style="361"/>
    <col min="1278" max="1278" width="5.28515625" style="361" customWidth="1"/>
    <col min="1279" max="1279" width="8" style="361" customWidth="1"/>
    <col min="1280" max="1280" width="5.85546875" style="361" customWidth="1"/>
    <col min="1281" max="1281" width="9.42578125" style="361" customWidth="1"/>
    <col min="1282" max="1282" width="11.28515625" style="361" customWidth="1"/>
    <col min="1283" max="1283" width="11" style="361" customWidth="1"/>
    <col min="1284" max="1284" width="13.140625" style="361" customWidth="1"/>
    <col min="1285" max="1285" width="11.7109375" style="361" customWidth="1"/>
    <col min="1286" max="1286" width="11.140625" style="361" customWidth="1"/>
    <col min="1287" max="1287" width="11.7109375" style="361" customWidth="1"/>
    <col min="1288" max="1533" width="9.140625" style="361"/>
    <col min="1534" max="1534" width="5.28515625" style="361" customWidth="1"/>
    <col min="1535" max="1535" width="8" style="361" customWidth="1"/>
    <col min="1536" max="1536" width="5.85546875" style="361" customWidth="1"/>
    <col min="1537" max="1537" width="9.42578125" style="361" customWidth="1"/>
    <col min="1538" max="1538" width="11.28515625" style="361" customWidth="1"/>
    <col min="1539" max="1539" width="11" style="361" customWidth="1"/>
    <col min="1540" max="1540" width="13.140625" style="361" customWidth="1"/>
    <col min="1541" max="1541" width="11.7109375" style="361" customWidth="1"/>
    <col min="1542" max="1542" width="11.140625" style="361" customWidth="1"/>
    <col min="1543" max="1543" width="11.7109375" style="361" customWidth="1"/>
    <col min="1544" max="1789" width="9.140625" style="361"/>
    <col min="1790" max="1790" width="5.28515625" style="361" customWidth="1"/>
    <col min="1791" max="1791" width="8" style="361" customWidth="1"/>
    <col min="1792" max="1792" width="5.85546875" style="361" customWidth="1"/>
    <col min="1793" max="1793" width="9.42578125" style="361" customWidth="1"/>
    <col min="1794" max="1794" width="11.28515625" style="361" customWidth="1"/>
    <col min="1795" max="1795" width="11" style="361" customWidth="1"/>
    <col min="1796" max="1796" width="13.140625" style="361" customWidth="1"/>
    <col min="1797" max="1797" width="11.7109375" style="361" customWidth="1"/>
    <col min="1798" max="1798" width="11.140625" style="361" customWidth="1"/>
    <col min="1799" max="1799" width="11.7109375" style="361" customWidth="1"/>
    <col min="1800" max="2045" width="9.140625" style="361"/>
    <col min="2046" max="2046" width="5.28515625" style="361" customWidth="1"/>
    <col min="2047" max="2047" width="8" style="361" customWidth="1"/>
    <col min="2048" max="2048" width="5.85546875" style="361" customWidth="1"/>
    <col min="2049" max="2049" width="9.42578125" style="361" customWidth="1"/>
    <col min="2050" max="2050" width="11.28515625" style="361" customWidth="1"/>
    <col min="2051" max="2051" width="11" style="361" customWidth="1"/>
    <col min="2052" max="2052" width="13.140625" style="361" customWidth="1"/>
    <col min="2053" max="2053" width="11.7109375" style="361" customWidth="1"/>
    <col min="2054" max="2054" width="11.140625" style="361" customWidth="1"/>
    <col min="2055" max="2055" width="11.7109375" style="361" customWidth="1"/>
    <col min="2056" max="2301" width="9.140625" style="361"/>
    <col min="2302" max="2302" width="5.28515625" style="361" customWidth="1"/>
    <col min="2303" max="2303" width="8" style="361" customWidth="1"/>
    <col min="2304" max="2304" width="5.85546875" style="361" customWidth="1"/>
    <col min="2305" max="2305" width="9.42578125" style="361" customWidth="1"/>
    <col min="2306" max="2306" width="11.28515625" style="361" customWidth="1"/>
    <col min="2307" max="2307" width="11" style="361" customWidth="1"/>
    <col min="2308" max="2308" width="13.140625" style="361" customWidth="1"/>
    <col min="2309" max="2309" width="11.7109375" style="361" customWidth="1"/>
    <col min="2310" max="2310" width="11.140625" style="361" customWidth="1"/>
    <col min="2311" max="2311" width="11.7109375" style="361" customWidth="1"/>
    <col min="2312" max="2557" width="9.140625" style="361"/>
    <col min="2558" max="2558" width="5.28515625" style="361" customWidth="1"/>
    <col min="2559" max="2559" width="8" style="361" customWidth="1"/>
    <col min="2560" max="2560" width="5.85546875" style="361" customWidth="1"/>
    <col min="2561" max="2561" width="9.42578125" style="361" customWidth="1"/>
    <col min="2562" max="2562" width="11.28515625" style="361" customWidth="1"/>
    <col min="2563" max="2563" width="11" style="361" customWidth="1"/>
    <col min="2564" max="2564" width="13.140625" style="361" customWidth="1"/>
    <col min="2565" max="2565" width="11.7109375" style="361" customWidth="1"/>
    <col min="2566" max="2566" width="11.140625" style="361" customWidth="1"/>
    <col min="2567" max="2567" width="11.7109375" style="361" customWidth="1"/>
    <col min="2568" max="2813" width="9.140625" style="361"/>
    <col min="2814" max="2814" width="5.28515625" style="361" customWidth="1"/>
    <col min="2815" max="2815" width="8" style="361" customWidth="1"/>
    <col min="2816" max="2816" width="5.85546875" style="361" customWidth="1"/>
    <col min="2817" max="2817" width="9.42578125" style="361" customWidth="1"/>
    <col min="2818" max="2818" width="11.28515625" style="361" customWidth="1"/>
    <col min="2819" max="2819" width="11" style="361" customWidth="1"/>
    <col min="2820" max="2820" width="13.140625" style="361" customWidth="1"/>
    <col min="2821" max="2821" width="11.7109375" style="361" customWidth="1"/>
    <col min="2822" max="2822" width="11.140625" style="361" customWidth="1"/>
    <col min="2823" max="2823" width="11.7109375" style="361" customWidth="1"/>
    <col min="2824" max="3069" width="9.140625" style="361"/>
    <col min="3070" max="3070" width="5.28515625" style="361" customWidth="1"/>
    <col min="3071" max="3071" width="8" style="361" customWidth="1"/>
    <col min="3072" max="3072" width="5.85546875" style="361" customWidth="1"/>
    <col min="3073" max="3073" width="9.42578125" style="361" customWidth="1"/>
    <col min="3074" max="3074" width="11.28515625" style="361" customWidth="1"/>
    <col min="3075" max="3075" width="11" style="361" customWidth="1"/>
    <col min="3076" max="3076" width="13.140625" style="361" customWidth="1"/>
    <col min="3077" max="3077" width="11.7109375" style="361" customWidth="1"/>
    <col min="3078" max="3078" width="11.140625" style="361" customWidth="1"/>
    <col min="3079" max="3079" width="11.7109375" style="361" customWidth="1"/>
    <col min="3080" max="3325" width="9.140625" style="361"/>
    <col min="3326" max="3326" width="5.28515625" style="361" customWidth="1"/>
    <col min="3327" max="3327" width="8" style="361" customWidth="1"/>
    <col min="3328" max="3328" width="5.85546875" style="361" customWidth="1"/>
    <col min="3329" max="3329" width="9.42578125" style="361" customWidth="1"/>
    <col min="3330" max="3330" width="11.28515625" style="361" customWidth="1"/>
    <col min="3331" max="3331" width="11" style="361" customWidth="1"/>
    <col min="3332" max="3332" width="13.140625" style="361" customWidth="1"/>
    <col min="3333" max="3333" width="11.7109375" style="361" customWidth="1"/>
    <col min="3334" max="3334" width="11.140625" style="361" customWidth="1"/>
    <col min="3335" max="3335" width="11.7109375" style="361" customWidth="1"/>
    <col min="3336" max="3581" width="9.140625" style="361"/>
    <col min="3582" max="3582" width="5.28515625" style="361" customWidth="1"/>
    <col min="3583" max="3583" width="8" style="361" customWidth="1"/>
    <col min="3584" max="3584" width="5.85546875" style="361" customWidth="1"/>
    <col min="3585" max="3585" width="9.42578125" style="361" customWidth="1"/>
    <col min="3586" max="3586" width="11.28515625" style="361" customWidth="1"/>
    <col min="3587" max="3587" width="11" style="361" customWidth="1"/>
    <col min="3588" max="3588" width="13.140625" style="361" customWidth="1"/>
    <col min="3589" max="3589" width="11.7109375" style="361" customWidth="1"/>
    <col min="3590" max="3590" width="11.140625" style="361" customWidth="1"/>
    <col min="3591" max="3591" width="11.7109375" style="361" customWidth="1"/>
    <col min="3592" max="3837" width="9.140625" style="361"/>
    <col min="3838" max="3838" width="5.28515625" style="361" customWidth="1"/>
    <col min="3839" max="3839" width="8" style="361" customWidth="1"/>
    <col min="3840" max="3840" width="5.85546875" style="361" customWidth="1"/>
    <col min="3841" max="3841" width="9.42578125" style="361" customWidth="1"/>
    <col min="3842" max="3842" width="11.28515625" style="361" customWidth="1"/>
    <col min="3843" max="3843" width="11" style="361" customWidth="1"/>
    <col min="3844" max="3844" width="13.140625" style="361" customWidth="1"/>
    <col min="3845" max="3845" width="11.7109375" style="361" customWidth="1"/>
    <col min="3846" max="3846" width="11.140625" style="361" customWidth="1"/>
    <col min="3847" max="3847" width="11.7109375" style="361" customWidth="1"/>
    <col min="3848" max="4093" width="9.140625" style="361"/>
    <col min="4094" max="4094" width="5.28515625" style="361" customWidth="1"/>
    <col min="4095" max="4095" width="8" style="361" customWidth="1"/>
    <col min="4096" max="4096" width="5.85546875" style="361" customWidth="1"/>
    <col min="4097" max="4097" width="9.42578125" style="361" customWidth="1"/>
    <col min="4098" max="4098" width="11.28515625" style="361" customWidth="1"/>
    <col min="4099" max="4099" width="11" style="361" customWidth="1"/>
    <col min="4100" max="4100" width="13.140625" style="361" customWidth="1"/>
    <col min="4101" max="4101" width="11.7109375" style="361" customWidth="1"/>
    <col min="4102" max="4102" width="11.140625" style="361" customWidth="1"/>
    <col min="4103" max="4103" width="11.7109375" style="361" customWidth="1"/>
    <col min="4104" max="4349" width="9.140625" style="361"/>
    <col min="4350" max="4350" width="5.28515625" style="361" customWidth="1"/>
    <col min="4351" max="4351" width="8" style="361" customWidth="1"/>
    <col min="4352" max="4352" width="5.85546875" style="361" customWidth="1"/>
    <col min="4353" max="4353" width="9.42578125" style="361" customWidth="1"/>
    <col min="4354" max="4354" width="11.28515625" style="361" customWidth="1"/>
    <col min="4355" max="4355" width="11" style="361" customWidth="1"/>
    <col min="4356" max="4356" width="13.140625" style="361" customWidth="1"/>
    <col min="4357" max="4357" width="11.7109375" style="361" customWidth="1"/>
    <col min="4358" max="4358" width="11.140625" style="361" customWidth="1"/>
    <col min="4359" max="4359" width="11.7109375" style="361" customWidth="1"/>
    <col min="4360" max="4605" width="9.140625" style="361"/>
    <col min="4606" max="4606" width="5.28515625" style="361" customWidth="1"/>
    <col min="4607" max="4607" width="8" style="361" customWidth="1"/>
    <col min="4608" max="4608" width="5.85546875" style="361" customWidth="1"/>
    <col min="4609" max="4609" width="9.42578125" style="361" customWidth="1"/>
    <col min="4610" max="4610" width="11.28515625" style="361" customWidth="1"/>
    <col min="4611" max="4611" width="11" style="361" customWidth="1"/>
    <col min="4612" max="4612" width="13.140625" style="361" customWidth="1"/>
    <col min="4613" max="4613" width="11.7109375" style="361" customWidth="1"/>
    <col min="4614" max="4614" width="11.140625" style="361" customWidth="1"/>
    <col min="4615" max="4615" width="11.7109375" style="361" customWidth="1"/>
    <col min="4616" max="4861" width="9.140625" style="361"/>
    <col min="4862" max="4862" width="5.28515625" style="361" customWidth="1"/>
    <col min="4863" max="4863" width="8" style="361" customWidth="1"/>
    <col min="4864" max="4864" width="5.85546875" style="361" customWidth="1"/>
    <col min="4865" max="4865" width="9.42578125" style="361" customWidth="1"/>
    <col min="4866" max="4866" width="11.28515625" style="361" customWidth="1"/>
    <col min="4867" max="4867" width="11" style="361" customWidth="1"/>
    <col min="4868" max="4868" width="13.140625" style="361" customWidth="1"/>
    <col min="4869" max="4869" width="11.7109375" style="361" customWidth="1"/>
    <col min="4870" max="4870" width="11.140625" style="361" customWidth="1"/>
    <col min="4871" max="4871" width="11.7109375" style="361" customWidth="1"/>
    <col min="4872" max="5117" width="9.140625" style="361"/>
    <col min="5118" max="5118" width="5.28515625" style="361" customWidth="1"/>
    <col min="5119" max="5119" width="8" style="361" customWidth="1"/>
    <col min="5120" max="5120" width="5.85546875" style="361" customWidth="1"/>
    <col min="5121" max="5121" width="9.42578125" style="361" customWidth="1"/>
    <col min="5122" max="5122" width="11.28515625" style="361" customWidth="1"/>
    <col min="5123" max="5123" width="11" style="361" customWidth="1"/>
    <col min="5124" max="5124" width="13.140625" style="361" customWidth="1"/>
    <col min="5125" max="5125" width="11.7109375" style="361" customWidth="1"/>
    <col min="5126" max="5126" width="11.140625" style="361" customWidth="1"/>
    <col min="5127" max="5127" width="11.7109375" style="361" customWidth="1"/>
    <col min="5128" max="5373" width="9.140625" style="361"/>
    <col min="5374" max="5374" width="5.28515625" style="361" customWidth="1"/>
    <col min="5375" max="5375" width="8" style="361" customWidth="1"/>
    <col min="5376" max="5376" width="5.85546875" style="361" customWidth="1"/>
    <col min="5377" max="5377" width="9.42578125" style="361" customWidth="1"/>
    <col min="5378" max="5378" width="11.28515625" style="361" customWidth="1"/>
    <col min="5379" max="5379" width="11" style="361" customWidth="1"/>
    <col min="5380" max="5380" width="13.140625" style="361" customWidth="1"/>
    <col min="5381" max="5381" width="11.7109375" style="361" customWidth="1"/>
    <col min="5382" max="5382" width="11.140625" style="361" customWidth="1"/>
    <col min="5383" max="5383" width="11.7109375" style="361" customWidth="1"/>
    <col min="5384" max="5629" width="9.140625" style="361"/>
    <col min="5630" max="5630" width="5.28515625" style="361" customWidth="1"/>
    <col min="5631" max="5631" width="8" style="361" customWidth="1"/>
    <col min="5632" max="5632" width="5.85546875" style="361" customWidth="1"/>
    <col min="5633" max="5633" width="9.42578125" style="361" customWidth="1"/>
    <col min="5634" max="5634" width="11.28515625" style="361" customWidth="1"/>
    <col min="5635" max="5635" width="11" style="361" customWidth="1"/>
    <col min="5636" max="5636" width="13.140625" style="361" customWidth="1"/>
    <col min="5637" max="5637" width="11.7109375" style="361" customWidth="1"/>
    <col min="5638" max="5638" width="11.140625" style="361" customWidth="1"/>
    <col min="5639" max="5639" width="11.7109375" style="361" customWidth="1"/>
    <col min="5640" max="5885" width="9.140625" style="361"/>
    <col min="5886" max="5886" width="5.28515625" style="361" customWidth="1"/>
    <col min="5887" max="5887" width="8" style="361" customWidth="1"/>
    <col min="5888" max="5888" width="5.85546875" style="361" customWidth="1"/>
    <col min="5889" max="5889" width="9.42578125" style="361" customWidth="1"/>
    <col min="5890" max="5890" width="11.28515625" style="361" customWidth="1"/>
    <col min="5891" max="5891" width="11" style="361" customWidth="1"/>
    <col min="5892" max="5892" width="13.140625" style="361" customWidth="1"/>
    <col min="5893" max="5893" width="11.7109375" style="361" customWidth="1"/>
    <col min="5894" max="5894" width="11.140625" style="361" customWidth="1"/>
    <col min="5895" max="5895" width="11.7109375" style="361" customWidth="1"/>
    <col min="5896" max="6141" width="9.140625" style="361"/>
    <col min="6142" max="6142" width="5.28515625" style="361" customWidth="1"/>
    <col min="6143" max="6143" width="8" style="361" customWidth="1"/>
    <col min="6144" max="6144" width="5.85546875" style="361" customWidth="1"/>
    <col min="6145" max="6145" width="9.42578125" style="361" customWidth="1"/>
    <col min="6146" max="6146" width="11.28515625" style="361" customWidth="1"/>
    <col min="6147" max="6147" width="11" style="361" customWidth="1"/>
    <col min="6148" max="6148" width="13.140625" style="361" customWidth="1"/>
    <col min="6149" max="6149" width="11.7109375" style="361" customWidth="1"/>
    <col min="6150" max="6150" width="11.140625" style="361" customWidth="1"/>
    <col min="6151" max="6151" width="11.7109375" style="361" customWidth="1"/>
    <col min="6152" max="6397" width="9.140625" style="361"/>
    <col min="6398" max="6398" width="5.28515625" style="361" customWidth="1"/>
    <col min="6399" max="6399" width="8" style="361" customWidth="1"/>
    <col min="6400" max="6400" width="5.85546875" style="361" customWidth="1"/>
    <col min="6401" max="6401" width="9.42578125" style="361" customWidth="1"/>
    <col min="6402" max="6402" width="11.28515625" style="361" customWidth="1"/>
    <col min="6403" max="6403" width="11" style="361" customWidth="1"/>
    <col min="6404" max="6404" width="13.140625" style="361" customWidth="1"/>
    <col min="6405" max="6405" width="11.7109375" style="361" customWidth="1"/>
    <col min="6406" max="6406" width="11.140625" style="361" customWidth="1"/>
    <col min="6407" max="6407" width="11.7109375" style="361" customWidth="1"/>
    <col min="6408" max="6653" width="9.140625" style="361"/>
    <col min="6654" max="6654" width="5.28515625" style="361" customWidth="1"/>
    <col min="6655" max="6655" width="8" style="361" customWidth="1"/>
    <col min="6656" max="6656" width="5.85546875" style="361" customWidth="1"/>
    <col min="6657" max="6657" width="9.42578125" style="361" customWidth="1"/>
    <col min="6658" max="6658" width="11.28515625" style="361" customWidth="1"/>
    <col min="6659" max="6659" width="11" style="361" customWidth="1"/>
    <col min="6660" max="6660" width="13.140625" style="361" customWidth="1"/>
    <col min="6661" max="6661" width="11.7109375" style="361" customWidth="1"/>
    <col min="6662" max="6662" width="11.140625" style="361" customWidth="1"/>
    <col min="6663" max="6663" width="11.7109375" style="361" customWidth="1"/>
    <col min="6664" max="6909" width="9.140625" style="361"/>
    <col min="6910" max="6910" width="5.28515625" style="361" customWidth="1"/>
    <col min="6911" max="6911" width="8" style="361" customWidth="1"/>
    <col min="6912" max="6912" width="5.85546875" style="361" customWidth="1"/>
    <col min="6913" max="6913" width="9.42578125" style="361" customWidth="1"/>
    <col min="6914" max="6914" width="11.28515625" style="361" customWidth="1"/>
    <col min="6915" max="6915" width="11" style="361" customWidth="1"/>
    <col min="6916" max="6916" width="13.140625" style="361" customWidth="1"/>
    <col min="6917" max="6917" width="11.7109375" style="361" customWidth="1"/>
    <col min="6918" max="6918" width="11.140625" style="361" customWidth="1"/>
    <col min="6919" max="6919" width="11.7109375" style="361" customWidth="1"/>
    <col min="6920" max="7165" width="9.140625" style="361"/>
    <col min="7166" max="7166" width="5.28515625" style="361" customWidth="1"/>
    <col min="7167" max="7167" width="8" style="361" customWidth="1"/>
    <col min="7168" max="7168" width="5.85546875" style="361" customWidth="1"/>
    <col min="7169" max="7169" width="9.42578125" style="361" customWidth="1"/>
    <col min="7170" max="7170" width="11.28515625" style="361" customWidth="1"/>
    <col min="7171" max="7171" width="11" style="361" customWidth="1"/>
    <col min="7172" max="7172" width="13.140625" style="361" customWidth="1"/>
    <col min="7173" max="7173" width="11.7109375" style="361" customWidth="1"/>
    <col min="7174" max="7174" width="11.140625" style="361" customWidth="1"/>
    <col min="7175" max="7175" width="11.7109375" style="361" customWidth="1"/>
    <col min="7176" max="7421" width="9.140625" style="361"/>
    <col min="7422" max="7422" width="5.28515625" style="361" customWidth="1"/>
    <col min="7423" max="7423" width="8" style="361" customWidth="1"/>
    <col min="7424" max="7424" width="5.85546875" style="361" customWidth="1"/>
    <col min="7425" max="7425" width="9.42578125" style="361" customWidth="1"/>
    <col min="7426" max="7426" width="11.28515625" style="361" customWidth="1"/>
    <col min="7427" max="7427" width="11" style="361" customWidth="1"/>
    <col min="7428" max="7428" width="13.140625" style="361" customWidth="1"/>
    <col min="7429" max="7429" width="11.7109375" style="361" customWidth="1"/>
    <col min="7430" max="7430" width="11.140625" style="361" customWidth="1"/>
    <col min="7431" max="7431" width="11.7109375" style="361" customWidth="1"/>
    <col min="7432" max="7677" width="9.140625" style="361"/>
    <col min="7678" max="7678" width="5.28515625" style="361" customWidth="1"/>
    <col min="7679" max="7679" width="8" style="361" customWidth="1"/>
    <col min="7680" max="7680" width="5.85546875" style="361" customWidth="1"/>
    <col min="7681" max="7681" width="9.42578125" style="361" customWidth="1"/>
    <col min="7682" max="7682" width="11.28515625" style="361" customWidth="1"/>
    <col min="7683" max="7683" width="11" style="361" customWidth="1"/>
    <col min="7684" max="7684" width="13.140625" style="361" customWidth="1"/>
    <col min="7685" max="7685" width="11.7109375" style="361" customWidth="1"/>
    <col min="7686" max="7686" width="11.140625" style="361" customWidth="1"/>
    <col min="7687" max="7687" width="11.7109375" style="361" customWidth="1"/>
    <col min="7688" max="7933" width="9.140625" style="361"/>
    <col min="7934" max="7934" width="5.28515625" style="361" customWidth="1"/>
    <col min="7935" max="7935" width="8" style="361" customWidth="1"/>
    <col min="7936" max="7936" width="5.85546875" style="361" customWidth="1"/>
    <col min="7937" max="7937" width="9.42578125" style="361" customWidth="1"/>
    <col min="7938" max="7938" width="11.28515625" style="361" customWidth="1"/>
    <col min="7939" max="7939" width="11" style="361" customWidth="1"/>
    <col min="7940" max="7940" width="13.140625" style="361" customWidth="1"/>
    <col min="7941" max="7941" width="11.7109375" style="361" customWidth="1"/>
    <col min="7942" max="7942" width="11.140625" style="361" customWidth="1"/>
    <col min="7943" max="7943" width="11.7109375" style="361" customWidth="1"/>
    <col min="7944" max="8189" width="9.140625" style="361"/>
    <col min="8190" max="8190" width="5.28515625" style="361" customWidth="1"/>
    <col min="8191" max="8191" width="8" style="361" customWidth="1"/>
    <col min="8192" max="8192" width="5.85546875" style="361" customWidth="1"/>
    <col min="8193" max="8193" width="9.42578125" style="361" customWidth="1"/>
    <col min="8194" max="8194" width="11.28515625" style="361" customWidth="1"/>
    <col min="8195" max="8195" width="11" style="361" customWidth="1"/>
    <col min="8196" max="8196" width="13.140625" style="361" customWidth="1"/>
    <col min="8197" max="8197" width="11.7109375" style="361" customWidth="1"/>
    <col min="8198" max="8198" width="11.140625" style="361" customWidth="1"/>
    <col min="8199" max="8199" width="11.7109375" style="361" customWidth="1"/>
    <col min="8200" max="8445" width="9.140625" style="361"/>
    <col min="8446" max="8446" width="5.28515625" style="361" customWidth="1"/>
    <col min="8447" max="8447" width="8" style="361" customWidth="1"/>
    <col min="8448" max="8448" width="5.85546875" style="361" customWidth="1"/>
    <col min="8449" max="8449" width="9.42578125" style="361" customWidth="1"/>
    <col min="8450" max="8450" width="11.28515625" style="361" customWidth="1"/>
    <col min="8451" max="8451" width="11" style="361" customWidth="1"/>
    <col min="8452" max="8452" width="13.140625" style="361" customWidth="1"/>
    <col min="8453" max="8453" width="11.7109375" style="361" customWidth="1"/>
    <col min="8454" max="8454" width="11.140625" style="361" customWidth="1"/>
    <col min="8455" max="8455" width="11.7109375" style="361" customWidth="1"/>
    <col min="8456" max="8701" width="9.140625" style="361"/>
    <col min="8702" max="8702" width="5.28515625" style="361" customWidth="1"/>
    <col min="8703" max="8703" width="8" style="361" customWidth="1"/>
    <col min="8704" max="8704" width="5.85546875" style="361" customWidth="1"/>
    <col min="8705" max="8705" width="9.42578125" style="361" customWidth="1"/>
    <col min="8706" max="8706" width="11.28515625" style="361" customWidth="1"/>
    <col min="8707" max="8707" width="11" style="361" customWidth="1"/>
    <col min="8708" max="8708" width="13.140625" style="361" customWidth="1"/>
    <col min="8709" max="8709" width="11.7109375" style="361" customWidth="1"/>
    <col min="8710" max="8710" width="11.140625" style="361" customWidth="1"/>
    <col min="8711" max="8711" width="11.7109375" style="361" customWidth="1"/>
    <col min="8712" max="8957" width="9.140625" style="361"/>
    <col min="8958" max="8958" width="5.28515625" style="361" customWidth="1"/>
    <col min="8959" max="8959" width="8" style="361" customWidth="1"/>
    <col min="8960" max="8960" width="5.85546875" style="361" customWidth="1"/>
    <col min="8961" max="8961" width="9.42578125" style="361" customWidth="1"/>
    <col min="8962" max="8962" width="11.28515625" style="361" customWidth="1"/>
    <col min="8963" max="8963" width="11" style="361" customWidth="1"/>
    <col min="8964" max="8964" width="13.140625" style="361" customWidth="1"/>
    <col min="8965" max="8965" width="11.7109375" style="361" customWidth="1"/>
    <col min="8966" max="8966" width="11.140625" style="361" customWidth="1"/>
    <col min="8967" max="8967" width="11.7109375" style="361" customWidth="1"/>
    <col min="8968" max="9213" width="9.140625" style="361"/>
    <col min="9214" max="9214" width="5.28515625" style="361" customWidth="1"/>
    <col min="9215" max="9215" width="8" style="361" customWidth="1"/>
    <col min="9216" max="9216" width="5.85546875" style="361" customWidth="1"/>
    <col min="9217" max="9217" width="9.42578125" style="361" customWidth="1"/>
    <col min="9218" max="9218" width="11.28515625" style="361" customWidth="1"/>
    <col min="9219" max="9219" width="11" style="361" customWidth="1"/>
    <col min="9220" max="9220" width="13.140625" style="361" customWidth="1"/>
    <col min="9221" max="9221" width="11.7109375" style="361" customWidth="1"/>
    <col min="9222" max="9222" width="11.140625" style="361" customWidth="1"/>
    <col min="9223" max="9223" width="11.7109375" style="361" customWidth="1"/>
    <col min="9224" max="9469" width="9.140625" style="361"/>
    <col min="9470" max="9470" width="5.28515625" style="361" customWidth="1"/>
    <col min="9471" max="9471" width="8" style="361" customWidth="1"/>
    <col min="9472" max="9472" width="5.85546875" style="361" customWidth="1"/>
    <col min="9473" max="9473" width="9.42578125" style="361" customWidth="1"/>
    <col min="9474" max="9474" width="11.28515625" style="361" customWidth="1"/>
    <col min="9475" max="9475" width="11" style="361" customWidth="1"/>
    <col min="9476" max="9476" width="13.140625" style="361" customWidth="1"/>
    <col min="9477" max="9477" width="11.7109375" style="361" customWidth="1"/>
    <col min="9478" max="9478" width="11.140625" style="361" customWidth="1"/>
    <col min="9479" max="9479" width="11.7109375" style="361" customWidth="1"/>
    <col min="9480" max="9725" width="9.140625" style="361"/>
    <col min="9726" max="9726" width="5.28515625" style="361" customWidth="1"/>
    <col min="9727" max="9727" width="8" style="361" customWidth="1"/>
    <col min="9728" max="9728" width="5.85546875" style="361" customWidth="1"/>
    <col min="9729" max="9729" width="9.42578125" style="361" customWidth="1"/>
    <col min="9730" max="9730" width="11.28515625" style="361" customWidth="1"/>
    <col min="9731" max="9731" width="11" style="361" customWidth="1"/>
    <col min="9732" max="9732" width="13.140625" style="361" customWidth="1"/>
    <col min="9733" max="9733" width="11.7109375" style="361" customWidth="1"/>
    <col min="9734" max="9734" width="11.140625" style="361" customWidth="1"/>
    <col min="9735" max="9735" width="11.7109375" style="361" customWidth="1"/>
    <col min="9736" max="9981" width="9.140625" style="361"/>
    <col min="9982" max="9982" width="5.28515625" style="361" customWidth="1"/>
    <col min="9983" max="9983" width="8" style="361" customWidth="1"/>
    <col min="9984" max="9984" width="5.85546875" style="361" customWidth="1"/>
    <col min="9985" max="9985" width="9.42578125" style="361" customWidth="1"/>
    <col min="9986" max="9986" width="11.28515625" style="361" customWidth="1"/>
    <col min="9987" max="9987" width="11" style="361" customWidth="1"/>
    <col min="9988" max="9988" width="13.140625" style="361" customWidth="1"/>
    <col min="9989" max="9989" width="11.7109375" style="361" customWidth="1"/>
    <col min="9990" max="9990" width="11.140625" style="361" customWidth="1"/>
    <col min="9991" max="9991" width="11.7109375" style="361" customWidth="1"/>
    <col min="9992" max="10237" width="9.140625" style="361"/>
    <col min="10238" max="10238" width="5.28515625" style="361" customWidth="1"/>
    <col min="10239" max="10239" width="8" style="361" customWidth="1"/>
    <col min="10240" max="10240" width="5.85546875" style="361" customWidth="1"/>
    <col min="10241" max="10241" width="9.42578125" style="361" customWidth="1"/>
    <col min="10242" max="10242" width="11.28515625" style="361" customWidth="1"/>
    <col min="10243" max="10243" width="11" style="361" customWidth="1"/>
    <col min="10244" max="10244" width="13.140625" style="361" customWidth="1"/>
    <col min="10245" max="10245" width="11.7109375" style="361" customWidth="1"/>
    <col min="10246" max="10246" width="11.140625" style="361" customWidth="1"/>
    <col min="10247" max="10247" width="11.7109375" style="361" customWidth="1"/>
    <col min="10248" max="10493" width="9.140625" style="361"/>
    <col min="10494" max="10494" width="5.28515625" style="361" customWidth="1"/>
    <col min="10495" max="10495" width="8" style="361" customWidth="1"/>
    <col min="10496" max="10496" width="5.85546875" style="361" customWidth="1"/>
    <col min="10497" max="10497" width="9.42578125" style="361" customWidth="1"/>
    <col min="10498" max="10498" width="11.28515625" style="361" customWidth="1"/>
    <col min="10499" max="10499" width="11" style="361" customWidth="1"/>
    <col min="10500" max="10500" width="13.140625" style="361" customWidth="1"/>
    <col min="10501" max="10501" width="11.7109375" style="361" customWidth="1"/>
    <col min="10502" max="10502" width="11.140625" style="361" customWidth="1"/>
    <col min="10503" max="10503" width="11.7109375" style="361" customWidth="1"/>
    <col min="10504" max="10749" width="9.140625" style="361"/>
    <col min="10750" max="10750" width="5.28515625" style="361" customWidth="1"/>
    <col min="10751" max="10751" width="8" style="361" customWidth="1"/>
    <col min="10752" max="10752" width="5.85546875" style="361" customWidth="1"/>
    <col min="10753" max="10753" width="9.42578125" style="361" customWidth="1"/>
    <col min="10754" max="10754" width="11.28515625" style="361" customWidth="1"/>
    <col min="10755" max="10755" width="11" style="361" customWidth="1"/>
    <col min="10756" max="10756" width="13.140625" style="361" customWidth="1"/>
    <col min="10757" max="10757" width="11.7109375" style="361" customWidth="1"/>
    <col min="10758" max="10758" width="11.140625" style="361" customWidth="1"/>
    <col min="10759" max="10759" width="11.7109375" style="361" customWidth="1"/>
    <col min="10760" max="11005" width="9.140625" style="361"/>
    <col min="11006" max="11006" width="5.28515625" style="361" customWidth="1"/>
    <col min="11007" max="11007" width="8" style="361" customWidth="1"/>
    <col min="11008" max="11008" width="5.85546875" style="361" customWidth="1"/>
    <col min="11009" max="11009" width="9.42578125" style="361" customWidth="1"/>
    <col min="11010" max="11010" width="11.28515625" style="361" customWidth="1"/>
    <col min="11011" max="11011" width="11" style="361" customWidth="1"/>
    <col min="11012" max="11012" width="13.140625" style="361" customWidth="1"/>
    <col min="11013" max="11013" width="11.7109375" style="361" customWidth="1"/>
    <col min="11014" max="11014" width="11.140625" style="361" customWidth="1"/>
    <col min="11015" max="11015" width="11.7109375" style="361" customWidth="1"/>
    <col min="11016" max="11261" width="9.140625" style="361"/>
    <col min="11262" max="11262" width="5.28515625" style="361" customWidth="1"/>
    <col min="11263" max="11263" width="8" style="361" customWidth="1"/>
    <col min="11264" max="11264" width="5.85546875" style="361" customWidth="1"/>
    <col min="11265" max="11265" width="9.42578125" style="361" customWidth="1"/>
    <col min="11266" max="11266" width="11.28515625" style="361" customWidth="1"/>
    <col min="11267" max="11267" width="11" style="361" customWidth="1"/>
    <col min="11268" max="11268" width="13.140625" style="361" customWidth="1"/>
    <col min="11269" max="11269" width="11.7109375" style="361" customWidth="1"/>
    <col min="11270" max="11270" width="11.140625" style="361" customWidth="1"/>
    <col min="11271" max="11271" width="11.7109375" style="361" customWidth="1"/>
    <col min="11272" max="11517" width="9.140625" style="361"/>
    <col min="11518" max="11518" width="5.28515625" style="361" customWidth="1"/>
    <col min="11519" max="11519" width="8" style="361" customWidth="1"/>
    <col min="11520" max="11520" width="5.85546875" style="361" customWidth="1"/>
    <col min="11521" max="11521" width="9.42578125" style="361" customWidth="1"/>
    <col min="11522" max="11522" width="11.28515625" style="361" customWidth="1"/>
    <col min="11523" max="11523" width="11" style="361" customWidth="1"/>
    <col min="11524" max="11524" width="13.140625" style="361" customWidth="1"/>
    <col min="11525" max="11525" width="11.7109375" style="361" customWidth="1"/>
    <col min="11526" max="11526" width="11.140625" style="361" customWidth="1"/>
    <col min="11527" max="11527" width="11.7109375" style="361" customWidth="1"/>
    <col min="11528" max="11773" width="9.140625" style="361"/>
    <col min="11774" max="11774" width="5.28515625" style="361" customWidth="1"/>
    <col min="11775" max="11775" width="8" style="361" customWidth="1"/>
    <col min="11776" max="11776" width="5.85546875" style="361" customWidth="1"/>
    <col min="11777" max="11777" width="9.42578125" style="361" customWidth="1"/>
    <col min="11778" max="11778" width="11.28515625" style="361" customWidth="1"/>
    <col min="11779" max="11779" width="11" style="361" customWidth="1"/>
    <col min="11780" max="11780" width="13.140625" style="361" customWidth="1"/>
    <col min="11781" max="11781" width="11.7109375" style="361" customWidth="1"/>
    <col min="11782" max="11782" width="11.140625" style="361" customWidth="1"/>
    <col min="11783" max="11783" width="11.7109375" style="361" customWidth="1"/>
    <col min="11784" max="12029" width="9.140625" style="361"/>
    <col min="12030" max="12030" width="5.28515625" style="361" customWidth="1"/>
    <col min="12031" max="12031" width="8" style="361" customWidth="1"/>
    <col min="12032" max="12032" width="5.85546875" style="361" customWidth="1"/>
    <col min="12033" max="12033" width="9.42578125" style="361" customWidth="1"/>
    <col min="12034" max="12034" width="11.28515625" style="361" customWidth="1"/>
    <col min="12035" max="12035" width="11" style="361" customWidth="1"/>
    <col min="12036" max="12036" width="13.140625" style="361" customWidth="1"/>
    <col min="12037" max="12037" width="11.7109375" style="361" customWidth="1"/>
    <col min="12038" max="12038" width="11.140625" style="361" customWidth="1"/>
    <col min="12039" max="12039" width="11.7109375" style="361" customWidth="1"/>
    <col min="12040" max="12285" width="9.140625" style="361"/>
    <col min="12286" max="12286" width="5.28515625" style="361" customWidth="1"/>
    <col min="12287" max="12287" width="8" style="361" customWidth="1"/>
    <col min="12288" max="12288" width="5.85546875" style="361" customWidth="1"/>
    <col min="12289" max="12289" width="9.42578125" style="361" customWidth="1"/>
    <col min="12290" max="12290" width="11.28515625" style="361" customWidth="1"/>
    <col min="12291" max="12291" width="11" style="361" customWidth="1"/>
    <col min="12292" max="12292" width="13.140625" style="361" customWidth="1"/>
    <col min="12293" max="12293" width="11.7109375" style="361" customWidth="1"/>
    <col min="12294" max="12294" width="11.140625" style="361" customWidth="1"/>
    <col min="12295" max="12295" width="11.7109375" style="361" customWidth="1"/>
    <col min="12296" max="12541" width="9.140625" style="361"/>
    <col min="12542" max="12542" width="5.28515625" style="361" customWidth="1"/>
    <col min="12543" max="12543" width="8" style="361" customWidth="1"/>
    <col min="12544" max="12544" width="5.85546875" style="361" customWidth="1"/>
    <col min="12545" max="12545" width="9.42578125" style="361" customWidth="1"/>
    <col min="12546" max="12546" width="11.28515625" style="361" customWidth="1"/>
    <col min="12547" max="12547" width="11" style="361" customWidth="1"/>
    <col min="12548" max="12548" width="13.140625" style="361" customWidth="1"/>
    <col min="12549" max="12549" width="11.7109375" style="361" customWidth="1"/>
    <col min="12550" max="12550" width="11.140625" style="361" customWidth="1"/>
    <col min="12551" max="12551" width="11.7109375" style="361" customWidth="1"/>
    <col min="12552" max="12797" width="9.140625" style="361"/>
    <col min="12798" max="12798" width="5.28515625" style="361" customWidth="1"/>
    <col min="12799" max="12799" width="8" style="361" customWidth="1"/>
    <col min="12800" max="12800" width="5.85546875" style="361" customWidth="1"/>
    <col min="12801" max="12801" width="9.42578125" style="361" customWidth="1"/>
    <col min="12802" max="12802" width="11.28515625" style="361" customWidth="1"/>
    <col min="12803" max="12803" width="11" style="361" customWidth="1"/>
    <col min="12804" max="12804" width="13.140625" style="361" customWidth="1"/>
    <col min="12805" max="12805" width="11.7109375" style="361" customWidth="1"/>
    <col min="12806" max="12806" width="11.140625" style="361" customWidth="1"/>
    <col min="12807" max="12807" width="11.7109375" style="361" customWidth="1"/>
    <col min="12808" max="13053" width="9.140625" style="361"/>
    <col min="13054" max="13054" width="5.28515625" style="361" customWidth="1"/>
    <col min="13055" max="13055" width="8" style="361" customWidth="1"/>
    <col min="13056" max="13056" width="5.85546875" style="361" customWidth="1"/>
    <col min="13057" max="13057" width="9.42578125" style="361" customWidth="1"/>
    <col min="13058" max="13058" width="11.28515625" style="361" customWidth="1"/>
    <col min="13059" max="13059" width="11" style="361" customWidth="1"/>
    <col min="13060" max="13060" width="13.140625" style="361" customWidth="1"/>
    <col min="13061" max="13061" width="11.7109375" style="361" customWidth="1"/>
    <col min="13062" max="13062" width="11.140625" style="361" customWidth="1"/>
    <col min="13063" max="13063" width="11.7109375" style="361" customWidth="1"/>
    <col min="13064" max="13309" width="9.140625" style="361"/>
    <col min="13310" max="13310" width="5.28515625" style="361" customWidth="1"/>
    <col min="13311" max="13311" width="8" style="361" customWidth="1"/>
    <col min="13312" max="13312" width="5.85546875" style="361" customWidth="1"/>
    <col min="13313" max="13313" width="9.42578125" style="361" customWidth="1"/>
    <col min="13314" max="13314" width="11.28515625" style="361" customWidth="1"/>
    <col min="13315" max="13315" width="11" style="361" customWidth="1"/>
    <col min="13316" max="13316" width="13.140625" style="361" customWidth="1"/>
    <col min="13317" max="13317" width="11.7109375" style="361" customWidth="1"/>
    <col min="13318" max="13318" width="11.140625" style="361" customWidth="1"/>
    <col min="13319" max="13319" width="11.7109375" style="361" customWidth="1"/>
    <col min="13320" max="13565" width="9.140625" style="361"/>
    <col min="13566" max="13566" width="5.28515625" style="361" customWidth="1"/>
    <col min="13567" max="13567" width="8" style="361" customWidth="1"/>
    <col min="13568" max="13568" width="5.85546875" style="361" customWidth="1"/>
    <col min="13569" max="13569" width="9.42578125" style="361" customWidth="1"/>
    <col min="13570" max="13570" width="11.28515625" style="361" customWidth="1"/>
    <col min="13571" max="13571" width="11" style="361" customWidth="1"/>
    <col min="13572" max="13572" width="13.140625" style="361" customWidth="1"/>
    <col min="13573" max="13573" width="11.7109375" style="361" customWidth="1"/>
    <col min="13574" max="13574" width="11.140625" style="361" customWidth="1"/>
    <col min="13575" max="13575" width="11.7109375" style="361" customWidth="1"/>
    <col min="13576" max="13821" width="9.140625" style="361"/>
    <col min="13822" max="13822" width="5.28515625" style="361" customWidth="1"/>
    <col min="13823" max="13823" width="8" style="361" customWidth="1"/>
    <col min="13824" max="13824" width="5.85546875" style="361" customWidth="1"/>
    <col min="13825" max="13825" width="9.42578125" style="361" customWidth="1"/>
    <col min="13826" max="13826" width="11.28515625" style="361" customWidth="1"/>
    <col min="13827" max="13827" width="11" style="361" customWidth="1"/>
    <col min="13828" max="13828" width="13.140625" style="361" customWidth="1"/>
    <col min="13829" max="13829" width="11.7109375" style="361" customWidth="1"/>
    <col min="13830" max="13830" width="11.140625" style="361" customWidth="1"/>
    <col min="13831" max="13831" width="11.7109375" style="361" customWidth="1"/>
    <col min="13832" max="14077" width="9.140625" style="361"/>
    <col min="14078" max="14078" width="5.28515625" style="361" customWidth="1"/>
    <col min="14079" max="14079" width="8" style="361" customWidth="1"/>
    <col min="14080" max="14080" width="5.85546875" style="361" customWidth="1"/>
    <col min="14081" max="14081" width="9.42578125" style="361" customWidth="1"/>
    <col min="14082" max="14082" width="11.28515625" style="361" customWidth="1"/>
    <col min="14083" max="14083" width="11" style="361" customWidth="1"/>
    <col min="14084" max="14084" width="13.140625" style="361" customWidth="1"/>
    <col min="14085" max="14085" width="11.7109375" style="361" customWidth="1"/>
    <col min="14086" max="14086" width="11.140625" style="361" customWidth="1"/>
    <col min="14087" max="14087" width="11.7109375" style="361" customWidth="1"/>
    <col min="14088" max="14333" width="9.140625" style="361"/>
    <col min="14334" max="14334" width="5.28515625" style="361" customWidth="1"/>
    <col min="14335" max="14335" width="8" style="361" customWidth="1"/>
    <col min="14336" max="14336" width="5.85546875" style="361" customWidth="1"/>
    <col min="14337" max="14337" width="9.42578125" style="361" customWidth="1"/>
    <col min="14338" max="14338" width="11.28515625" style="361" customWidth="1"/>
    <col min="14339" max="14339" width="11" style="361" customWidth="1"/>
    <col min="14340" max="14340" width="13.140625" style="361" customWidth="1"/>
    <col min="14341" max="14341" width="11.7109375" style="361" customWidth="1"/>
    <col min="14342" max="14342" width="11.140625" style="361" customWidth="1"/>
    <col min="14343" max="14343" width="11.7109375" style="361" customWidth="1"/>
    <col min="14344" max="14589" width="9.140625" style="361"/>
    <col min="14590" max="14590" width="5.28515625" style="361" customWidth="1"/>
    <col min="14591" max="14591" width="8" style="361" customWidth="1"/>
    <col min="14592" max="14592" width="5.85546875" style="361" customWidth="1"/>
    <col min="14593" max="14593" width="9.42578125" style="361" customWidth="1"/>
    <col min="14594" max="14594" width="11.28515625" style="361" customWidth="1"/>
    <col min="14595" max="14595" width="11" style="361" customWidth="1"/>
    <col min="14596" max="14596" width="13.140625" style="361" customWidth="1"/>
    <col min="14597" max="14597" width="11.7109375" style="361" customWidth="1"/>
    <col min="14598" max="14598" width="11.140625" style="361" customWidth="1"/>
    <col min="14599" max="14599" width="11.7109375" style="361" customWidth="1"/>
    <col min="14600" max="14845" width="9.140625" style="361"/>
    <col min="14846" max="14846" width="5.28515625" style="361" customWidth="1"/>
    <col min="14847" max="14847" width="8" style="361" customWidth="1"/>
    <col min="14848" max="14848" width="5.85546875" style="361" customWidth="1"/>
    <col min="14849" max="14849" width="9.42578125" style="361" customWidth="1"/>
    <col min="14850" max="14850" width="11.28515625" style="361" customWidth="1"/>
    <col min="14851" max="14851" width="11" style="361" customWidth="1"/>
    <col min="14852" max="14852" width="13.140625" style="361" customWidth="1"/>
    <col min="14853" max="14853" width="11.7109375" style="361" customWidth="1"/>
    <col min="14854" max="14854" width="11.140625" style="361" customWidth="1"/>
    <col min="14855" max="14855" width="11.7109375" style="361" customWidth="1"/>
    <col min="14856" max="15101" width="9.140625" style="361"/>
    <col min="15102" max="15102" width="5.28515625" style="361" customWidth="1"/>
    <col min="15103" max="15103" width="8" style="361" customWidth="1"/>
    <col min="15104" max="15104" width="5.85546875" style="361" customWidth="1"/>
    <col min="15105" max="15105" width="9.42578125" style="361" customWidth="1"/>
    <col min="15106" max="15106" width="11.28515625" style="361" customWidth="1"/>
    <col min="15107" max="15107" width="11" style="361" customWidth="1"/>
    <col min="15108" max="15108" width="13.140625" style="361" customWidth="1"/>
    <col min="15109" max="15109" width="11.7109375" style="361" customWidth="1"/>
    <col min="15110" max="15110" width="11.140625" style="361" customWidth="1"/>
    <col min="15111" max="15111" width="11.7109375" style="361" customWidth="1"/>
    <col min="15112" max="15357" width="9.140625" style="361"/>
    <col min="15358" max="15358" width="5.28515625" style="361" customWidth="1"/>
    <col min="15359" max="15359" width="8" style="361" customWidth="1"/>
    <col min="15360" max="15360" width="5.85546875" style="361" customWidth="1"/>
    <col min="15361" max="15361" width="9.42578125" style="361" customWidth="1"/>
    <col min="15362" max="15362" width="11.28515625" style="361" customWidth="1"/>
    <col min="15363" max="15363" width="11" style="361" customWidth="1"/>
    <col min="15364" max="15364" width="13.140625" style="361" customWidth="1"/>
    <col min="15365" max="15365" width="11.7109375" style="361" customWidth="1"/>
    <col min="15366" max="15366" width="11.140625" style="361" customWidth="1"/>
    <col min="15367" max="15367" width="11.7109375" style="361" customWidth="1"/>
    <col min="15368" max="15613" width="9.140625" style="361"/>
    <col min="15614" max="15614" width="5.28515625" style="361" customWidth="1"/>
    <col min="15615" max="15615" width="8" style="361" customWidth="1"/>
    <col min="15616" max="15616" width="5.85546875" style="361" customWidth="1"/>
    <col min="15617" max="15617" width="9.42578125" style="361" customWidth="1"/>
    <col min="15618" max="15618" width="11.28515625" style="361" customWidth="1"/>
    <col min="15619" max="15619" width="11" style="361" customWidth="1"/>
    <col min="15620" max="15620" width="13.140625" style="361" customWidth="1"/>
    <col min="15621" max="15621" width="11.7109375" style="361" customWidth="1"/>
    <col min="15622" max="15622" width="11.140625" style="361" customWidth="1"/>
    <col min="15623" max="15623" width="11.7109375" style="361" customWidth="1"/>
    <col min="15624" max="15869" width="9.140625" style="361"/>
    <col min="15870" max="15870" width="5.28515625" style="361" customWidth="1"/>
    <col min="15871" max="15871" width="8" style="361" customWidth="1"/>
    <col min="15872" max="15872" width="5.85546875" style="361" customWidth="1"/>
    <col min="15873" max="15873" width="9.42578125" style="361" customWidth="1"/>
    <col min="15874" max="15874" width="11.28515625" style="361" customWidth="1"/>
    <col min="15875" max="15875" width="11" style="361" customWidth="1"/>
    <col min="15876" max="15876" width="13.140625" style="361" customWidth="1"/>
    <col min="15877" max="15877" width="11.7109375" style="361" customWidth="1"/>
    <col min="15878" max="15878" width="11.140625" style="361" customWidth="1"/>
    <col min="15879" max="15879" width="11.7109375" style="361" customWidth="1"/>
    <col min="15880" max="16125" width="9.140625" style="361"/>
    <col min="16126" max="16126" width="5.28515625" style="361" customWidth="1"/>
    <col min="16127" max="16127" width="8" style="361" customWidth="1"/>
    <col min="16128" max="16128" width="5.85546875" style="361" customWidth="1"/>
    <col min="16129" max="16129" width="9.42578125" style="361" customWidth="1"/>
    <col min="16130" max="16130" width="11.28515625" style="361" customWidth="1"/>
    <col min="16131" max="16131" width="11" style="361" customWidth="1"/>
    <col min="16132" max="16132" width="13.140625" style="361" customWidth="1"/>
    <col min="16133" max="16133" width="11.7109375" style="361" customWidth="1"/>
    <col min="16134" max="16134" width="11.140625" style="361" customWidth="1"/>
    <col min="16135" max="16135" width="11.7109375" style="361" customWidth="1"/>
    <col min="16136" max="16384" width="9.140625" style="361"/>
  </cols>
  <sheetData>
    <row r="1" spans="1:72" ht="12.75" customHeight="1" x14ac:dyDescent="0.25">
      <c r="A1" s="151"/>
      <c r="F1" s="2" t="s">
        <v>146</v>
      </c>
    </row>
    <row r="2" spans="1:72" ht="12.75" customHeight="1" x14ac:dyDescent="0.25">
      <c r="F2" s="4" t="s">
        <v>17</v>
      </c>
    </row>
    <row r="3" spans="1:72" ht="12.75" customHeight="1" x14ac:dyDescent="0.25">
      <c r="F3" s="4" t="s">
        <v>0</v>
      </c>
    </row>
    <row r="4" spans="1:72" ht="12.75" customHeight="1" x14ac:dyDescent="0.25">
      <c r="F4" s="4" t="s">
        <v>18</v>
      </c>
    </row>
    <row r="5" spans="1:72" ht="12.75" customHeight="1" x14ac:dyDescent="0.25"/>
    <row r="6" spans="1:72" ht="13.5" customHeight="1" x14ac:dyDescent="0.25">
      <c r="A6" s="152" t="s">
        <v>147</v>
      </c>
      <c r="B6" s="152"/>
      <c r="C6" s="152"/>
      <c r="D6" s="152"/>
      <c r="E6" s="152"/>
      <c r="F6" s="152"/>
      <c r="G6" s="152"/>
      <c r="J6" s="1"/>
    </row>
    <row r="7" spans="1:72" ht="12.75" customHeight="1" x14ac:dyDescent="0.25">
      <c r="A7" s="152" t="s">
        <v>148</v>
      </c>
      <c r="B7" s="153"/>
      <c r="C7" s="153"/>
      <c r="D7" s="153"/>
      <c r="E7" s="153"/>
      <c r="F7" s="153"/>
      <c r="G7" s="153"/>
      <c r="J7" s="1"/>
    </row>
    <row r="8" spans="1:72" ht="9" customHeight="1" x14ac:dyDescent="0.25">
      <c r="A8" s="154"/>
      <c r="B8" s="155"/>
      <c r="C8" s="155"/>
      <c r="D8" s="155"/>
      <c r="E8" s="155"/>
      <c r="F8" s="155"/>
      <c r="G8" s="155"/>
      <c r="J8" s="1"/>
    </row>
    <row r="9" spans="1:72" ht="11.25" customHeight="1" x14ac:dyDescent="0.25">
      <c r="G9" s="156" t="s">
        <v>1</v>
      </c>
    </row>
    <row r="10" spans="1:72" s="160" customFormat="1" ht="36.75" customHeight="1" x14ac:dyDescent="0.2">
      <c r="A10" s="157" t="s">
        <v>33</v>
      </c>
      <c r="B10" s="157" t="s">
        <v>34</v>
      </c>
      <c r="C10" s="157" t="s">
        <v>149</v>
      </c>
      <c r="D10" s="157" t="s">
        <v>8</v>
      </c>
      <c r="E10" s="158" t="s">
        <v>3</v>
      </c>
      <c r="F10" s="158" t="s">
        <v>150</v>
      </c>
      <c r="G10" s="158" t="s">
        <v>151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</row>
    <row r="11" spans="1:72" s="163" customFormat="1" ht="10.5" customHeight="1" x14ac:dyDescent="0.2">
      <c r="A11" s="161">
        <v>1</v>
      </c>
      <c r="B11" s="161">
        <v>2</v>
      </c>
      <c r="C11" s="161">
        <v>3</v>
      </c>
      <c r="D11" s="161">
        <v>4</v>
      </c>
      <c r="E11" s="161">
        <v>5</v>
      </c>
      <c r="F11" s="161">
        <v>6</v>
      </c>
      <c r="G11" s="161">
        <v>7</v>
      </c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</row>
    <row r="12" spans="1:72" s="363" customFormat="1" ht="15.75" customHeight="1" x14ac:dyDescent="0.2">
      <c r="A12" s="164"/>
      <c r="B12" s="165"/>
      <c r="C12" s="166"/>
      <c r="D12" s="166"/>
      <c r="E12" s="167" t="s">
        <v>152</v>
      </c>
      <c r="F12" s="168">
        <f>5350+9150+36625+3925+14199</f>
        <v>69249</v>
      </c>
      <c r="G12" s="169" t="s">
        <v>153</v>
      </c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2"/>
      <c r="AH12" s="362"/>
      <c r="AI12" s="362"/>
      <c r="AJ12" s="362"/>
      <c r="AK12" s="362"/>
      <c r="AL12" s="362"/>
      <c r="AM12" s="362"/>
      <c r="AN12" s="362"/>
      <c r="AO12" s="362"/>
      <c r="AP12" s="362"/>
      <c r="AQ12" s="362"/>
      <c r="AR12" s="362"/>
      <c r="AS12" s="362"/>
      <c r="AT12" s="362"/>
      <c r="AU12" s="362"/>
      <c r="AV12" s="362"/>
      <c r="AW12" s="362"/>
      <c r="AX12" s="362"/>
      <c r="AY12" s="362"/>
      <c r="AZ12" s="362"/>
      <c r="BA12" s="362"/>
      <c r="BB12" s="362"/>
      <c r="BC12" s="362"/>
      <c r="BD12" s="362"/>
      <c r="BE12" s="362"/>
      <c r="BF12" s="362"/>
      <c r="BG12" s="362"/>
      <c r="BH12" s="362"/>
      <c r="BI12" s="362"/>
      <c r="BJ12" s="362"/>
      <c r="BK12" s="362"/>
      <c r="BL12" s="362"/>
      <c r="BM12" s="362"/>
      <c r="BN12" s="362"/>
      <c r="BO12" s="362"/>
      <c r="BP12" s="362"/>
      <c r="BQ12" s="362"/>
      <c r="BR12" s="362"/>
      <c r="BS12" s="362"/>
      <c r="BT12" s="362"/>
    </row>
    <row r="13" spans="1:72" s="363" customFormat="1" ht="24" x14ac:dyDescent="0.2">
      <c r="A13" s="170" t="s">
        <v>154</v>
      </c>
      <c r="B13" s="171" t="s">
        <v>155</v>
      </c>
      <c r="C13" s="166" t="s">
        <v>156</v>
      </c>
      <c r="D13" s="166" t="s">
        <v>157</v>
      </c>
      <c r="E13" s="172" t="s">
        <v>153</v>
      </c>
      <c r="F13" s="173" t="s">
        <v>153</v>
      </c>
      <c r="G13" s="174">
        <f>SUM(G15)</f>
        <v>69249</v>
      </c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  <c r="BJ13" s="362"/>
      <c r="BK13" s="362"/>
      <c r="BL13" s="362"/>
      <c r="BM13" s="362"/>
      <c r="BN13" s="362"/>
      <c r="BO13" s="362"/>
      <c r="BP13" s="362"/>
      <c r="BQ13" s="362"/>
      <c r="BR13" s="362"/>
      <c r="BS13" s="362"/>
      <c r="BT13" s="362"/>
    </row>
    <row r="14" spans="1:72" s="363" customFormat="1" ht="9" customHeight="1" x14ac:dyDescent="0.2">
      <c r="A14" s="164"/>
      <c r="B14" s="175"/>
      <c r="C14" s="166"/>
      <c r="D14" s="166"/>
      <c r="E14" s="166"/>
      <c r="F14" s="176"/>
      <c r="G14" s="364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2"/>
      <c r="AI14" s="362"/>
      <c r="AJ14" s="362"/>
      <c r="AK14" s="362"/>
      <c r="AL14" s="362"/>
      <c r="AM14" s="362"/>
      <c r="AN14" s="362"/>
      <c r="AO14" s="362"/>
      <c r="AP14" s="362"/>
      <c r="AQ14" s="362"/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  <c r="BD14" s="362"/>
      <c r="BE14" s="362"/>
      <c r="BF14" s="362"/>
      <c r="BG14" s="362"/>
      <c r="BH14" s="362"/>
      <c r="BI14" s="362"/>
      <c r="BJ14" s="362"/>
      <c r="BK14" s="362"/>
      <c r="BL14" s="362"/>
      <c r="BM14" s="362"/>
      <c r="BN14" s="362"/>
      <c r="BO14" s="362"/>
      <c r="BP14" s="362"/>
      <c r="BQ14" s="362"/>
      <c r="BR14" s="362"/>
      <c r="BS14" s="362"/>
      <c r="BT14" s="362"/>
    </row>
    <row r="15" spans="1:72" s="363" customFormat="1" ht="15.75" customHeight="1" x14ac:dyDescent="0.2">
      <c r="A15" s="164"/>
      <c r="B15" s="365" t="s">
        <v>158</v>
      </c>
      <c r="C15" s="166"/>
      <c r="D15" s="166"/>
      <c r="E15" s="166"/>
      <c r="F15" s="176"/>
      <c r="G15" s="364">
        <f>SUM(G16:G17)</f>
        <v>69249</v>
      </c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  <c r="AO15" s="362"/>
      <c r="AP15" s="362"/>
      <c r="AQ15" s="362"/>
      <c r="AR15" s="362"/>
      <c r="AS15" s="362"/>
      <c r="AT15" s="362"/>
      <c r="AU15" s="362"/>
      <c r="AV15" s="362"/>
      <c r="AW15" s="362"/>
      <c r="AX15" s="362"/>
      <c r="AY15" s="362"/>
      <c r="AZ15" s="362"/>
      <c r="BA15" s="362"/>
      <c r="BB15" s="362"/>
      <c r="BC15" s="362"/>
      <c r="BD15" s="362"/>
      <c r="BE15" s="362"/>
      <c r="BF15" s="362"/>
      <c r="BG15" s="362"/>
      <c r="BH15" s="362"/>
      <c r="BI15" s="362"/>
      <c r="BJ15" s="362"/>
      <c r="BK15" s="362"/>
      <c r="BL15" s="362"/>
      <c r="BM15" s="362"/>
      <c r="BN15" s="362"/>
      <c r="BO15" s="362"/>
      <c r="BP15" s="362"/>
      <c r="BQ15" s="362"/>
      <c r="BR15" s="362"/>
      <c r="BS15" s="362"/>
      <c r="BT15" s="362"/>
    </row>
    <row r="16" spans="1:72" s="363" customFormat="1" ht="15.75" customHeight="1" x14ac:dyDescent="0.2">
      <c r="A16" s="164"/>
      <c r="B16" s="365"/>
      <c r="C16" s="166"/>
      <c r="D16" s="166"/>
      <c r="E16" s="166" t="s">
        <v>159</v>
      </c>
      <c r="F16" s="176" t="s">
        <v>153</v>
      </c>
      <c r="G16" s="177">
        <f>8500+3925-2790.5+3635.5-70</f>
        <v>13200</v>
      </c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362"/>
      <c r="AL16" s="362"/>
      <c r="AM16" s="362"/>
      <c r="AN16" s="362"/>
      <c r="AO16" s="362"/>
      <c r="AP16" s="362"/>
      <c r="AQ16" s="362"/>
      <c r="AR16" s="362"/>
      <c r="AS16" s="362"/>
      <c r="AT16" s="362"/>
      <c r="AU16" s="362"/>
      <c r="AV16" s="362"/>
      <c r="AW16" s="362"/>
      <c r="AX16" s="362"/>
      <c r="AY16" s="362"/>
      <c r="AZ16" s="362"/>
      <c r="BA16" s="362"/>
      <c r="BB16" s="362"/>
      <c r="BC16" s="362"/>
      <c r="BD16" s="362"/>
      <c r="BE16" s="362"/>
      <c r="BF16" s="362"/>
      <c r="BG16" s="362"/>
      <c r="BH16" s="362"/>
      <c r="BI16" s="362"/>
      <c r="BJ16" s="362"/>
      <c r="BK16" s="362"/>
      <c r="BL16" s="362"/>
      <c r="BM16" s="362"/>
      <c r="BN16" s="362"/>
      <c r="BO16" s="362"/>
      <c r="BP16" s="362"/>
      <c r="BQ16" s="362"/>
      <c r="BR16" s="362"/>
      <c r="BS16" s="362"/>
      <c r="BT16" s="362"/>
    </row>
    <row r="17" spans="1:72" s="363" customFormat="1" ht="15.75" customHeight="1" x14ac:dyDescent="0.2">
      <c r="A17" s="164"/>
      <c r="B17" s="365"/>
      <c r="C17" s="166"/>
      <c r="D17" s="166"/>
      <c r="E17" s="166" t="s">
        <v>160</v>
      </c>
      <c r="F17" s="176" t="s">
        <v>153</v>
      </c>
      <c r="G17" s="177">
        <f>5350+9150+36625-8500+2790.5+10563.5+70</f>
        <v>56049</v>
      </c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2"/>
      <c r="AQ17" s="362"/>
      <c r="AR17" s="362"/>
      <c r="AS17" s="362"/>
      <c r="AT17" s="362"/>
      <c r="AU17" s="362"/>
      <c r="AV17" s="362"/>
      <c r="AW17" s="362"/>
      <c r="AX17" s="362"/>
      <c r="AY17" s="362"/>
      <c r="AZ17" s="362"/>
      <c r="BA17" s="362"/>
      <c r="BB17" s="362"/>
      <c r="BC17" s="362"/>
      <c r="BD17" s="362"/>
      <c r="BE17" s="362"/>
      <c r="BF17" s="362"/>
      <c r="BG17" s="362"/>
      <c r="BH17" s="362"/>
      <c r="BI17" s="362"/>
      <c r="BJ17" s="362"/>
      <c r="BK17" s="362"/>
      <c r="BL17" s="362"/>
      <c r="BM17" s="362"/>
      <c r="BN17" s="362"/>
      <c r="BO17" s="362"/>
      <c r="BP17" s="362"/>
      <c r="BQ17" s="362"/>
      <c r="BR17" s="362"/>
      <c r="BS17" s="362"/>
      <c r="BT17" s="362"/>
    </row>
    <row r="18" spans="1:72" s="363" customFormat="1" ht="15.75" customHeight="1" x14ac:dyDescent="0.2">
      <c r="A18" s="178"/>
      <c r="B18" s="179"/>
      <c r="C18" s="180"/>
      <c r="D18" s="167"/>
      <c r="E18" s="167"/>
      <c r="F18" s="169"/>
      <c r="G18" s="181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362"/>
      <c r="AM18" s="362"/>
      <c r="AN18" s="362"/>
      <c r="AO18" s="362"/>
      <c r="AP18" s="362"/>
      <c r="AQ18" s="362"/>
      <c r="AR18" s="362"/>
      <c r="AS18" s="362"/>
      <c r="AT18" s="362"/>
      <c r="AU18" s="362"/>
      <c r="AV18" s="362"/>
      <c r="AW18" s="362"/>
      <c r="AX18" s="362"/>
      <c r="AY18" s="362"/>
      <c r="AZ18" s="362"/>
      <c r="BA18" s="362"/>
      <c r="BB18" s="362"/>
      <c r="BC18" s="362"/>
      <c r="BD18" s="362"/>
      <c r="BE18" s="362"/>
      <c r="BF18" s="362"/>
      <c r="BG18" s="362"/>
      <c r="BH18" s="362"/>
      <c r="BI18" s="362"/>
      <c r="BJ18" s="362"/>
      <c r="BK18" s="362"/>
      <c r="BL18" s="362"/>
      <c r="BM18" s="362"/>
      <c r="BN18" s="362"/>
      <c r="BO18" s="362"/>
      <c r="BP18" s="362"/>
      <c r="BQ18" s="362"/>
      <c r="BR18" s="362"/>
      <c r="BS18" s="362"/>
      <c r="BT18" s="362"/>
    </row>
    <row r="19" spans="1:72" s="363" customFormat="1" ht="15.75" customHeight="1" x14ac:dyDescent="0.2">
      <c r="A19" s="164"/>
      <c r="B19" s="165"/>
      <c r="C19" s="166"/>
      <c r="D19" s="166"/>
      <c r="E19" s="167" t="s">
        <v>152</v>
      </c>
      <c r="F19" s="168">
        <f>9095+9126+6997+1281+4296+51765+6644+15374</f>
        <v>104578</v>
      </c>
      <c r="G19" s="169" t="s">
        <v>153</v>
      </c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62"/>
      <c r="AH19" s="362"/>
      <c r="AI19" s="362"/>
      <c r="AJ19" s="362"/>
      <c r="AK19" s="362"/>
      <c r="AL19" s="362"/>
      <c r="AM19" s="362"/>
      <c r="AN19" s="362"/>
      <c r="AO19" s="362"/>
      <c r="AP19" s="362"/>
      <c r="AQ19" s="362"/>
      <c r="AR19" s="362"/>
      <c r="AS19" s="362"/>
      <c r="AT19" s="362"/>
      <c r="AU19" s="362"/>
      <c r="AV19" s="362"/>
      <c r="AW19" s="362"/>
      <c r="AX19" s="362"/>
      <c r="AY19" s="362"/>
      <c r="AZ19" s="362"/>
      <c r="BA19" s="362"/>
      <c r="BB19" s="362"/>
      <c r="BC19" s="362"/>
      <c r="BD19" s="362"/>
      <c r="BE19" s="362"/>
      <c r="BF19" s="362"/>
      <c r="BG19" s="362"/>
      <c r="BH19" s="362"/>
      <c r="BI19" s="362"/>
      <c r="BJ19" s="362"/>
      <c r="BK19" s="362"/>
      <c r="BL19" s="362"/>
      <c r="BM19" s="362"/>
      <c r="BN19" s="362"/>
      <c r="BO19" s="362"/>
      <c r="BP19" s="362"/>
      <c r="BQ19" s="362"/>
      <c r="BR19" s="362"/>
      <c r="BS19" s="362"/>
      <c r="BT19" s="362"/>
    </row>
    <row r="20" spans="1:72" s="363" customFormat="1" ht="20.25" customHeight="1" x14ac:dyDescent="0.2">
      <c r="A20" s="170" t="s">
        <v>161</v>
      </c>
      <c r="B20" s="182" t="s">
        <v>162</v>
      </c>
      <c r="C20" s="166" t="s">
        <v>163</v>
      </c>
      <c r="D20" s="166" t="s">
        <v>164</v>
      </c>
      <c r="E20" s="172" t="s">
        <v>153</v>
      </c>
      <c r="F20" s="173" t="s">
        <v>153</v>
      </c>
      <c r="G20" s="174">
        <f>SUM(G22)</f>
        <v>104578</v>
      </c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/>
      <c r="AM20" s="362"/>
      <c r="AN20" s="362"/>
      <c r="AO20" s="362"/>
      <c r="AP20" s="362"/>
      <c r="AQ20" s="362"/>
      <c r="AR20" s="362"/>
      <c r="AS20" s="362"/>
      <c r="AT20" s="362"/>
      <c r="AU20" s="362"/>
      <c r="AV20" s="362"/>
      <c r="AW20" s="362"/>
      <c r="AX20" s="362"/>
      <c r="AY20" s="362"/>
      <c r="AZ20" s="362"/>
      <c r="BA20" s="362"/>
      <c r="BB20" s="362"/>
      <c r="BC20" s="362"/>
      <c r="BD20" s="362"/>
      <c r="BE20" s="362"/>
      <c r="BF20" s="362"/>
      <c r="BG20" s="362"/>
      <c r="BH20" s="362"/>
      <c r="BI20" s="362"/>
      <c r="BJ20" s="362"/>
      <c r="BK20" s="362"/>
      <c r="BL20" s="362"/>
      <c r="BM20" s="362"/>
      <c r="BN20" s="362"/>
      <c r="BO20" s="362"/>
      <c r="BP20" s="362"/>
      <c r="BQ20" s="362"/>
      <c r="BR20" s="362"/>
      <c r="BS20" s="362"/>
      <c r="BT20" s="362"/>
    </row>
    <row r="21" spans="1:72" s="363" customFormat="1" ht="10.5" customHeight="1" x14ac:dyDescent="0.2">
      <c r="A21" s="164"/>
      <c r="B21" s="175"/>
      <c r="C21" s="166"/>
      <c r="D21" s="166"/>
      <c r="E21" s="166"/>
      <c r="F21" s="176"/>
      <c r="G21" s="364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2"/>
      <c r="AM21" s="362"/>
      <c r="AN21" s="362"/>
      <c r="AO21" s="362"/>
      <c r="AP21" s="362"/>
      <c r="AQ21" s="362"/>
      <c r="AR21" s="362"/>
      <c r="AS21" s="362"/>
      <c r="AT21" s="362"/>
      <c r="AU21" s="362"/>
      <c r="AV21" s="362"/>
      <c r="AW21" s="362"/>
      <c r="AX21" s="362"/>
      <c r="AY21" s="362"/>
      <c r="AZ21" s="362"/>
      <c r="BA21" s="362"/>
      <c r="BB21" s="362"/>
      <c r="BC21" s="362"/>
      <c r="BD21" s="362"/>
      <c r="BE21" s="362"/>
      <c r="BF21" s="362"/>
      <c r="BG21" s="362"/>
      <c r="BH21" s="362"/>
      <c r="BI21" s="362"/>
      <c r="BJ21" s="362"/>
      <c r="BK21" s="362"/>
      <c r="BL21" s="362"/>
      <c r="BM21" s="362"/>
      <c r="BN21" s="362"/>
      <c r="BO21" s="362"/>
      <c r="BP21" s="362"/>
      <c r="BQ21" s="362"/>
      <c r="BR21" s="362"/>
      <c r="BS21" s="362"/>
      <c r="BT21" s="362"/>
    </row>
    <row r="22" spans="1:72" s="363" customFormat="1" ht="15.75" customHeight="1" x14ac:dyDescent="0.2">
      <c r="A22" s="164"/>
      <c r="B22" s="365" t="s">
        <v>158</v>
      </c>
      <c r="C22" s="166"/>
      <c r="D22" s="166"/>
      <c r="E22" s="166"/>
      <c r="F22" s="176"/>
      <c r="G22" s="364">
        <f>SUM(G23:G26)</f>
        <v>104578</v>
      </c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362"/>
      <c r="AH22" s="362"/>
      <c r="AI22" s="362"/>
      <c r="AJ22" s="362"/>
      <c r="AK22" s="362"/>
      <c r="AL22" s="362"/>
      <c r="AM22" s="362"/>
      <c r="AN22" s="362"/>
      <c r="AO22" s="362"/>
      <c r="AP22" s="362"/>
      <c r="AQ22" s="362"/>
      <c r="AR22" s="362"/>
      <c r="AS22" s="362"/>
      <c r="AT22" s="362"/>
      <c r="AU22" s="362"/>
      <c r="AV22" s="362"/>
      <c r="AW22" s="362"/>
      <c r="AX22" s="362"/>
      <c r="AY22" s="362"/>
      <c r="AZ22" s="362"/>
      <c r="BA22" s="362"/>
      <c r="BB22" s="362"/>
      <c r="BC22" s="362"/>
      <c r="BD22" s="362"/>
      <c r="BE22" s="362"/>
      <c r="BF22" s="362"/>
      <c r="BG22" s="362"/>
      <c r="BH22" s="362"/>
      <c r="BI22" s="362"/>
      <c r="BJ22" s="362"/>
      <c r="BK22" s="362"/>
      <c r="BL22" s="362"/>
      <c r="BM22" s="362"/>
      <c r="BN22" s="362"/>
      <c r="BO22" s="362"/>
      <c r="BP22" s="362"/>
      <c r="BQ22" s="362"/>
      <c r="BR22" s="362"/>
      <c r="BS22" s="362"/>
      <c r="BT22" s="362"/>
    </row>
    <row r="23" spans="1:72" s="363" customFormat="1" ht="15.75" customHeight="1" x14ac:dyDescent="0.2">
      <c r="A23" s="164"/>
      <c r="B23" s="165"/>
      <c r="C23" s="183"/>
      <c r="D23" s="166"/>
      <c r="E23" s="166" t="s">
        <v>159</v>
      </c>
      <c r="F23" s="176" t="s">
        <v>153</v>
      </c>
      <c r="G23" s="177">
        <f>6793+17721+1255+4296+50257+6450+14926</f>
        <v>101698</v>
      </c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/>
      <c r="AC23" s="362"/>
      <c r="AD23" s="362"/>
      <c r="AE23" s="362"/>
      <c r="AF23" s="362"/>
      <c r="AG23" s="362"/>
      <c r="AH23" s="362"/>
      <c r="AI23" s="362"/>
      <c r="AJ23" s="362"/>
      <c r="AK23" s="362"/>
      <c r="AL23" s="362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362"/>
      <c r="AX23" s="362"/>
      <c r="AY23" s="362"/>
      <c r="AZ23" s="362"/>
      <c r="BA23" s="362"/>
      <c r="BB23" s="362"/>
      <c r="BC23" s="362"/>
      <c r="BD23" s="362"/>
      <c r="BE23" s="362"/>
      <c r="BF23" s="362"/>
      <c r="BG23" s="362"/>
      <c r="BH23" s="362"/>
      <c r="BI23" s="362"/>
      <c r="BJ23" s="362"/>
      <c r="BK23" s="362"/>
      <c r="BL23" s="362"/>
      <c r="BM23" s="362"/>
      <c r="BN23" s="362"/>
      <c r="BO23" s="362"/>
      <c r="BP23" s="362"/>
      <c r="BQ23" s="362"/>
      <c r="BR23" s="362"/>
      <c r="BS23" s="362"/>
      <c r="BT23" s="362"/>
    </row>
    <row r="24" spans="1:72" s="363" customFormat="1" ht="15.75" customHeight="1" x14ac:dyDescent="0.2">
      <c r="A24" s="164"/>
      <c r="B24" s="165"/>
      <c r="C24" s="183"/>
      <c r="D24" s="166"/>
      <c r="E24" s="166" t="s">
        <v>160</v>
      </c>
      <c r="F24" s="176" t="s">
        <v>153</v>
      </c>
      <c r="G24" s="177">
        <v>30</v>
      </c>
      <c r="H24" s="362"/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  <c r="AD24" s="362"/>
      <c r="AE24" s="362"/>
      <c r="AF24" s="362"/>
      <c r="AG24" s="362"/>
      <c r="AH24" s="362"/>
      <c r="AI24" s="362"/>
      <c r="AJ24" s="362"/>
      <c r="AK24" s="362"/>
      <c r="AL24" s="362"/>
      <c r="AM24" s="362"/>
      <c r="AN24" s="362"/>
      <c r="AO24" s="362"/>
      <c r="AP24" s="362"/>
      <c r="AQ24" s="362"/>
      <c r="AR24" s="362"/>
      <c r="AS24" s="362"/>
      <c r="AT24" s="362"/>
      <c r="AU24" s="362"/>
      <c r="AV24" s="362"/>
      <c r="AW24" s="362"/>
      <c r="AX24" s="362"/>
      <c r="AY24" s="362"/>
      <c r="AZ24" s="362"/>
      <c r="BA24" s="362"/>
      <c r="BB24" s="362"/>
      <c r="BC24" s="362"/>
      <c r="BD24" s="362"/>
      <c r="BE24" s="362"/>
      <c r="BF24" s="362"/>
      <c r="BG24" s="362"/>
      <c r="BH24" s="362"/>
      <c r="BI24" s="362"/>
      <c r="BJ24" s="362"/>
      <c r="BK24" s="362"/>
      <c r="BL24" s="362"/>
      <c r="BM24" s="362"/>
      <c r="BN24" s="362"/>
      <c r="BO24" s="362"/>
      <c r="BP24" s="362"/>
      <c r="BQ24" s="362"/>
      <c r="BR24" s="362"/>
      <c r="BS24" s="362"/>
      <c r="BT24" s="362"/>
    </row>
    <row r="25" spans="1:72" s="363" customFormat="1" ht="15.75" customHeight="1" x14ac:dyDescent="0.2">
      <c r="A25" s="164"/>
      <c r="B25" s="165"/>
      <c r="C25" s="183"/>
      <c r="D25" s="166"/>
      <c r="E25" s="166" t="s">
        <v>165</v>
      </c>
      <c r="F25" s="176" t="s">
        <v>153</v>
      </c>
      <c r="G25" s="177">
        <f>92+470+21+1258+161+373</f>
        <v>2375</v>
      </c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62"/>
      <c r="AH25" s="362"/>
      <c r="AI25" s="362"/>
      <c r="AJ25" s="362"/>
      <c r="AK25" s="362"/>
      <c r="AL25" s="362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2"/>
      <c r="AY25" s="362"/>
      <c r="AZ25" s="362"/>
      <c r="BA25" s="362"/>
      <c r="BB25" s="362"/>
      <c r="BC25" s="362"/>
      <c r="BD25" s="362"/>
      <c r="BE25" s="362"/>
      <c r="BF25" s="362"/>
      <c r="BG25" s="362"/>
      <c r="BH25" s="362"/>
      <c r="BI25" s="362"/>
      <c r="BJ25" s="362"/>
      <c r="BK25" s="362"/>
      <c r="BL25" s="362"/>
      <c r="BM25" s="362"/>
      <c r="BN25" s="362"/>
      <c r="BO25" s="362"/>
      <c r="BP25" s="362"/>
      <c r="BQ25" s="362"/>
      <c r="BR25" s="362"/>
      <c r="BS25" s="362"/>
      <c r="BT25" s="362"/>
    </row>
    <row r="26" spans="1:72" s="363" customFormat="1" ht="15.75" customHeight="1" x14ac:dyDescent="0.2">
      <c r="A26" s="164"/>
      <c r="B26" s="165"/>
      <c r="C26" s="183"/>
      <c r="D26" s="166"/>
      <c r="E26" s="166" t="s">
        <v>166</v>
      </c>
      <c r="F26" s="176" t="s">
        <v>153</v>
      </c>
      <c r="G26" s="177">
        <f>112+5+250+33+75</f>
        <v>475</v>
      </c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62"/>
      <c r="AH26" s="362"/>
      <c r="AI26" s="362"/>
      <c r="AJ26" s="362"/>
      <c r="AK26" s="362"/>
      <c r="AL26" s="362"/>
      <c r="AM26" s="362"/>
      <c r="AN26" s="362"/>
      <c r="AO26" s="362"/>
      <c r="AP26" s="362"/>
      <c r="AQ26" s="362"/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2"/>
      <c r="BC26" s="362"/>
      <c r="BD26" s="362"/>
      <c r="BE26" s="362"/>
      <c r="BF26" s="362"/>
      <c r="BG26" s="362"/>
      <c r="BH26" s="362"/>
      <c r="BI26" s="362"/>
      <c r="BJ26" s="362"/>
      <c r="BK26" s="362"/>
      <c r="BL26" s="362"/>
      <c r="BM26" s="362"/>
      <c r="BN26" s="362"/>
      <c r="BO26" s="362"/>
      <c r="BP26" s="362"/>
      <c r="BQ26" s="362"/>
      <c r="BR26" s="362"/>
      <c r="BS26" s="362"/>
      <c r="BT26" s="362"/>
    </row>
    <row r="27" spans="1:72" s="363" customFormat="1" ht="15.75" customHeight="1" x14ac:dyDescent="0.2">
      <c r="A27" s="178"/>
      <c r="B27" s="179"/>
      <c r="C27" s="180"/>
      <c r="D27" s="167"/>
      <c r="E27" s="167"/>
      <c r="F27" s="169"/>
      <c r="G27" s="181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362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2"/>
      <c r="AY27" s="362"/>
      <c r="AZ27" s="362"/>
      <c r="BA27" s="362"/>
      <c r="BB27" s="362"/>
      <c r="BC27" s="362"/>
      <c r="BD27" s="362"/>
      <c r="BE27" s="362"/>
      <c r="BF27" s="362"/>
      <c r="BG27" s="362"/>
      <c r="BH27" s="362"/>
      <c r="BI27" s="362"/>
      <c r="BJ27" s="362"/>
      <c r="BK27" s="362"/>
      <c r="BL27" s="362"/>
      <c r="BM27" s="362"/>
      <c r="BN27" s="362"/>
      <c r="BO27" s="362"/>
      <c r="BP27" s="362"/>
      <c r="BQ27" s="362"/>
      <c r="BR27" s="362"/>
      <c r="BS27" s="362"/>
      <c r="BT27" s="362"/>
    </row>
    <row r="28" spans="1:72" s="363" customFormat="1" ht="15.75" customHeight="1" x14ac:dyDescent="0.2">
      <c r="A28" s="164"/>
      <c r="B28" s="165"/>
      <c r="C28" s="166"/>
      <c r="D28" s="166"/>
      <c r="E28" s="167" t="s">
        <v>152</v>
      </c>
      <c r="F28" s="168">
        <f>119646+106488+19584+20502+11322+7038+12852+12546+5508+6426+18972+18666+7344</f>
        <v>366894</v>
      </c>
      <c r="G28" s="169" t="s">
        <v>153</v>
      </c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  <c r="Z28" s="362"/>
      <c r="AA28" s="362"/>
      <c r="AB28" s="362"/>
      <c r="AC28" s="362"/>
      <c r="AD28" s="362"/>
      <c r="AE28" s="362"/>
      <c r="AF28" s="362"/>
      <c r="AG28" s="362"/>
      <c r="AH28" s="362"/>
      <c r="AI28" s="362"/>
      <c r="AJ28" s="362"/>
      <c r="AK28" s="362"/>
      <c r="AL28" s="362"/>
      <c r="AM28" s="362"/>
      <c r="AN28" s="362"/>
      <c r="AO28" s="362"/>
      <c r="AP28" s="362"/>
      <c r="AQ28" s="362"/>
      <c r="AR28" s="362"/>
      <c r="AS28" s="362"/>
      <c r="AT28" s="362"/>
      <c r="AU28" s="362"/>
      <c r="AV28" s="362"/>
      <c r="AW28" s="362"/>
      <c r="AX28" s="362"/>
      <c r="AY28" s="362"/>
      <c r="AZ28" s="362"/>
      <c r="BA28" s="362"/>
      <c r="BB28" s="362"/>
      <c r="BC28" s="362"/>
      <c r="BD28" s="362"/>
      <c r="BE28" s="362"/>
      <c r="BF28" s="362"/>
      <c r="BG28" s="362"/>
      <c r="BH28" s="362"/>
      <c r="BI28" s="362"/>
      <c r="BJ28" s="362"/>
      <c r="BK28" s="362"/>
      <c r="BL28" s="362"/>
      <c r="BM28" s="362"/>
      <c r="BN28" s="362"/>
      <c r="BO28" s="362"/>
      <c r="BP28" s="362"/>
      <c r="BQ28" s="362"/>
      <c r="BR28" s="362"/>
      <c r="BS28" s="362"/>
      <c r="BT28" s="362"/>
    </row>
    <row r="29" spans="1:72" s="363" customFormat="1" ht="24" x14ac:dyDescent="0.2">
      <c r="A29" s="170" t="s">
        <v>167</v>
      </c>
      <c r="B29" s="171" t="s">
        <v>168</v>
      </c>
      <c r="C29" s="166" t="s">
        <v>169</v>
      </c>
      <c r="D29" s="166" t="s">
        <v>170</v>
      </c>
      <c r="E29" s="172" t="s">
        <v>153</v>
      </c>
      <c r="F29" s="173" t="s">
        <v>153</v>
      </c>
      <c r="G29" s="174">
        <f>SUM(G31)</f>
        <v>366894</v>
      </c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  <c r="AH29" s="362"/>
      <c r="AI29" s="362"/>
      <c r="AJ29" s="362"/>
      <c r="AK29" s="362"/>
      <c r="AL29" s="362"/>
      <c r="AM29" s="362"/>
      <c r="AN29" s="362"/>
      <c r="AO29" s="362"/>
      <c r="AP29" s="362"/>
      <c r="AQ29" s="362"/>
      <c r="AR29" s="362"/>
      <c r="AS29" s="362"/>
      <c r="AT29" s="362"/>
      <c r="AU29" s="362"/>
      <c r="AV29" s="362"/>
      <c r="AW29" s="362"/>
      <c r="AX29" s="362"/>
      <c r="AY29" s="362"/>
      <c r="AZ29" s="362"/>
      <c r="BA29" s="362"/>
      <c r="BB29" s="362"/>
      <c r="BC29" s="362"/>
      <c r="BD29" s="362"/>
      <c r="BE29" s="362"/>
      <c r="BF29" s="362"/>
      <c r="BG29" s="362"/>
      <c r="BH29" s="362"/>
      <c r="BI29" s="362"/>
      <c r="BJ29" s="362"/>
      <c r="BK29" s="362"/>
      <c r="BL29" s="362"/>
      <c r="BM29" s="362"/>
      <c r="BN29" s="362"/>
      <c r="BO29" s="362"/>
      <c r="BP29" s="362"/>
      <c r="BQ29" s="362"/>
      <c r="BR29" s="362"/>
      <c r="BS29" s="362"/>
      <c r="BT29" s="362"/>
    </row>
    <row r="30" spans="1:72" s="363" customFormat="1" ht="10.5" customHeight="1" x14ac:dyDescent="0.2">
      <c r="A30" s="164"/>
      <c r="B30" s="175"/>
      <c r="C30" s="166"/>
      <c r="D30" s="166"/>
      <c r="E30" s="166"/>
      <c r="F30" s="176"/>
      <c r="G30" s="364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362"/>
      <c r="AR30" s="362"/>
      <c r="AS30" s="362"/>
      <c r="AT30" s="362"/>
      <c r="AU30" s="362"/>
      <c r="AV30" s="362"/>
      <c r="AW30" s="362"/>
      <c r="AX30" s="362"/>
      <c r="AY30" s="362"/>
      <c r="AZ30" s="362"/>
      <c r="BA30" s="362"/>
      <c r="BB30" s="362"/>
      <c r="BC30" s="362"/>
      <c r="BD30" s="362"/>
      <c r="BE30" s="362"/>
      <c r="BF30" s="362"/>
      <c r="BG30" s="362"/>
      <c r="BH30" s="362"/>
      <c r="BI30" s="362"/>
      <c r="BJ30" s="362"/>
      <c r="BK30" s="362"/>
      <c r="BL30" s="362"/>
      <c r="BM30" s="362"/>
      <c r="BN30" s="362"/>
      <c r="BO30" s="362"/>
      <c r="BP30" s="362"/>
      <c r="BQ30" s="362"/>
      <c r="BR30" s="362"/>
      <c r="BS30" s="362"/>
      <c r="BT30" s="362"/>
    </row>
    <row r="31" spans="1:72" s="363" customFormat="1" ht="15.75" customHeight="1" x14ac:dyDescent="0.2">
      <c r="A31" s="164"/>
      <c r="B31" s="365" t="s">
        <v>158</v>
      </c>
      <c r="C31" s="166"/>
      <c r="D31" s="166"/>
      <c r="E31" s="166"/>
      <c r="F31" s="176"/>
      <c r="G31" s="364">
        <f>SUM(G32:G34)</f>
        <v>366894</v>
      </c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  <c r="AH31" s="362"/>
      <c r="AI31" s="362"/>
      <c r="AJ31" s="362"/>
      <c r="AK31" s="362"/>
      <c r="AL31" s="362"/>
      <c r="AM31" s="362"/>
      <c r="AN31" s="362"/>
      <c r="AO31" s="362"/>
      <c r="AP31" s="362"/>
      <c r="AQ31" s="362"/>
      <c r="AR31" s="362"/>
      <c r="AS31" s="362"/>
      <c r="AT31" s="362"/>
      <c r="AU31" s="362"/>
      <c r="AV31" s="362"/>
      <c r="AW31" s="362"/>
      <c r="AX31" s="362"/>
      <c r="AY31" s="362"/>
      <c r="AZ31" s="362"/>
      <c r="BA31" s="362"/>
      <c r="BB31" s="362"/>
      <c r="BC31" s="362"/>
      <c r="BD31" s="362"/>
      <c r="BE31" s="362"/>
      <c r="BF31" s="362"/>
      <c r="BG31" s="362"/>
      <c r="BH31" s="362"/>
      <c r="BI31" s="362"/>
      <c r="BJ31" s="362"/>
      <c r="BK31" s="362"/>
      <c r="BL31" s="362"/>
      <c r="BM31" s="362"/>
      <c r="BN31" s="362"/>
      <c r="BO31" s="362"/>
      <c r="BP31" s="362"/>
      <c r="BQ31" s="362"/>
      <c r="BR31" s="362"/>
      <c r="BS31" s="362"/>
      <c r="BT31" s="362"/>
    </row>
    <row r="32" spans="1:72" s="363" customFormat="1" ht="15.75" customHeight="1" x14ac:dyDescent="0.2">
      <c r="A32" s="164"/>
      <c r="B32" s="165"/>
      <c r="C32" s="166"/>
      <c r="D32" s="166"/>
      <c r="E32" s="166" t="s">
        <v>159</v>
      </c>
      <c r="F32" s="176" t="s">
        <v>153</v>
      </c>
      <c r="G32" s="177">
        <f>12600+279000+5400+12300+6300+18600+18300+7200</f>
        <v>359700</v>
      </c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2"/>
      <c r="Z32" s="362"/>
      <c r="AA32" s="362"/>
      <c r="AB32" s="362"/>
      <c r="AC32" s="362"/>
      <c r="AD32" s="362"/>
      <c r="AE32" s="362"/>
      <c r="AF32" s="362"/>
      <c r="AG32" s="362"/>
      <c r="AH32" s="362"/>
      <c r="AI32" s="362"/>
      <c r="AJ32" s="362"/>
      <c r="AK32" s="362"/>
      <c r="AL32" s="362"/>
      <c r="AM32" s="362"/>
      <c r="AN32" s="362"/>
      <c r="AO32" s="362"/>
      <c r="AP32" s="362"/>
      <c r="AQ32" s="362"/>
      <c r="AR32" s="362"/>
      <c r="AS32" s="362"/>
      <c r="AT32" s="362"/>
      <c r="AU32" s="362"/>
      <c r="AV32" s="362"/>
      <c r="AW32" s="362"/>
      <c r="AX32" s="362"/>
      <c r="AY32" s="362"/>
      <c r="AZ32" s="362"/>
      <c r="BA32" s="362"/>
      <c r="BB32" s="362"/>
      <c r="BC32" s="362"/>
      <c r="BD32" s="362"/>
      <c r="BE32" s="362"/>
      <c r="BF32" s="362"/>
      <c r="BG32" s="362"/>
      <c r="BH32" s="362"/>
      <c r="BI32" s="362"/>
      <c r="BJ32" s="362"/>
      <c r="BK32" s="362"/>
      <c r="BL32" s="362"/>
      <c r="BM32" s="362"/>
      <c r="BN32" s="362"/>
      <c r="BO32" s="362"/>
      <c r="BP32" s="362"/>
      <c r="BQ32" s="362"/>
      <c r="BR32" s="362"/>
      <c r="BS32" s="362"/>
      <c r="BT32" s="362"/>
    </row>
    <row r="33" spans="1:72" s="363" customFormat="1" ht="15.75" customHeight="1" x14ac:dyDescent="0.2">
      <c r="A33" s="164"/>
      <c r="B33" s="165"/>
      <c r="C33" s="183"/>
      <c r="D33" s="166"/>
      <c r="E33" s="166" t="s">
        <v>165</v>
      </c>
      <c r="F33" s="176" t="s">
        <v>153</v>
      </c>
      <c r="G33" s="177">
        <f>210+4638+90+205+105+310+305+120</f>
        <v>5983</v>
      </c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  <c r="AI33" s="362"/>
      <c r="AJ33" s="362"/>
      <c r="AK33" s="362"/>
      <c r="AL33" s="362"/>
      <c r="AM33" s="362"/>
      <c r="AN33" s="362"/>
      <c r="AO33" s="362"/>
      <c r="AP33" s="362"/>
      <c r="AQ33" s="362"/>
      <c r="AR33" s="362"/>
      <c r="AS33" s="362"/>
      <c r="AT33" s="362"/>
      <c r="AU33" s="362"/>
      <c r="AV33" s="362"/>
      <c r="AW33" s="362"/>
      <c r="AX33" s="362"/>
      <c r="AY33" s="362"/>
      <c r="AZ33" s="362"/>
      <c r="BA33" s="362"/>
      <c r="BB33" s="362"/>
      <c r="BC33" s="362"/>
      <c r="BD33" s="362"/>
      <c r="BE33" s="362"/>
      <c r="BF33" s="362"/>
      <c r="BG33" s="362"/>
      <c r="BH33" s="362"/>
      <c r="BI33" s="362"/>
      <c r="BJ33" s="362"/>
      <c r="BK33" s="362"/>
      <c r="BL33" s="362"/>
      <c r="BM33" s="362"/>
      <c r="BN33" s="362"/>
      <c r="BO33" s="362"/>
      <c r="BP33" s="362"/>
      <c r="BQ33" s="362"/>
      <c r="BR33" s="362"/>
      <c r="BS33" s="362"/>
      <c r="BT33" s="362"/>
    </row>
    <row r="34" spans="1:72" s="363" customFormat="1" ht="15.75" customHeight="1" x14ac:dyDescent="0.2">
      <c r="A34" s="164"/>
      <c r="B34" s="165"/>
      <c r="C34" s="183"/>
      <c r="D34" s="166"/>
      <c r="E34" s="166" t="s">
        <v>166</v>
      </c>
      <c r="F34" s="176" t="s">
        <v>153</v>
      </c>
      <c r="G34" s="177">
        <f>42+815+115+12+18+41+21+62+61+24</f>
        <v>1211</v>
      </c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  <c r="AI34" s="362"/>
      <c r="AJ34" s="362"/>
      <c r="AK34" s="362"/>
      <c r="AL34" s="362"/>
      <c r="AM34" s="362"/>
      <c r="AN34" s="362"/>
      <c r="AO34" s="362"/>
      <c r="AP34" s="362"/>
      <c r="AQ34" s="362"/>
      <c r="AR34" s="362"/>
      <c r="AS34" s="362"/>
      <c r="AT34" s="362"/>
      <c r="AU34" s="362"/>
      <c r="AV34" s="362"/>
      <c r="AW34" s="362"/>
      <c r="AX34" s="362"/>
      <c r="AY34" s="362"/>
      <c r="AZ34" s="362"/>
      <c r="BA34" s="362"/>
      <c r="BB34" s="362"/>
      <c r="BC34" s="362"/>
      <c r="BD34" s="362"/>
      <c r="BE34" s="362"/>
      <c r="BF34" s="362"/>
      <c r="BG34" s="362"/>
      <c r="BH34" s="362"/>
      <c r="BI34" s="362"/>
      <c r="BJ34" s="362"/>
      <c r="BK34" s="362"/>
      <c r="BL34" s="362"/>
      <c r="BM34" s="362"/>
      <c r="BN34" s="362"/>
      <c r="BO34" s="362"/>
      <c r="BP34" s="362"/>
      <c r="BQ34" s="362"/>
      <c r="BR34" s="362"/>
      <c r="BS34" s="362"/>
      <c r="BT34" s="362"/>
    </row>
    <row r="35" spans="1:72" s="363" customFormat="1" ht="15.75" customHeight="1" x14ac:dyDescent="0.2">
      <c r="A35" s="178"/>
      <c r="B35" s="179"/>
      <c r="C35" s="180"/>
      <c r="D35" s="167"/>
      <c r="E35" s="167"/>
      <c r="F35" s="169"/>
      <c r="G35" s="181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  <c r="Z35" s="362"/>
      <c r="AA35" s="362"/>
      <c r="AB35" s="362"/>
      <c r="AC35" s="362"/>
      <c r="AD35" s="362"/>
      <c r="AE35" s="362"/>
      <c r="AF35" s="362"/>
      <c r="AG35" s="362"/>
      <c r="AH35" s="362"/>
      <c r="AI35" s="362"/>
      <c r="AJ35" s="362"/>
      <c r="AK35" s="362"/>
      <c r="AL35" s="362"/>
      <c r="AM35" s="362"/>
      <c r="AN35" s="362"/>
      <c r="AO35" s="362"/>
      <c r="AP35" s="362"/>
      <c r="AQ35" s="362"/>
      <c r="AR35" s="362"/>
      <c r="AS35" s="362"/>
      <c r="AT35" s="362"/>
      <c r="AU35" s="362"/>
      <c r="AV35" s="362"/>
      <c r="AW35" s="362"/>
      <c r="AX35" s="362"/>
      <c r="AY35" s="362"/>
      <c r="AZ35" s="362"/>
      <c r="BA35" s="362"/>
      <c r="BB35" s="362"/>
      <c r="BC35" s="362"/>
      <c r="BD35" s="362"/>
      <c r="BE35" s="362"/>
      <c r="BF35" s="362"/>
      <c r="BG35" s="362"/>
      <c r="BH35" s="362"/>
      <c r="BI35" s="362"/>
      <c r="BJ35" s="362"/>
      <c r="BK35" s="362"/>
      <c r="BL35" s="362"/>
      <c r="BM35" s="362"/>
      <c r="BN35" s="362"/>
      <c r="BO35" s="362"/>
      <c r="BP35" s="362"/>
      <c r="BQ35" s="362"/>
      <c r="BR35" s="362"/>
      <c r="BS35" s="362"/>
      <c r="BT35" s="362"/>
    </row>
    <row r="36" spans="1:72" s="363" customFormat="1" ht="21.75" customHeight="1" x14ac:dyDescent="0.2">
      <c r="A36" s="164"/>
      <c r="B36" s="165"/>
      <c r="C36" s="166" t="s">
        <v>171</v>
      </c>
      <c r="D36" s="166" t="s">
        <v>172</v>
      </c>
      <c r="E36" s="167" t="s">
        <v>152</v>
      </c>
      <c r="F36" s="168">
        <f>55248+183549+25396+225667+26112+20400+296179+19787+194352+194468+19414+186935+43176+208094+42084+245861</f>
        <v>1986722</v>
      </c>
      <c r="G36" s="169" t="s">
        <v>153</v>
      </c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2"/>
      <c r="AF36" s="362"/>
      <c r="AG36" s="362"/>
      <c r="AH36" s="362"/>
      <c r="AI36" s="362"/>
      <c r="AJ36" s="362"/>
      <c r="AK36" s="362"/>
      <c r="AL36" s="362"/>
      <c r="AM36" s="362"/>
      <c r="AN36" s="362"/>
      <c r="AO36" s="362"/>
      <c r="AP36" s="362"/>
      <c r="AQ36" s="362"/>
      <c r="AR36" s="362"/>
      <c r="AS36" s="362"/>
      <c r="AT36" s="362"/>
      <c r="AU36" s="362"/>
      <c r="AV36" s="362"/>
      <c r="AW36" s="362"/>
      <c r="AX36" s="362"/>
      <c r="AY36" s="362"/>
      <c r="AZ36" s="362"/>
      <c r="BA36" s="362"/>
      <c r="BB36" s="362"/>
      <c r="BC36" s="362"/>
      <c r="BD36" s="362"/>
      <c r="BE36" s="362"/>
      <c r="BF36" s="362"/>
      <c r="BG36" s="362"/>
      <c r="BH36" s="362"/>
      <c r="BI36" s="362"/>
      <c r="BJ36" s="362"/>
      <c r="BK36" s="362"/>
      <c r="BL36" s="362"/>
      <c r="BM36" s="362"/>
      <c r="BN36" s="362"/>
      <c r="BO36" s="362"/>
      <c r="BP36" s="362"/>
      <c r="BQ36" s="362"/>
      <c r="BR36" s="362"/>
      <c r="BS36" s="362"/>
      <c r="BT36" s="362"/>
    </row>
    <row r="37" spans="1:72" s="363" customFormat="1" ht="25.5" customHeight="1" x14ac:dyDescent="0.2">
      <c r="A37" s="170" t="s">
        <v>173</v>
      </c>
      <c r="B37" s="171" t="s">
        <v>174</v>
      </c>
      <c r="C37" s="166"/>
      <c r="D37" s="166"/>
      <c r="E37" s="172" t="s">
        <v>153</v>
      </c>
      <c r="F37" s="173" t="s">
        <v>153</v>
      </c>
      <c r="G37" s="174">
        <f>SUM(G40,G50,G60,G70,G75,G85,G95,G105,G110,G119,G124,G133)</f>
        <v>1986722</v>
      </c>
      <c r="H37" s="362"/>
      <c r="I37" s="184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2"/>
      <c r="U37" s="362"/>
      <c r="V37" s="362"/>
      <c r="W37" s="362"/>
      <c r="X37" s="362"/>
      <c r="Y37" s="362"/>
      <c r="Z37" s="362"/>
      <c r="AA37" s="362"/>
      <c r="AB37" s="362"/>
      <c r="AC37" s="362"/>
      <c r="AD37" s="362"/>
      <c r="AE37" s="362"/>
      <c r="AF37" s="362"/>
      <c r="AG37" s="362"/>
      <c r="AH37" s="362"/>
      <c r="AI37" s="362"/>
      <c r="AJ37" s="362"/>
      <c r="AK37" s="362"/>
      <c r="AL37" s="362"/>
      <c r="AM37" s="362"/>
      <c r="AN37" s="362"/>
      <c r="AO37" s="362"/>
      <c r="AP37" s="362"/>
      <c r="AQ37" s="362"/>
      <c r="AR37" s="362"/>
      <c r="AS37" s="362"/>
      <c r="AT37" s="362"/>
      <c r="AU37" s="362"/>
      <c r="AV37" s="362"/>
      <c r="AW37" s="362"/>
      <c r="AX37" s="362"/>
      <c r="AY37" s="362"/>
      <c r="AZ37" s="362"/>
      <c r="BA37" s="362"/>
      <c r="BB37" s="362"/>
      <c r="BC37" s="362"/>
      <c r="BD37" s="362"/>
      <c r="BE37" s="362"/>
      <c r="BF37" s="362"/>
      <c r="BG37" s="362"/>
      <c r="BH37" s="362"/>
      <c r="BI37" s="362"/>
      <c r="BJ37" s="362"/>
      <c r="BK37" s="362"/>
      <c r="BL37" s="362"/>
      <c r="BM37" s="362"/>
      <c r="BN37" s="362"/>
      <c r="BO37" s="362"/>
      <c r="BP37" s="362"/>
      <c r="BQ37" s="362"/>
      <c r="BR37" s="362"/>
      <c r="BS37" s="362"/>
      <c r="BT37" s="362"/>
    </row>
    <row r="38" spans="1:72" s="363" customFormat="1" ht="7.5" customHeight="1" x14ac:dyDescent="0.2">
      <c r="A38" s="164"/>
      <c r="B38" s="165"/>
      <c r="C38" s="183"/>
      <c r="D38" s="166"/>
      <c r="E38" s="166"/>
      <c r="F38" s="176"/>
      <c r="G38" s="177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2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362"/>
      <c r="AQ38" s="362"/>
      <c r="AR38" s="362"/>
      <c r="AS38" s="362"/>
      <c r="AT38" s="362"/>
      <c r="AU38" s="362"/>
      <c r="AV38" s="362"/>
      <c r="AW38" s="362"/>
      <c r="AX38" s="362"/>
      <c r="AY38" s="362"/>
      <c r="AZ38" s="362"/>
      <c r="BA38" s="362"/>
      <c r="BB38" s="362"/>
      <c r="BC38" s="362"/>
      <c r="BD38" s="362"/>
      <c r="BE38" s="362"/>
      <c r="BF38" s="362"/>
      <c r="BG38" s="362"/>
      <c r="BH38" s="362"/>
      <c r="BI38" s="362"/>
      <c r="BJ38" s="362"/>
      <c r="BK38" s="362"/>
      <c r="BL38" s="362"/>
      <c r="BM38" s="362"/>
      <c r="BN38" s="362"/>
      <c r="BO38" s="362"/>
      <c r="BP38" s="362"/>
      <c r="BQ38" s="362"/>
      <c r="BR38" s="362"/>
      <c r="BS38" s="362"/>
      <c r="BT38" s="362"/>
    </row>
    <row r="39" spans="1:72" s="363" customFormat="1" ht="12.75" customHeight="1" x14ac:dyDescent="0.2">
      <c r="A39" s="164"/>
      <c r="B39" s="165"/>
      <c r="C39" s="183"/>
      <c r="D39" s="166"/>
      <c r="E39" s="166"/>
      <c r="F39" s="176"/>
      <c r="G39" s="177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  <c r="AR39" s="362"/>
      <c r="AS39" s="362"/>
      <c r="AT39" s="362"/>
      <c r="AU39" s="362"/>
      <c r="AV39" s="362"/>
      <c r="AW39" s="362"/>
      <c r="AX39" s="362"/>
      <c r="AY39" s="362"/>
      <c r="AZ39" s="362"/>
      <c r="BA39" s="362"/>
      <c r="BB39" s="362"/>
      <c r="BC39" s="362"/>
      <c r="BD39" s="362"/>
      <c r="BE39" s="362"/>
      <c r="BF39" s="362"/>
      <c r="BG39" s="362"/>
      <c r="BH39" s="362"/>
      <c r="BI39" s="362"/>
      <c r="BJ39" s="362"/>
      <c r="BK39" s="362"/>
      <c r="BL39" s="362"/>
      <c r="BM39" s="362"/>
      <c r="BN39" s="362"/>
      <c r="BO39" s="362"/>
      <c r="BP39" s="362"/>
      <c r="BQ39" s="362"/>
      <c r="BR39" s="362"/>
      <c r="BS39" s="362"/>
      <c r="BT39" s="362"/>
    </row>
    <row r="40" spans="1:72" s="363" customFormat="1" ht="15.75" customHeight="1" x14ac:dyDescent="0.2">
      <c r="A40" s="164"/>
      <c r="B40" s="365" t="s">
        <v>175</v>
      </c>
      <c r="C40" s="166" t="s">
        <v>176</v>
      </c>
      <c r="D40" s="166" t="s">
        <v>177</v>
      </c>
      <c r="E40" s="172" t="s">
        <v>153</v>
      </c>
      <c r="F40" s="173" t="s">
        <v>153</v>
      </c>
      <c r="G40" s="174">
        <f>SUM(G42)</f>
        <v>1490016.5</v>
      </c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2"/>
      <c r="AL40" s="362"/>
      <c r="AM40" s="362"/>
      <c r="AN40" s="362"/>
      <c r="AO40" s="362"/>
      <c r="AP40" s="362"/>
      <c r="AQ40" s="362"/>
      <c r="AR40" s="362"/>
      <c r="AS40" s="362"/>
      <c r="AT40" s="362"/>
      <c r="AU40" s="362"/>
      <c r="AV40" s="362"/>
      <c r="AW40" s="362"/>
      <c r="AX40" s="362"/>
      <c r="AY40" s="362"/>
      <c r="AZ40" s="362"/>
      <c r="BA40" s="362"/>
      <c r="BB40" s="362"/>
      <c r="BC40" s="362"/>
      <c r="BD40" s="362"/>
      <c r="BE40" s="362"/>
      <c r="BF40" s="362"/>
      <c r="BG40" s="362"/>
      <c r="BH40" s="362"/>
      <c r="BI40" s="362"/>
      <c r="BJ40" s="362"/>
      <c r="BK40" s="362"/>
      <c r="BL40" s="362"/>
      <c r="BM40" s="362"/>
      <c r="BN40" s="362"/>
      <c r="BO40" s="362"/>
      <c r="BP40" s="362"/>
      <c r="BQ40" s="362"/>
      <c r="BR40" s="362"/>
      <c r="BS40" s="362"/>
      <c r="BT40" s="362"/>
    </row>
    <row r="41" spans="1:72" s="363" customFormat="1" ht="7.5" customHeight="1" x14ac:dyDescent="0.2">
      <c r="A41" s="164"/>
      <c r="B41" s="165"/>
      <c r="C41" s="183"/>
      <c r="D41" s="166"/>
      <c r="E41" s="166"/>
      <c r="F41" s="176"/>
      <c r="G41" s="177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  <c r="AE41" s="362"/>
      <c r="AF41" s="362"/>
      <c r="AG41" s="362"/>
      <c r="AH41" s="362"/>
      <c r="AI41" s="362"/>
      <c r="AJ41" s="362"/>
      <c r="AK41" s="362"/>
      <c r="AL41" s="362"/>
      <c r="AM41" s="362"/>
      <c r="AN41" s="362"/>
      <c r="AO41" s="362"/>
      <c r="AP41" s="362"/>
      <c r="AQ41" s="362"/>
      <c r="AR41" s="362"/>
      <c r="AS41" s="362"/>
      <c r="AT41" s="362"/>
      <c r="AU41" s="362"/>
      <c r="AV41" s="362"/>
      <c r="AW41" s="362"/>
      <c r="AX41" s="362"/>
      <c r="AY41" s="362"/>
      <c r="AZ41" s="362"/>
      <c r="BA41" s="362"/>
      <c r="BB41" s="362"/>
      <c r="BC41" s="362"/>
      <c r="BD41" s="362"/>
      <c r="BE41" s="362"/>
      <c r="BF41" s="362"/>
      <c r="BG41" s="362"/>
      <c r="BH41" s="362"/>
      <c r="BI41" s="362"/>
      <c r="BJ41" s="362"/>
      <c r="BK41" s="362"/>
      <c r="BL41" s="362"/>
      <c r="BM41" s="362"/>
      <c r="BN41" s="362"/>
      <c r="BO41" s="362"/>
      <c r="BP41" s="362"/>
      <c r="BQ41" s="362"/>
      <c r="BR41" s="362"/>
      <c r="BS41" s="362"/>
      <c r="BT41" s="362"/>
    </row>
    <row r="42" spans="1:72" s="363" customFormat="1" ht="15.75" customHeight="1" x14ac:dyDescent="0.2">
      <c r="A42" s="164"/>
      <c r="B42" s="165"/>
      <c r="C42" s="183"/>
      <c r="D42" s="166"/>
      <c r="E42" s="166"/>
      <c r="F42" s="176"/>
      <c r="G42" s="364">
        <f>SUM(G43:G48)</f>
        <v>1490016.5</v>
      </c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2"/>
      <c r="AA42" s="362"/>
      <c r="AB42" s="362"/>
      <c r="AC42" s="362"/>
      <c r="AD42" s="362"/>
      <c r="AE42" s="362"/>
      <c r="AF42" s="362"/>
      <c r="AG42" s="362"/>
      <c r="AH42" s="362"/>
      <c r="AI42" s="362"/>
      <c r="AJ42" s="362"/>
      <c r="AK42" s="362"/>
      <c r="AL42" s="362"/>
      <c r="AM42" s="362"/>
      <c r="AN42" s="362"/>
      <c r="AO42" s="362"/>
      <c r="AP42" s="362"/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2"/>
      <c r="BC42" s="362"/>
      <c r="BD42" s="362"/>
      <c r="BE42" s="362"/>
      <c r="BF42" s="362"/>
      <c r="BG42" s="362"/>
      <c r="BH42" s="362"/>
      <c r="BI42" s="362"/>
      <c r="BJ42" s="362"/>
      <c r="BK42" s="362"/>
      <c r="BL42" s="362"/>
      <c r="BM42" s="362"/>
      <c r="BN42" s="362"/>
      <c r="BO42" s="362"/>
      <c r="BP42" s="362"/>
      <c r="BQ42" s="362"/>
      <c r="BR42" s="362"/>
      <c r="BS42" s="362"/>
      <c r="BT42" s="362"/>
    </row>
    <row r="43" spans="1:72" s="363" customFormat="1" ht="15.75" customHeight="1" x14ac:dyDescent="0.2">
      <c r="A43" s="164"/>
      <c r="B43" s="165"/>
      <c r="C43" s="183"/>
      <c r="D43" s="166"/>
      <c r="E43" s="166" t="s">
        <v>178</v>
      </c>
      <c r="F43" s="176" t="s">
        <v>153</v>
      </c>
      <c r="G43" s="177">
        <f>6956.19+152362+982.22+156086.38+560805.41+151255</f>
        <v>1028447.2000000001</v>
      </c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2"/>
      <c r="AB43" s="362"/>
      <c r="AC43" s="362"/>
      <c r="AD43" s="362"/>
      <c r="AE43" s="362"/>
      <c r="AF43" s="362"/>
      <c r="AG43" s="362"/>
      <c r="AH43" s="362"/>
      <c r="AI43" s="362"/>
      <c r="AJ43" s="362"/>
      <c r="AK43" s="362"/>
      <c r="AL43" s="362"/>
      <c r="AM43" s="362"/>
      <c r="AN43" s="362"/>
      <c r="AO43" s="362"/>
      <c r="AP43" s="362"/>
      <c r="AQ43" s="362"/>
      <c r="AR43" s="362"/>
      <c r="AS43" s="362"/>
      <c r="AT43" s="362"/>
      <c r="AU43" s="362"/>
      <c r="AV43" s="362"/>
      <c r="AW43" s="362"/>
      <c r="AX43" s="362"/>
      <c r="AY43" s="362"/>
      <c r="AZ43" s="362"/>
      <c r="BA43" s="362"/>
      <c r="BB43" s="362"/>
      <c r="BC43" s="362"/>
      <c r="BD43" s="362"/>
      <c r="BE43" s="362"/>
      <c r="BF43" s="362"/>
      <c r="BG43" s="362"/>
      <c r="BH43" s="362"/>
      <c r="BI43" s="362"/>
      <c r="BJ43" s="362"/>
      <c r="BK43" s="362"/>
      <c r="BL43" s="362"/>
      <c r="BM43" s="362"/>
      <c r="BN43" s="362"/>
      <c r="BO43" s="362"/>
      <c r="BP43" s="362"/>
      <c r="BQ43" s="362"/>
      <c r="BR43" s="362"/>
      <c r="BS43" s="362"/>
      <c r="BT43" s="362"/>
    </row>
    <row r="44" spans="1:72" s="363" customFormat="1" ht="15.75" customHeight="1" x14ac:dyDescent="0.2">
      <c r="A44" s="164"/>
      <c r="B44" s="165"/>
      <c r="C44" s="183"/>
      <c r="D44" s="166"/>
      <c r="E44" s="166" t="s">
        <v>160</v>
      </c>
      <c r="F44" s="176" t="s">
        <v>153</v>
      </c>
      <c r="G44" s="177">
        <f>4832.25+747.09+2550+367+9217.72+100</f>
        <v>17814.059999999998</v>
      </c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2"/>
      <c r="Y44" s="362"/>
      <c r="Z44" s="362"/>
      <c r="AA44" s="362"/>
      <c r="AB44" s="362"/>
      <c r="AC44" s="362"/>
      <c r="AD44" s="362"/>
      <c r="AE44" s="362"/>
      <c r="AF44" s="362"/>
      <c r="AG44" s="362"/>
      <c r="AH44" s="362"/>
      <c r="AI44" s="362"/>
      <c r="AJ44" s="362"/>
      <c r="AK44" s="362"/>
      <c r="AL44" s="362"/>
      <c r="AM44" s="362"/>
      <c r="AN44" s="362"/>
      <c r="AO44" s="362"/>
      <c r="AP44" s="362"/>
      <c r="AQ44" s="362"/>
      <c r="AR44" s="362"/>
      <c r="AS44" s="362"/>
      <c r="AT44" s="362"/>
      <c r="AU44" s="362"/>
      <c r="AV44" s="362"/>
      <c r="AW44" s="362"/>
      <c r="AX44" s="362"/>
      <c r="AY44" s="362"/>
      <c r="AZ44" s="362"/>
      <c r="BA44" s="362"/>
      <c r="BB44" s="362"/>
      <c r="BC44" s="362"/>
      <c r="BD44" s="362"/>
      <c r="BE44" s="362"/>
      <c r="BF44" s="362"/>
      <c r="BG44" s="362"/>
      <c r="BH44" s="362"/>
      <c r="BI44" s="362"/>
      <c r="BJ44" s="362"/>
      <c r="BK44" s="362"/>
      <c r="BL44" s="362"/>
      <c r="BM44" s="362"/>
      <c r="BN44" s="362"/>
      <c r="BO44" s="362"/>
      <c r="BP44" s="362"/>
      <c r="BQ44" s="362"/>
      <c r="BR44" s="362"/>
      <c r="BS44" s="362"/>
      <c r="BT44" s="362"/>
    </row>
    <row r="45" spans="1:72" s="363" customFormat="1" ht="15.75" customHeight="1" x14ac:dyDescent="0.2">
      <c r="A45" s="164"/>
      <c r="B45" s="165"/>
      <c r="C45" s="183"/>
      <c r="D45" s="166"/>
      <c r="E45" s="166" t="s">
        <v>165</v>
      </c>
      <c r="F45" s="176" t="s">
        <v>153</v>
      </c>
      <c r="G45" s="177">
        <f>23300+23803.29-7052.34+27+10800</f>
        <v>50877.95</v>
      </c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62"/>
      <c r="AC45" s="362"/>
      <c r="AD45" s="362"/>
      <c r="AE45" s="362"/>
      <c r="AF45" s="362"/>
      <c r="AG45" s="362"/>
      <c r="AH45" s="362"/>
      <c r="AI45" s="362"/>
      <c r="AJ45" s="362"/>
      <c r="AK45" s="362"/>
      <c r="AL45" s="362"/>
      <c r="AM45" s="362"/>
      <c r="AN45" s="362"/>
      <c r="AO45" s="362"/>
      <c r="AP45" s="362"/>
      <c r="AQ45" s="362"/>
      <c r="AR45" s="362"/>
      <c r="AS45" s="362"/>
      <c r="AT45" s="362"/>
      <c r="AU45" s="362"/>
      <c r="AV45" s="362"/>
      <c r="AW45" s="362"/>
      <c r="AX45" s="362"/>
      <c r="AY45" s="362"/>
      <c r="AZ45" s="362"/>
      <c r="BA45" s="362"/>
      <c r="BB45" s="362"/>
      <c r="BC45" s="362"/>
      <c r="BD45" s="362"/>
      <c r="BE45" s="362"/>
      <c r="BF45" s="362"/>
      <c r="BG45" s="362"/>
      <c r="BH45" s="362"/>
      <c r="BI45" s="362"/>
      <c r="BJ45" s="362"/>
      <c r="BK45" s="362"/>
      <c r="BL45" s="362"/>
      <c r="BM45" s="362"/>
      <c r="BN45" s="362"/>
      <c r="BO45" s="362"/>
      <c r="BP45" s="362"/>
      <c r="BQ45" s="362"/>
      <c r="BR45" s="362"/>
      <c r="BS45" s="362"/>
      <c r="BT45" s="362"/>
    </row>
    <row r="46" spans="1:72" s="363" customFormat="1" ht="15.75" customHeight="1" x14ac:dyDescent="0.2">
      <c r="A46" s="164"/>
      <c r="B46" s="165"/>
      <c r="C46" s="183"/>
      <c r="D46" s="166"/>
      <c r="E46" s="166" t="s">
        <v>179</v>
      </c>
      <c r="F46" s="176" t="s">
        <v>153</v>
      </c>
      <c r="G46" s="177">
        <f>212347.85+304328.54+135776.15-179292.49-18060.81+109303.95+122149.3-16250-446490.66+2000</f>
        <v>225811.83000000013</v>
      </c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2"/>
      <c r="U46" s="362"/>
      <c r="V46" s="362"/>
      <c r="W46" s="362"/>
      <c r="X46" s="362"/>
      <c r="Y46" s="362"/>
      <c r="Z46" s="362"/>
      <c r="AA46" s="362"/>
      <c r="AB46" s="362"/>
      <c r="AC46" s="362"/>
      <c r="AD46" s="362"/>
      <c r="AE46" s="362"/>
      <c r="AF46" s="362"/>
      <c r="AG46" s="362"/>
      <c r="AH46" s="362"/>
      <c r="AI46" s="362"/>
      <c r="AJ46" s="362"/>
      <c r="AK46" s="362"/>
      <c r="AL46" s="362"/>
      <c r="AM46" s="362"/>
      <c r="AN46" s="362"/>
      <c r="AO46" s="362"/>
      <c r="AP46" s="362"/>
      <c r="AQ46" s="362"/>
      <c r="AR46" s="362"/>
      <c r="AS46" s="362"/>
      <c r="AT46" s="362"/>
      <c r="AU46" s="362"/>
      <c r="AV46" s="362"/>
      <c r="AW46" s="362"/>
      <c r="AX46" s="362"/>
      <c r="AY46" s="362"/>
      <c r="AZ46" s="362"/>
      <c r="BA46" s="362"/>
      <c r="BB46" s="362"/>
      <c r="BC46" s="362"/>
      <c r="BD46" s="362"/>
      <c r="BE46" s="362"/>
      <c r="BF46" s="362"/>
      <c r="BG46" s="362"/>
      <c r="BH46" s="362"/>
      <c r="BI46" s="362"/>
      <c r="BJ46" s="362"/>
      <c r="BK46" s="362"/>
      <c r="BL46" s="362"/>
      <c r="BM46" s="362"/>
      <c r="BN46" s="362"/>
      <c r="BO46" s="362"/>
      <c r="BP46" s="362"/>
      <c r="BQ46" s="362"/>
      <c r="BR46" s="362"/>
      <c r="BS46" s="362"/>
      <c r="BT46" s="362"/>
    </row>
    <row r="47" spans="1:72" s="363" customFormat="1" ht="15.75" customHeight="1" x14ac:dyDescent="0.2">
      <c r="A47" s="164"/>
      <c r="B47" s="165"/>
      <c r="C47" s="183"/>
      <c r="D47" s="166"/>
      <c r="E47" s="166" t="s">
        <v>166</v>
      </c>
      <c r="F47" s="176" t="s">
        <v>153</v>
      </c>
      <c r="G47" s="177">
        <f>49549.15+79640.81+33183.81-10197.27+57265.18+29666.1-1500-177241.64+285</f>
        <v>60651.139999999985</v>
      </c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  <c r="AA47" s="362"/>
      <c r="AB47" s="362"/>
      <c r="AC47" s="362"/>
      <c r="AD47" s="362"/>
      <c r="AE47" s="362"/>
      <c r="AF47" s="362"/>
      <c r="AG47" s="362"/>
      <c r="AH47" s="362"/>
      <c r="AI47" s="362"/>
      <c r="AJ47" s="362"/>
      <c r="AK47" s="362"/>
      <c r="AL47" s="362"/>
      <c r="AM47" s="362"/>
      <c r="AN47" s="362"/>
      <c r="AO47" s="362"/>
      <c r="AP47" s="362"/>
      <c r="AQ47" s="362"/>
      <c r="AR47" s="362"/>
      <c r="AS47" s="362"/>
      <c r="AT47" s="362"/>
      <c r="AU47" s="362"/>
      <c r="AV47" s="362"/>
      <c r="AW47" s="362"/>
      <c r="AX47" s="362"/>
      <c r="AY47" s="362"/>
      <c r="AZ47" s="362"/>
      <c r="BA47" s="362"/>
      <c r="BB47" s="362"/>
      <c r="BC47" s="362"/>
      <c r="BD47" s="362"/>
      <c r="BE47" s="362"/>
      <c r="BF47" s="362"/>
      <c r="BG47" s="362"/>
      <c r="BH47" s="362"/>
      <c r="BI47" s="362"/>
      <c r="BJ47" s="362"/>
      <c r="BK47" s="362"/>
      <c r="BL47" s="362"/>
      <c r="BM47" s="362"/>
      <c r="BN47" s="362"/>
      <c r="BO47" s="362"/>
      <c r="BP47" s="362"/>
      <c r="BQ47" s="362"/>
      <c r="BR47" s="362"/>
      <c r="BS47" s="362"/>
      <c r="BT47" s="362"/>
    </row>
    <row r="48" spans="1:72" s="363" customFormat="1" ht="15.75" customHeight="1" x14ac:dyDescent="0.2">
      <c r="A48" s="164"/>
      <c r="B48" s="165"/>
      <c r="C48" s="183"/>
      <c r="D48" s="166"/>
      <c r="E48" s="166" t="s">
        <v>180</v>
      </c>
      <c r="F48" s="176" t="s">
        <v>153</v>
      </c>
      <c r="G48" s="177">
        <f>40704.02+2176.91+16101.22+1873+43659.17+1900</f>
        <v>106414.31999999999</v>
      </c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362"/>
      <c r="X48" s="362"/>
      <c r="Y48" s="362"/>
      <c r="Z48" s="362"/>
      <c r="AA48" s="362"/>
      <c r="AB48" s="362"/>
      <c r="AC48" s="362"/>
      <c r="AD48" s="362"/>
      <c r="AE48" s="362"/>
      <c r="AF48" s="362"/>
      <c r="AG48" s="362"/>
      <c r="AH48" s="362"/>
      <c r="AI48" s="362"/>
      <c r="AJ48" s="362"/>
      <c r="AK48" s="362"/>
      <c r="AL48" s="362"/>
      <c r="AM48" s="362"/>
      <c r="AN48" s="362"/>
      <c r="AO48" s="362"/>
      <c r="AP48" s="362"/>
      <c r="AQ48" s="362"/>
      <c r="AR48" s="362"/>
      <c r="AS48" s="362"/>
      <c r="AT48" s="362"/>
      <c r="AU48" s="362"/>
      <c r="AV48" s="362"/>
      <c r="AW48" s="362"/>
      <c r="AX48" s="362"/>
      <c r="AY48" s="362"/>
      <c r="AZ48" s="362"/>
      <c r="BA48" s="362"/>
      <c r="BB48" s="362"/>
      <c r="BC48" s="362"/>
      <c r="BD48" s="362"/>
      <c r="BE48" s="362"/>
      <c r="BF48" s="362"/>
      <c r="BG48" s="362"/>
      <c r="BH48" s="362"/>
      <c r="BI48" s="362"/>
      <c r="BJ48" s="362"/>
      <c r="BK48" s="362"/>
      <c r="BL48" s="362"/>
      <c r="BM48" s="362"/>
      <c r="BN48" s="362"/>
      <c r="BO48" s="362"/>
      <c r="BP48" s="362"/>
      <c r="BQ48" s="362"/>
      <c r="BR48" s="362"/>
      <c r="BS48" s="362"/>
      <c r="BT48" s="362"/>
    </row>
    <row r="49" spans="1:72" s="363" customFormat="1" ht="12.75" customHeight="1" x14ac:dyDescent="0.2">
      <c r="A49" s="178"/>
      <c r="B49" s="179"/>
      <c r="C49" s="180"/>
      <c r="D49" s="167"/>
      <c r="E49" s="167"/>
      <c r="F49" s="169"/>
      <c r="G49" s="181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2"/>
      <c r="AA49" s="362"/>
      <c r="AB49" s="362"/>
      <c r="AC49" s="362"/>
      <c r="AD49" s="362"/>
      <c r="AE49" s="362"/>
      <c r="AF49" s="362"/>
      <c r="AG49" s="362"/>
      <c r="AH49" s="362"/>
      <c r="AI49" s="362"/>
      <c r="AJ49" s="362"/>
      <c r="AK49" s="362"/>
      <c r="AL49" s="362"/>
      <c r="AM49" s="362"/>
      <c r="AN49" s="362"/>
      <c r="AO49" s="362"/>
      <c r="AP49" s="362"/>
      <c r="AQ49" s="362"/>
      <c r="AR49" s="362"/>
      <c r="AS49" s="362"/>
      <c r="AT49" s="362"/>
      <c r="AU49" s="362"/>
      <c r="AV49" s="362"/>
      <c r="AW49" s="362"/>
      <c r="AX49" s="362"/>
      <c r="AY49" s="362"/>
      <c r="AZ49" s="362"/>
      <c r="BA49" s="362"/>
      <c r="BB49" s="362"/>
      <c r="BC49" s="362"/>
      <c r="BD49" s="362"/>
      <c r="BE49" s="362"/>
      <c r="BF49" s="362"/>
      <c r="BG49" s="362"/>
      <c r="BH49" s="362"/>
      <c r="BI49" s="362"/>
      <c r="BJ49" s="362"/>
      <c r="BK49" s="362"/>
      <c r="BL49" s="362"/>
      <c r="BM49" s="362"/>
      <c r="BN49" s="362"/>
      <c r="BO49" s="362"/>
      <c r="BP49" s="362"/>
      <c r="BQ49" s="362"/>
      <c r="BR49" s="362"/>
      <c r="BS49" s="362"/>
      <c r="BT49" s="362"/>
    </row>
    <row r="50" spans="1:72" s="363" customFormat="1" ht="21.75" customHeight="1" x14ac:dyDescent="0.2">
      <c r="A50" s="164"/>
      <c r="B50" s="365" t="s">
        <v>175</v>
      </c>
      <c r="C50" s="166" t="s">
        <v>176</v>
      </c>
      <c r="D50" s="166" t="s">
        <v>181</v>
      </c>
      <c r="E50" s="167" t="s">
        <v>153</v>
      </c>
      <c r="F50" s="169" t="s">
        <v>153</v>
      </c>
      <c r="G50" s="168">
        <f>SUM(G52)</f>
        <v>47792.259999999995</v>
      </c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  <c r="AM50" s="362"/>
      <c r="AN50" s="362"/>
      <c r="AO50" s="362"/>
      <c r="AP50" s="362"/>
      <c r="AQ50" s="362"/>
      <c r="AR50" s="362"/>
      <c r="AS50" s="362"/>
      <c r="AT50" s="362"/>
      <c r="AU50" s="362"/>
      <c r="AV50" s="362"/>
      <c r="AW50" s="362"/>
      <c r="AX50" s="362"/>
      <c r="AY50" s="362"/>
      <c r="AZ50" s="362"/>
      <c r="BA50" s="362"/>
      <c r="BB50" s="362"/>
      <c r="BC50" s="362"/>
      <c r="BD50" s="362"/>
      <c r="BE50" s="362"/>
      <c r="BF50" s="362"/>
      <c r="BG50" s="362"/>
      <c r="BH50" s="362"/>
      <c r="BI50" s="362"/>
      <c r="BJ50" s="362"/>
      <c r="BK50" s="362"/>
      <c r="BL50" s="362"/>
      <c r="BM50" s="362"/>
      <c r="BN50" s="362"/>
      <c r="BO50" s="362"/>
      <c r="BP50" s="362"/>
      <c r="BQ50" s="362"/>
      <c r="BR50" s="362"/>
      <c r="BS50" s="362"/>
      <c r="BT50" s="362"/>
    </row>
    <row r="51" spans="1:72" s="363" customFormat="1" ht="9.75" customHeight="1" x14ac:dyDescent="0.2">
      <c r="A51" s="164"/>
      <c r="B51" s="165"/>
      <c r="C51" s="183"/>
      <c r="D51" s="166"/>
      <c r="E51" s="166"/>
      <c r="F51" s="176"/>
      <c r="G51" s="177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362"/>
      <c r="Z51" s="362"/>
      <c r="AA51" s="362"/>
      <c r="AB51" s="362"/>
      <c r="AC51" s="362"/>
      <c r="AD51" s="362"/>
      <c r="AE51" s="362"/>
      <c r="AF51" s="362"/>
      <c r="AG51" s="362"/>
      <c r="AH51" s="362"/>
      <c r="AI51" s="362"/>
      <c r="AJ51" s="362"/>
      <c r="AK51" s="362"/>
      <c r="AL51" s="362"/>
      <c r="AM51" s="362"/>
      <c r="AN51" s="362"/>
      <c r="AO51" s="362"/>
      <c r="AP51" s="362"/>
      <c r="AQ51" s="362"/>
      <c r="AR51" s="362"/>
      <c r="AS51" s="362"/>
      <c r="AT51" s="362"/>
      <c r="AU51" s="362"/>
      <c r="AV51" s="362"/>
      <c r="AW51" s="362"/>
      <c r="AX51" s="362"/>
      <c r="AY51" s="362"/>
      <c r="AZ51" s="362"/>
      <c r="BA51" s="362"/>
      <c r="BB51" s="362"/>
      <c r="BC51" s="362"/>
      <c r="BD51" s="362"/>
      <c r="BE51" s="362"/>
      <c r="BF51" s="362"/>
      <c r="BG51" s="362"/>
      <c r="BH51" s="362"/>
      <c r="BI51" s="362"/>
      <c r="BJ51" s="362"/>
      <c r="BK51" s="362"/>
      <c r="BL51" s="362"/>
      <c r="BM51" s="362"/>
      <c r="BN51" s="362"/>
      <c r="BO51" s="362"/>
      <c r="BP51" s="362"/>
      <c r="BQ51" s="362"/>
      <c r="BR51" s="362"/>
      <c r="BS51" s="362"/>
      <c r="BT51" s="362"/>
    </row>
    <row r="52" spans="1:72" s="363" customFormat="1" ht="15.75" customHeight="1" x14ac:dyDescent="0.2">
      <c r="A52" s="164"/>
      <c r="B52" s="165"/>
      <c r="C52" s="183"/>
      <c r="D52" s="166"/>
      <c r="E52" s="166"/>
      <c r="F52" s="176"/>
      <c r="G52" s="364">
        <f>SUM(G53:G58)</f>
        <v>47792.259999999995</v>
      </c>
      <c r="H52" s="362"/>
      <c r="I52" s="362"/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62"/>
      <c r="AH52" s="362"/>
      <c r="AI52" s="362"/>
      <c r="AJ52" s="362"/>
      <c r="AK52" s="362"/>
      <c r="AL52" s="362"/>
      <c r="AM52" s="362"/>
      <c r="AN52" s="362"/>
      <c r="AO52" s="362"/>
      <c r="AP52" s="362"/>
      <c r="AQ52" s="362"/>
      <c r="AR52" s="362"/>
      <c r="AS52" s="362"/>
      <c r="AT52" s="362"/>
      <c r="AU52" s="362"/>
      <c r="AV52" s="362"/>
      <c r="AW52" s="362"/>
      <c r="AX52" s="362"/>
      <c r="AY52" s="362"/>
      <c r="AZ52" s="362"/>
      <c r="BA52" s="362"/>
      <c r="BB52" s="362"/>
      <c r="BC52" s="362"/>
      <c r="BD52" s="362"/>
      <c r="BE52" s="362"/>
      <c r="BF52" s="362"/>
      <c r="BG52" s="362"/>
      <c r="BH52" s="362"/>
      <c r="BI52" s="362"/>
      <c r="BJ52" s="362"/>
      <c r="BK52" s="362"/>
      <c r="BL52" s="362"/>
      <c r="BM52" s="362"/>
      <c r="BN52" s="362"/>
      <c r="BO52" s="362"/>
      <c r="BP52" s="362"/>
      <c r="BQ52" s="362"/>
      <c r="BR52" s="362"/>
      <c r="BS52" s="362"/>
      <c r="BT52" s="362"/>
    </row>
    <row r="53" spans="1:72" s="363" customFormat="1" ht="15.75" customHeight="1" x14ac:dyDescent="0.2">
      <c r="A53" s="164"/>
      <c r="B53" s="165"/>
      <c r="C53" s="183"/>
      <c r="D53" s="166"/>
      <c r="E53" s="166" t="s">
        <v>178</v>
      </c>
      <c r="F53" s="176" t="s">
        <v>153</v>
      </c>
      <c r="G53" s="177">
        <f>14000+11786+12114</f>
        <v>37900</v>
      </c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362"/>
      <c r="X53" s="362"/>
      <c r="Y53" s="362"/>
      <c r="Z53" s="362"/>
      <c r="AA53" s="362"/>
      <c r="AB53" s="362"/>
      <c r="AC53" s="362"/>
      <c r="AD53" s="362"/>
      <c r="AE53" s="362"/>
      <c r="AF53" s="362"/>
      <c r="AG53" s="362"/>
      <c r="AH53" s="362"/>
      <c r="AI53" s="362"/>
      <c r="AJ53" s="362"/>
      <c r="AK53" s="362"/>
      <c r="AL53" s="362"/>
      <c r="AM53" s="362"/>
      <c r="AN53" s="362"/>
      <c r="AO53" s="362"/>
      <c r="AP53" s="362"/>
      <c r="AQ53" s="362"/>
      <c r="AR53" s="362"/>
      <c r="AS53" s="362"/>
      <c r="AT53" s="362"/>
      <c r="AU53" s="362"/>
      <c r="AV53" s="362"/>
      <c r="AW53" s="362"/>
      <c r="AX53" s="362"/>
      <c r="AY53" s="362"/>
      <c r="AZ53" s="362"/>
      <c r="BA53" s="362"/>
      <c r="BB53" s="362"/>
      <c r="BC53" s="362"/>
      <c r="BD53" s="362"/>
      <c r="BE53" s="362"/>
      <c r="BF53" s="362"/>
      <c r="BG53" s="362"/>
      <c r="BH53" s="362"/>
      <c r="BI53" s="362"/>
      <c r="BJ53" s="362"/>
      <c r="BK53" s="362"/>
      <c r="BL53" s="362"/>
      <c r="BM53" s="362"/>
      <c r="BN53" s="362"/>
      <c r="BO53" s="362"/>
      <c r="BP53" s="362"/>
      <c r="BQ53" s="362"/>
      <c r="BR53" s="362"/>
      <c r="BS53" s="362"/>
      <c r="BT53" s="362"/>
    </row>
    <row r="54" spans="1:72" s="363" customFormat="1" ht="15.75" customHeight="1" x14ac:dyDescent="0.2">
      <c r="A54" s="164"/>
      <c r="B54" s="165"/>
      <c r="C54" s="183"/>
      <c r="D54" s="166"/>
      <c r="E54" s="166" t="s">
        <v>160</v>
      </c>
      <c r="F54" s="176" t="s">
        <v>153</v>
      </c>
      <c r="G54" s="177">
        <f>412.5+250</f>
        <v>662.5</v>
      </c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2"/>
      <c r="AD54" s="362"/>
      <c r="AE54" s="362"/>
      <c r="AF54" s="362"/>
      <c r="AG54" s="362"/>
      <c r="AH54" s="362"/>
      <c r="AI54" s="362"/>
      <c r="AJ54" s="362"/>
      <c r="AK54" s="362"/>
      <c r="AL54" s="362"/>
      <c r="AM54" s="362"/>
      <c r="AN54" s="362"/>
      <c r="AO54" s="362"/>
      <c r="AP54" s="362"/>
      <c r="AQ54" s="362"/>
      <c r="AR54" s="362"/>
      <c r="AS54" s="362"/>
      <c r="AT54" s="362"/>
      <c r="AU54" s="362"/>
      <c r="AV54" s="362"/>
      <c r="AW54" s="362"/>
      <c r="AX54" s="362"/>
      <c r="AY54" s="362"/>
      <c r="AZ54" s="362"/>
      <c r="BA54" s="362"/>
      <c r="BB54" s="362"/>
      <c r="BC54" s="362"/>
      <c r="BD54" s="362"/>
      <c r="BE54" s="362"/>
      <c r="BF54" s="362"/>
      <c r="BG54" s="362"/>
      <c r="BH54" s="362"/>
      <c r="BI54" s="362"/>
      <c r="BJ54" s="362"/>
      <c r="BK54" s="362"/>
      <c r="BL54" s="362"/>
      <c r="BM54" s="362"/>
      <c r="BN54" s="362"/>
      <c r="BO54" s="362"/>
      <c r="BP54" s="362"/>
      <c r="BQ54" s="362"/>
      <c r="BR54" s="362"/>
      <c r="BS54" s="362"/>
      <c r="BT54" s="362"/>
    </row>
    <row r="55" spans="1:72" s="363" customFormat="1" ht="15.75" customHeight="1" x14ac:dyDescent="0.2">
      <c r="A55" s="164"/>
      <c r="B55" s="165"/>
      <c r="C55" s="183"/>
      <c r="D55" s="166"/>
      <c r="E55" s="166" t="s">
        <v>165</v>
      </c>
      <c r="F55" s="176" t="s">
        <v>153</v>
      </c>
      <c r="G55" s="177">
        <f>3900-200</f>
        <v>3700</v>
      </c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2"/>
      <c r="AA55" s="362"/>
      <c r="AB55" s="362"/>
      <c r="AC55" s="362"/>
      <c r="AD55" s="362"/>
      <c r="AE55" s="362"/>
      <c r="AF55" s="362"/>
      <c r="AG55" s="362"/>
      <c r="AH55" s="362"/>
      <c r="AI55" s="362"/>
      <c r="AJ55" s="362"/>
      <c r="AK55" s="362"/>
      <c r="AL55" s="362"/>
      <c r="AM55" s="362"/>
      <c r="AN55" s="362"/>
      <c r="AO55" s="362"/>
      <c r="AP55" s="362"/>
      <c r="AQ55" s="362"/>
      <c r="AR55" s="362"/>
      <c r="AS55" s="362"/>
      <c r="AT55" s="362"/>
      <c r="AU55" s="362"/>
      <c r="AV55" s="362"/>
      <c r="AW55" s="362"/>
      <c r="AX55" s="362"/>
      <c r="AY55" s="362"/>
      <c r="AZ55" s="362"/>
      <c r="BA55" s="362"/>
      <c r="BB55" s="362"/>
      <c r="BC55" s="362"/>
      <c r="BD55" s="362"/>
      <c r="BE55" s="362"/>
      <c r="BF55" s="362"/>
      <c r="BG55" s="362"/>
      <c r="BH55" s="362"/>
      <c r="BI55" s="362"/>
      <c r="BJ55" s="362"/>
      <c r="BK55" s="362"/>
      <c r="BL55" s="362"/>
      <c r="BM55" s="362"/>
      <c r="BN55" s="362"/>
      <c r="BO55" s="362"/>
      <c r="BP55" s="362"/>
      <c r="BQ55" s="362"/>
      <c r="BR55" s="362"/>
      <c r="BS55" s="362"/>
      <c r="BT55" s="362"/>
    </row>
    <row r="56" spans="1:72" s="363" customFormat="1" ht="15.75" customHeight="1" x14ac:dyDescent="0.2">
      <c r="A56" s="164"/>
      <c r="B56" s="165"/>
      <c r="C56" s="183"/>
      <c r="D56" s="166"/>
      <c r="E56" s="166" t="s">
        <v>179</v>
      </c>
      <c r="F56" s="176" t="s">
        <v>153</v>
      </c>
      <c r="G56" s="177">
        <f>12295-12000+5742.73-2500</f>
        <v>3537.7299999999996</v>
      </c>
      <c r="H56" s="362"/>
      <c r="I56" s="362"/>
      <c r="J56" s="362"/>
      <c r="K56" s="362"/>
      <c r="L56" s="362"/>
      <c r="M56" s="362"/>
      <c r="N56" s="362"/>
      <c r="O56" s="362"/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2"/>
      <c r="AH56" s="362"/>
      <c r="AI56" s="362"/>
      <c r="AJ56" s="362"/>
      <c r="AK56" s="362"/>
      <c r="AL56" s="362"/>
      <c r="AM56" s="362"/>
      <c r="AN56" s="362"/>
      <c r="AO56" s="362"/>
      <c r="AP56" s="362"/>
      <c r="AQ56" s="362"/>
      <c r="AR56" s="362"/>
      <c r="AS56" s="362"/>
      <c r="AT56" s="362"/>
      <c r="AU56" s="362"/>
      <c r="AV56" s="362"/>
      <c r="AW56" s="362"/>
      <c r="AX56" s="362"/>
      <c r="AY56" s="362"/>
      <c r="AZ56" s="362"/>
      <c r="BA56" s="362"/>
      <c r="BB56" s="362"/>
      <c r="BC56" s="362"/>
      <c r="BD56" s="362"/>
      <c r="BE56" s="362"/>
      <c r="BF56" s="362"/>
      <c r="BG56" s="362"/>
      <c r="BH56" s="362"/>
      <c r="BI56" s="362"/>
      <c r="BJ56" s="362"/>
      <c r="BK56" s="362"/>
      <c r="BL56" s="362"/>
      <c r="BM56" s="362"/>
      <c r="BN56" s="362"/>
      <c r="BO56" s="362"/>
      <c r="BP56" s="362"/>
      <c r="BQ56" s="362"/>
      <c r="BR56" s="362"/>
      <c r="BS56" s="362"/>
      <c r="BT56" s="362"/>
    </row>
    <row r="57" spans="1:72" s="363" customFormat="1" ht="15.75" customHeight="1" x14ac:dyDescent="0.2">
      <c r="A57" s="164"/>
      <c r="B57" s="165"/>
      <c r="C57" s="183"/>
      <c r="D57" s="166"/>
      <c r="E57" s="166" t="s">
        <v>166</v>
      </c>
      <c r="F57" s="176" t="s">
        <v>153</v>
      </c>
      <c r="G57" s="177">
        <f>4138.51-2000+1403.52-2000</f>
        <v>1542.0300000000002</v>
      </c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2"/>
      <c r="AH57" s="362"/>
      <c r="AI57" s="362"/>
      <c r="AJ57" s="362"/>
      <c r="AK57" s="362"/>
      <c r="AL57" s="362"/>
      <c r="AM57" s="362"/>
      <c r="AN57" s="362"/>
      <c r="AO57" s="362"/>
      <c r="AP57" s="362"/>
      <c r="AQ57" s="362"/>
      <c r="AR57" s="362"/>
      <c r="AS57" s="362"/>
      <c r="AT57" s="362"/>
      <c r="AU57" s="362"/>
      <c r="AV57" s="362"/>
      <c r="AW57" s="362"/>
      <c r="AX57" s="362"/>
      <c r="AY57" s="362"/>
      <c r="AZ57" s="362"/>
      <c r="BA57" s="362"/>
      <c r="BB57" s="362"/>
      <c r="BC57" s="362"/>
      <c r="BD57" s="362"/>
      <c r="BE57" s="362"/>
      <c r="BF57" s="362"/>
      <c r="BG57" s="362"/>
      <c r="BH57" s="362"/>
      <c r="BI57" s="362"/>
      <c r="BJ57" s="362"/>
      <c r="BK57" s="362"/>
      <c r="BL57" s="362"/>
      <c r="BM57" s="362"/>
      <c r="BN57" s="362"/>
      <c r="BO57" s="362"/>
      <c r="BP57" s="362"/>
      <c r="BQ57" s="362"/>
      <c r="BR57" s="362"/>
      <c r="BS57" s="362"/>
      <c r="BT57" s="362"/>
    </row>
    <row r="58" spans="1:72" s="363" customFormat="1" ht="15.75" customHeight="1" x14ac:dyDescent="0.2">
      <c r="A58" s="164"/>
      <c r="B58" s="165"/>
      <c r="C58" s="183"/>
      <c r="D58" s="166"/>
      <c r="E58" s="166" t="s">
        <v>180</v>
      </c>
      <c r="F58" s="176" t="s">
        <v>153</v>
      </c>
      <c r="G58" s="177">
        <f>200+250</f>
        <v>450</v>
      </c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2"/>
      <c r="AS58" s="362"/>
      <c r="AT58" s="362"/>
      <c r="AU58" s="362"/>
      <c r="AV58" s="362"/>
      <c r="AW58" s="362"/>
      <c r="AX58" s="362"/>
      <c r="AY58" s="362"/>
      <c r="AZ58" s="362"/>
      <c r="BA58" s="362"/>
      <c r="BB58" s="362"/>
      <c r="BC58" s="362"/>
      <c r="BD58" s="362"/>
      <c r="BE58" s="362"/>
      <c r="BF58" s="362"/>
      <c r="BG58" s="362"/>
      <c r="BH58" s="362"/>
      <c r="BI58" s="362"/>
      <c r="BJ58" s="362"/>
      <c r="BK58" s="362"/>
      <c r="BL58" s="362"/>
      <c r="BM58" s="362"/>
      <c r="BN58" s="362"/>
      <c r="BO58" s="362"/>
      <c r="BP58" s="362"/>
      <c r="BQ58" s="362"/>
      <c r="BR58" s="362"/>
      <c r="BS58" s="362"/>
      <c r="BT58" s="362"/>
    </row>
    <row r="59" spans="1:72" s="363" customFormat="1" ht="9" customHeight="1" x14ac:dyDescent="0.2">
      <c r="A59" s="164"/>
      <c r="B59" s="165"/>
      <c r="C59" s="183"/>
      <c r="D59" s="166"/>
      <c r="E59" s="166"/>
      <c r="F59" s="176"/>
      <c r="G59" s="177"/>
      <c r="H59" s="362"/>
      <c r="I59" s="362"/>
      <c r="J59" s="362"/>
      <c r="K59" s="362"/>
      <c r="L59" s="362"/>
      <c r="M59" s="362"/>
      <c r="N59" s="362"/>
      <c r="O59" s="362"/>
      <c r="P59" s="362"/>
      <c r="Q59" s="362"/>
      <c r="R59" s="362"/>
      <c r="S59" s="362"/>
      <c r="T59" s="362"/>
      <c r="U59" s="362"/>
      <c r="V59" s="362"/>
      <c r="W59" s="362"/>
      <c r="X59" s="362"/>
      <c r="Y59" s="362"/>
      <c r="Z59" s="362"/>
      <c r="AA59" s="362"/>
      <c r="AB59" s="362"/>
      <c r="AC59" s="362"/>
      <c r="AD59" s="362"/>
      <c r="AE59" s="362"/>
      <c r="AF59" s="362"/>
      <c r="AG59" s="362"/>
      <c r="AH59" s="362"/>
      <c r="AI59" s="362"/>
      <c r="AJ59" s="362"/>
      <c r="AK59" s="362"/>
      <c r="AL59" s="362"/>
      <c r="AM59" s="362"/>
      <c r="AN59" s="362"/>
      <c r="AO59" s="362"/>
      <c r="AP59" s="362"/>
      <c r="AQ59" s="362"/>
      <c r="AR59" s="362"/>
      <c r="AS59" s="362"/>
      <c r="AT59" s="362"/>
      <c r="AU59" s="362"/>
      <c r="AV59" s="362"/>
      <c r="AW59" s="362"/>
      <c r="AX59" s="362"/>
      <c r="AY59" s="362"/>
      <c r="AZ59" s="362"/>
      <c r="BA59" s="362"/>
      <c r="BB59" s="362"/>
      <c r="BC59" s="362"/>
      <c r="BD59" s="362"/>
      <c r="BE59" s="362"/>
      <c r="BF59" s="362"/>
      <c r="BG59" s="362"/>
      <c r="BH59" s="362"/>
      <c r="BI59" s="362"/>
      <c r="BJ59" s="362"/>
      <c r="BK59" s="362"/>
      <c r="BL59" s="362"/>
      <c r="BM59" s="362"/>
      <c r="BN59" s="362"/>
      <c r="BO59" s="362"/>
      <c r="BP59" s="362"/>
      <c r="BQ59" s="362"/>
      <c r="BR59" s="362"/>
      <c r="BS59" s="362"/>
      <c r="BT59" s="362"/>
    </row>
    <row r="60" spans="1:72" s="363" customFormat="1" ht="15.75" customHeight="1" x14ac:dyDescent="0.2">
      <c r="A60" s="164"/>
      <c r="B60" s="365" t="s">
        <v>175</v>
      </c>
      <c r="C60" s="166" t="s">
        <v>176</v>
      </c>
      <c r="D60" s="166" t="s">
        <v>182</v>
      </c>
      <c r="E60" s="172" t="s">
        <v>153</v>
      </c>
      <c r="F60" s="173" t="s">
        <v>153</v>
      </c>
      <c r="G60" s="174">
        <f>SUM(G62)</f>
        <v>203388.69</v>
      </c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2"/>
      <c r="AH60" s="362"/>
      <c r="AI60" s="362"/>
      <c r="AJ60" s="362"/>
      <c r="AK60" s="362"/>
      <c r="AL60" s="362"/>
      <c r="AM60" s="362"/>
      <c r="AN60" s="362"/>
      <c r="AO60" s="362"/>
      <c r="AP60" s="362"/>
      <c r="AQ60" s="362"/>
      <c r="AR60" s="362"/>
      <c r="AS60" s="362"/>
      <c r="AT60" s="362"/>
      <c r="AU60" s="362"/>
      <c r="AV60" s="362"/>
      <c r="AW60" s="362"/>
      <c r="AX60" s="362"/>
      <c r="AY60" s="362"/>
      <c r="AZ60" s="362"/>
      <c r="BA60" s="362"/>
      <c r="BB60" s="362"/>
      <c r="BC60" s="362"/>
      <c r="BD60" s="362"/>
      <c r="BE60" s="362"/>
      <c r="BF60" s="362"/>
      <c r="BG60" s="362"/>
      <c r="BH60" s="362"/>
      <c r="BI60" s="362"/>
      <c r="BJ60" s="362"/>
      <c r="BK60" s="362"/>
      <c r="BL60" s="362"/>
      <c r="BM60" s="362"/>
      <c r="BN60" s="362"/>
      <c r="BO60" s="362"/>
      <c r="BP60" s="362"/>
      <c r="BQ60" s="362"/>
      <c r="BR60" s="362"/>
      <c r="BS60" s="362"/>
      <c r="BT60" s="362"/>
    </row>
    <row r="61" spans="1:72" s="363" customFormat="1" ht="6.75" customHeight="1" x14ac:dyDescent="0.2">
      <c r="A61" s="164"/>
      <c r="B61" s="165"/>
      <c r="C61" s="183"/>
      <c r="D61" s="166"/>
      <c r="E61" s="166"/>
      <c r="F61" s="176"/>
      <c r="G61" s="177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  <c r="S61" s="362"/>
      <c r="T61" s="362"/>
      <c r="U61" s="362"/>
      <c r="V61" s="362"/>
      <c r="W61" s="362"/>
      <c r="X61" s="362"/>
      <c r="Y61" s="362"/>
      <c r="Z61" s="362"/>
      <c r="AA61" s="362"/>
      <c r="AB61" s="362"/>
      <c r="AC61" s="362"/>
      <c r="AD61" s="362"/>
      <c r="AE61" s="362"/>
      <c r="AF61" s="362"/>
      <c r="AG61" s="362"/>
      <c r="AH61" s="362"/>
      <c r="AI61" s="362"/>
      <c r="AJ61" s="362"/>
      <c r="AK61" s="362"/>
      <c r="AL61" s="362"/>
      <c r="AM61" s="362"/>
      <c r="AN61" s="362"/>
      <c r="AO61" s="362"/>
      <c r="AP61" s="362"/>
      <c r="AQ61" s="362"/>
      <c r="AR61" s="362"/>
      <c r="AS61" s="362"/>
      <c r="AT61" s="362"/>
      <c r="AU61" s="362"/>
      <c r="AV61" s="362"/>
      <c r="AW61" s="362"/>
      <c r="AX61" s="362"/>
      <c r="AY61" s="362"/>
      <c r="AZ61" s="362"/>
      <c r="BA61" s="362"/>
      <c r="BB61" s="362"/>
      <c r="BC61" s="362"/>
      <c r="BD61" s="362"/>
      <c r="BE61" s="362"/>
      <c r="BF61" s="362"/>
      <c r="BG61" s="362"/>
      <c r="BH61" s="362"/>
      <c r="BI61" s="362"/>
      <c r="BJ61" s="362"/>
      <c r="BK61" s="362"/>
      <c r="BL61" s="362"/>
      <c r="BM61" s="362"/>
      <c r="BN61" s="362"/>
      <c r="BO61" s="362"/>
      <c r="BP61" s="362"/>
      <c r="BQ61" s="362"/>
      <c r="BR61" s="362"/>
      <c r="BS61" s="362"/>
      <c r="BT61" s="362"/>
    </row>
    <row r="62" spans="1:72" s="363" customFormat="1" ht="15.75" customHeight="1" x14ac:dyDescent="0.2">
      <c r="A62" s="164"/>
      <c r="B62" s="165"/>
      <c r="C62" s="183"/>
      <c r="D62" s="166"/>
      <c r="E62" s="166"/>
      <c r="F62" s="176"/>
      <c r="G62" s="364">
        <f>SUM(G63:G68)</f>
        <v>203388.69</v>
      </c>
      <c r="H62" s="362"/>
      <c r="I62" s="362"/>
      <c r="J62" s="362"/>
      <c r="K62" s="362"/>
      <c r="L62" s="362"/>
      <c r="M62" s="362"/>
      <c r="N62" s="362"/>
      <c r="O62" s="362"/>
      <c r="P62" s="362"/>
      <c r="Q62" s="362"/>
      <c r="R62" s="362"/>
      <c r="S62" s="362"/>
      <c r="T62" s="362"/>
      <c r="U62" s="362"/>
      <c r="V62" s="362"/>
      <c r="W62" s="362"/>
      <c r="X62" s="362"/>
      <c r="Y62" s="362"/>
      <c r="Z62" s="362"/>
      <c r="AA62" s="362"/>
      <c r="AB62" s="362"/>
      <c r="AC62" s="362"/>
      <c r="AD62" s="362"/>
      <c r="AE62" s="362"/>
      <c r="AF62" s="362"/>
      <c r="AG62" s="362"/>
      <c r="AH62" s="362"/>
      <c r="AI62" s="362"/>
      <c r="AJ62" s="362"/>
      <c r="AK62" s="362"/>
      <c r="AL62" s="362"/>
      <c r="AM62" s="362"/>
      <c r="AN62" s="362"/>
      <c r="AO62" s="362"/>
      <c r="AP62" s="362"/>
      <c r="AQ62" s="362"/>
      <c r="AR62" s="362"/>
      <c r="AS62" s="362"/>
      <c r="AT62" s="362"/>
      <c r="AU62" s="362"/>
      <c r="AV62" s="362"/>
      <c r="AW62" s="362"/>
      <c r="AX62" s="362"/>
      <c r="AY62" s="362"/>
      <c r="AZ62" s="362"/>
      <c r="BA62" s="362"/>
      <c r="BB62" s="362"/>
      <c r="BC62" s="362"/>
      <c r="BD62" s="362"/>
      <c r="BE62" s="362"/>
      <c r="BF62" s="362"/>
      <c r="BG62" s="362"/>
      <c r="BH62" s="362"/>
      <c r="BI62" s="362"/>
      <c r="BJ62" s="362"/>
      <c r="BK62" s="362"/>
      <c r="BL62" s="362"/>
      <c r="BM62" s="362"/>
      <c r="BN62" s="362"/>
      <c r="BO62" s="362"/>
      <c r="BP62" s="362"/>
      <c r="BQ62" s="362"/>
      <c r="BR62" s="362"/>
      <c r="BS62" s="362"/>
      <c r="BT62" s="362"/>
    </row>
    <row r="63" spans="1:72" s="363" customFormat="1" ht="15.75" customHeight="1" x14ac:dyDescent="0.2">
      <c r="A63" s="164"/>
      <c r="B63" s="165"/>
      <c r="C63" s="183"/>
      <c r="D63" s="166"/>
      <c r="E63" s="166" t="s">
        <v>178</v>
      </c>
      <c r="F63" s="176" t="s">
        <v>153</v>
      </c>
      <c r="G63" s="177">
        <f>23691.12+150+18060.81+21399.75+11389.18+37455.25+3702+38790</f>
        <v>154638.10999999999</v>
      </c>
      <c r="H63" s="362"/>
      <c r="I63" s="362"/>
      <c r="J63" s="362"/>
      <c r="K63" s="362"/>
      <c r="L63" s="362"/>
      <c r="M63" s="362"/>
      <c r="N63" s="362"/>
      <c r="O63" s="362"/>
      <c r="P63" s="362"/>
      <c r="Q63" s="362"/>
      <c r="R63" s="362"/>
      <c r="S63" s="362"/>
      <c r="T63" s="362"/>
      <c r="U63" s="362"/>
      <c r="V63" s="362"/>
      <c r="W63" s="362"/>
      <c r="X63" s="362"/>
      <c r="Y63" s="362"/>
      <c r="Z63" s="362"/>
      <c r="AA63" s="362"/>
      <c r="AB63" s="362"/>
      <c r="AC63" s="362"/>
      <c r="AD63" s="362"/>
      <c r="AE63" s="362"/>
      <c r="AF63" s="362"/>
      <c r="AG63" s="362"/>
      <c r="AH63" s="362"/>
      <c r="AI63" s="362"/>
      <c r="AJ63" s="362"/>
      <c r="AK63" s="362"/>
      <c r="AL63" s="362"/>
      <c r="AM63" s="362"/>
      <c r="AN63" s="362"/>
      <c r="AO63" s="362"/>
      <c r="AP63" s="362"/>
      <c r="AQ63" s="362"/>
      <c r="AR63" s="362"/>
      <c r="AS63" s="362"/>
      <c r="AT63" s="362"/>
      <c r="AU63" s="362"/>
      <c r="AV63" s="362"/>
      <c r="AW63" s="362"/>
      <c r="AX63" s="362"/>
      <c r="AY63" s="362"/>
      <c r="AZ63" s="362"/>
      <c r="BA63" s="362"/>
      <c r="BB63" s="362"/>
      <c r="BC63" s="362"/>
      <c r="BD63" s="362"/>
      <c r="BE63" s="362"/>
      <c r="BF63" s="362"/>
      <c r="BG63" s="362"/>
      <c r="BH63" s="362"/>
      <c r="BI63" s="362"/>
      <c r="BJ63" s="362"/>
      <c r="BK63" s="362"/>
      <c r="BL63" s="362"/>
      <c r="BM63" s="362"/>
      <c r="BN63" s="362"/>
      <c r="BO63" s="362"/>
      <c r="BP63" s="362"/>
      <c r="BQ63" s="362"/>
      <c r="BR63" s="362"/>
      <c r="BS63" s="362"/>
      <c r="BT63" s="362"/>
    </row>
    <row r="64" spans="1:72" s="363" customFormat="1" ht="15.75" customHeight="1" x14ac:dyDescent="0.2">
      <c r="A64" s="164"/>
      <c r="B64" s="165"/>
      <c r="C64" s="183"/>
      <c r="D64" s="166"/>
      <c r="E64" s="166" t="s">
        <v>160</v>
      </c>
      <c r="F64" s="176" t="s">
        <v>153</v>
      </c>
      <c r="G64" s="177">
        <f>59.35+5514.25+955.6+12.5+50</f>
        <v>6591.7000000000007</v>
      </c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362"/>
      <c r="AC64" s="362"/>
      <c r="AD64" s="362"/>
      <c r="AE64" s="362"/>
      <c r="AF64" s="362"/>
      <c r="AG64" s="362"/>
      <c r="AH64" s="362"/>
      <c r="AI64" s="362"/>
      <c r="AJ64" s="362"/>
      <c r="AK64" s="362"/>
      <c r="AL64" s="362"/>
      <c r="AM64" s="362"/>
      <c r="AN64" s="362"/>
      <c r="AO64" s="362"/>
      <c r="AP64" s="362"/>
      <c r="AQ64" s="362"/>
      <c r="AR64" s="362"/>
      <c r="AS64" s="362"/>
      <c r="AT64" s="362"/>
      <c r="AU64" s="362"/>
      <c r="AV64" s="362"/>
      <c r="AW64" s="362"/>
      <c r="AX64" s="362"/>
      <c r="AY64" s="362"/>
      <c r="AZ64" s="362"/>
      <c r="BA64" s="362"/>
      <c r="BB64" s="362"/>
      <c r="BC64" s="362"/>
      <c r="BD64" s="362"/>
      <c r="BE64" s="362"/>
      <c r="BF64" s="362"/>
      <c r="BG64" s="362"/>
      <c r="BH64" s="362"/>
      <c r="BI64" s="362"/>
      <c r="BJ64" s="362"/>
      <c r="BK64" s="362"/>
      <c r="BL64" s="362"/>
      <c r="BM64" s="362"/>
      <c r="BN64" s="362"/>
      <c r="BO64" s="362"/>
      <c r="BP64" s="362"/>
      <c r="BQ64" s="362"/>
      <c r="BR64" s="362"/>
      <c r="BS64" s="362"/>
      <c r="BT64" s="362"/>
    </row>
    <row r="65" spans="1:72" s="363" customFormat="1" ht="15.75" customHeight="1" x14ac:dyDescent="0.2">
      <c r="A65" s="164"/>
      <c r="B65" s="165"/>
      <c r="C65" s="183"/>
      <c r="D65" s="166"/>
      <c r="E65" s="166" t="s">
        <v>165</v>
      </c>
      <c r="F65" s="176" t="s">
        <v>153</v>
      </c>
      <c r="G65" s="177">
        <f>2000+7149.84-1110.28-1001</f>
        <v>7038.56</v>
      </c>
      <c r="H65" s="362"/>
      <c r="I65" s="362"/>
      <c r="J65" s="362"/>
      <c r="K65" s="362"/>
      <c r="L65" s="362"/>
      <c r="M65" s="362"/>
      <c r="N65" s="362"/>
      <c r="O65" s="362"/>
      <c r="P65" s="362"/>
      <c r="Q65" s="362"/>
      <c r="R65" s="362"/>
      <c r="S65" s="362"/>
      <c r="T65" s="362"/>
      <c r="U65" s="362"/>
      <c r="V65" s="362"/>
      <c r="W65" s="362"/>
      <c r="X65" s="362"/>
      <c r="Y65" s="362"/>
      <c r="Z65" s="362"/>
      <c r="AA65" s="362"/>
      <c r="AB65" s="362"/>
      <c r="AC65" s="362"/>
      <c r="AD65" s="362"/>
      <c r="AE65" s="362"/>
      <c r="AF65" s="362"/>
      <c r="AG65" s="362"/>
      <c r="AH65" s="362"/>
      <c r="AI65" s="362"/>
      <c r="AJ65" s="362"/>
      <c r="AK65" s="362"/>
      <c r="AL65" s="362"/>
      <c r="AM65" s="362"/>
      <c r="AN65" s="362"/>
      <c r="AO65" s="362"/>
      <c r="AP65" s="362"/>
      <c r="AQ65" s="362"/>
      <c r="AR65" s="362"/>
      <c r="AS65" s="362"/>
      <c r="AT65" s="362"/>
      <c r="AU65" s="362"/>
      <c r="AV65" s="362"/>
      <c r="AW65" s="362"/>
      <c r="AX65" s="362"/>
      <c r="AY65" s="362"/>
      <c r="AZ65" s="362"/>
      <c r="BA65" s="362"/>
      <c r="BB65" s="362"/>
      <c r="BC65" s="362"/>
      <c r="BD65" s="362"/>
      <c r="BE65" s="362"/>
      <c r="BF65" s="362"/>
      <c r="BG65" s="362"/>
      <c r="BH65" s="362"/>
      <c r="BI65" s="362"/>
      <c r="BJ65" s="362"/>
      <c r="BK65" s="362"/>
      <c r="BL65" s="362"/>
      <c r="BM65" s="362"/>
      <c r="BN65" s="362"/>
      <c r="BO65" s="362"/>
      <c r="BP65" s="362"/>
      <c r="BQ65" s="362"/>
      <c r="BR65" s="362"/>
      <c r="BS65" s="362"/>
      <c r="BT65" s="362"/>
    </row>
    <row r="66" spans="1:72" s="363" customFormat="1" ht="15.75" customHeight="1" x14ac:dyDescent="0.2">
      <c r="A66" s="164"/>
      <c r="B66" s="165"/>
      <c r="C66" s="183"/>
      <c r="D66" s="166"/>
      <c r="E66" s="166" t="s">
        <v>179</v>
      </c>
      <c r="F66" s="176" t="s">
        <v>153</v>
      </c>
      <c r="G66" s="177">
        <f>20405.04-1481.12+16738.05+920.24-27889.6-3399.91-2973.69</f>
        <v>2319.0100000000007</v>
      </c>
      <c r="H66" s="362"/>
      <c r="I66" s="362"/>
      <c r="J66" s="362"/>
      <c r="K66" s="362"/>
      <c r="L66" s="362"/>
      <c r="M66" s="362"/>
      <c r="N66" s="362"/>
      <c r="O66" s="362"/>
      <c r="P66" s="362"/>
      <c r="Q66" s="362"/>
      <c r="R66" s="362"/>
      <c r="S66" s="362"/>
      <c r="T66" s="362"/>
      <c r="U66" s="362"/>
      <c r="V66" s="362"/>
      <c r="W66" s="362"/>
      <c r="X66" s="362"/>
      <c r="Y66" s="362"/>
      <c r="Z66" s="362"/>
      <c r="AA66" s="362"/>
      <c r="AB66" s="362"/>
      <c r="AC66" s="362"/>
      <c r="AD66" s="362"/>
      <c r="AE66" s="362"/>
      <c r="AF66" s="362"/>
      <c r="AG66" s="362"/>
      <c r="AH66" s="362"/>
      <c r="AI66" s="362"/>
      <c r="AJ66" s="362"/>
      <c r="AK66" s="362"/>
      <c r="AL66" s="362"/>
      <c r="AM66" s="362"/>
      <c r="AN66" s="362"/>
      <c r="AO66" s="362"/>
      <c r="AP66" s="362"/>
      <c r="AQ66" s="362"/>
      <c r="AR66" s="362"/>
      <c r="AS66" s="362"/>
      <c r="AT66" s="362"/>
      <c r="AU66" s="362"/>
      <c r="AV66" s="362"/>
      <c r="AW66" s="362"/>
      <c r="AX66" s="362"/>
      <c r="AY66" s="362"/>
      <c r="AZ66" s="362"/>
      <c r="BA66" s="362"/>
      <c r="BB66" s="362"/>
      <c r="BC66" s="362"/>
      <c r="BD66" s="362"/>
      <c r="BE66" s="362"/>
      <c r="BF66" s="362"/>
      <c r="BG66" s="362"/>
      <c r="BH66" s="362"/>
      <c r="BI66" s="362"/>
      <c r="BJ66" s="362"/>
      <c r="BK66" s="362"/>
      <c r="BL66" s="362"/>
      <c r="BM66" s="362"/>
      <c r="BN66" s="362"/>
      <c r="BO66" s="362"/>
      <c r="BP66" s="362"/>
      <c r="BQ66" s="362"/>
      <c r="BR66" s="362"/>
      <c r="BS66" s="362"/>
      <c r="BT66" s="362"/>
    </row>
    <row r="67" spans="1:72" s="363" customFormat="1" ht="15.75" customHeight="1" x14ac:dyDescent="0.2">
      <c r="A67" s="164"/>
      <c r="B67" s="165"/>
      <c r="C67" s="183"/>
      <c r="D67" s="166"/>
      <c r="E67" s="166" t="s">
        <v>166</v>
      </c>
      <c r="F67" s="176" t="s">
        <v>153</v>
      </c>
      <c r="G67" s="177">
        <f>392.8+1530.93+4987-313.11+8769.5+224.9-9429.06-1511.06-1384.71</f>
        <v>3267.1899999999996</v>
      </c>
      <c r="H67" s="362"/>
      <c r="I67" s="362"/>
      <c r="J67" s="362"/>
      <c r="K67" s="362"/>
      <c r="L67" s="362"/>
      <c r="M67" s="362"/>
      <c r="N67" s="362"/>
      <c r="O67" s="362"/>
      <c r="P67" s="362"/>
      <c r="Q67" s="362"/>
      <c r="R67" s="362"/>
      <c r="S67" s="362"/>
      <c r="T67" s="362"/>
      <c r="U67" s="362"/>
      <c r="V67" s="362"/>
      <c r="W67" s="362"/>
      <c r="X67" s="362"/>
      <c r="Y67" s="362"/>
      <c r="Z67" s="362"/>
      <c r="AA67" s="362"/>
      <c r="AB67" s="362"/>
      <c r="AC67" s="362"/>
      <c r="AD67" s="362"/>
      <c r="AE67" s="362"/>
      <c r="AF67" s="362"/>
      <c r="AG67" s="362"/>
      <c r="AH67" s="362"/>
      <c r="AI67" s="362"/>
      <c r="AJ67" s="362"/>
      <c r="AK67" s="362"/>
      <c r="AL67" s="362"/>
      <c r="AM67" s="362"/>
      <c r="AN67" s="362"/>
      <c r="AO67" s="362"/>
      <c r="AP67" s="362"/>
      <c r="AQ67" s="362"/>
      <c r="AR67" s="362"/>
      <c r="AS67" s="362"/>
      <c r="AT67" s="362"/>
      <c r="AU67" s="362"/>
      <c r="AV67" s="362"/>
      <c r="AW67" s="362"/>
      <c r="AX67" s="362"/>
      <c r="AY67" s="362"/>
      <c r="AZ67" s="362"/>
      <c r="BA67" s="362"/>
      <c r="BB67" s="362"/>
      <c r="BC67" s="362"/>
      <c r="BD67" s="362"/>
      <c r="BE67" s="362"/>
      <c r="BF67" s="362"/>
      <c r="BG67" s="362"/>
      <c r="BH67" s="362"/>
      <c r="BI67" s="362"/>
      <c r="BJ67" s="362"/>
      <c r="BK67" s="362"/>
      <c r="BL67" s="362"/>
      <c r="BM67" s="362"/>
      <c r="BN67" s="362"/>
      <c r="BO67" s="362"/>
      <c r="BP67" s="362"/>
      <c r="BQ67" s="362"/>
      <c r="BR67" s="362"/>
      <c r="BS67" s="362"/>
      <c r="BT67" s="362"/>
    </row>
    <row r="68" spans="1:72" s="363" customFormat="1" ht="15.75" customHeight="1" x14ac:dyDescent="0.2">
      <c r="A68" s="164"/>
      <c r="B68" s="165"/>
      <c r="C68" s="183"/>
      <c r="D68" s="166"/>
      <c r="E68" s="166" t="s">
        <v>180</v>
      </c>
      <c r="F68" s="176" t="s">
        <v>153</v>
      </c>
      <c r="G68" s="177">
        <f>288.06+109.61+20624.29+8118.26-106.1+500</f>
        <v>29534.120000000003</v>
      </c>
      <c r="H68" s="362"/>
      <c r="I68" s="362"/>
      <c r="J68" s="362"/>
      <c r="K68" s="362"/>
      <c r="L68" s="362"/>
      <c r="M68" s="362"/>
      <c r="N68" s="362"/>
      <c r="O68" s="362"/>
      <c r="P68" s="362"/>
      <c r="Q68" s="362"/>
      <c r="R68" s="362"/>
      <c r="S68" s="362"/>
      <c r="T68" s="362"/>
      <c r="U68" s="362"/>
      <c r="V68" s="362"/>
      <c r="W68" s="362"/>
      <c r="X68" s="362"/>
      <c r="Y68" s="362"/>
      <c r="Z68" s="362"/>
      <c r="AA68" s="362"/>
      <c r="AB68" s="362"/>
      <c r="AC68" s="362"/>
      <c r="AD68" s="362"/>
      <c r="AE68" s="362"/>
      <c r="AF68" s="362"/>
      <c r="AG68" s="362"/>
      <c r="AH68" s="362"/>
      <c r="AI68" s="362"/>
      <c r="AJ68" s="362"/>
      <c r="AK68" s="362"/>
      <c r="AL68" s="362"/>
      <c r="AM68" s="362"/>
      <c r="AN68" s="362"/>
      <c r="AO68" s="362"/>
      <c r="AP68" s="362"/>
      <c r="AQ68" s="362"/>
      <c r="AR68" s="362"/>
      <c r="AS68" s="362"/>
      <c r="AT68" s="362"/>
      <c r="AU68" s="362"/>
      <c r="AV68" s="362"/>
      <c r="AW68" s="362"/>
      <c r="AX68" s="362"/>
      <c r="AY68" s="362"/>
      <c r="AZ68" s="362"/>
      <c r="BA68" s="362"/>
      <c r="BB68" s="362"/>
      <c r="BC68" s="362"/>
      <c r="BD68" s="362"/>
      <c r="BE68" s="362"/>
      <c r="BF68" s="362"/>
      <c r="BG68" s="362"/>
      <c r="BH68" s="362"/>
      <c r="BI68" s="362"/>
      <c r="BJ68" s="362"/>
      <c r="BK68" s="362"/>
      <c r="BL68" s="362"/>
      <c r="BM68" s="362"/>
      <c r="BN68" s="362"/>
      <c r="BO68" s="362"/>
      <c r="BP68" s="362"/>
      <c r="BQ68" s="362"/>
      <c r="BR68" s="362"/>
      <c r="BS68" s="362"/>
      <c r="BT68" s="362"/>
    </row>
    <row r="69" spans="1:72" s="363" customFormat="1" ht="15.75" customHeight="1" x14ac:dyDescent="0.2">
      <c r="A69" s="164"/>
      <c r="B69" s="165"/>
      <c r="C69" s="183"/>
      <c r="D69" s="166"/>
      <c r="E69" s="166"/>
      <c r="F69" s="176"/>
      <c r="G69" s="177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2"/>
      <c r="S69" s="362"/>
      <c r="T69" s="362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2"/>
      <c r="AH69" s="362"/>
      <c r="AI69" s="362"/>
      <c r="AJ69" s="362"/>
      <c r="AK69" s="362"/>
      <c r="AL69" s="362"/>
      <c r="AM69" s="362"/>
      <c r="AN69" s="362"/>
      <c r="AO69" s="362"/>
      <c r="AP69" s="362"/>
      <c r="AQ69" s="362"/>
      <c r="AR69" s="362"/>
      <c r="AS69" s="362"/>
      <c r="AT69" s="362"/>
      <c r="AU69" s="362"/>
      <c r="AV69" s="362"/>
      <c r="AW69" s="362"/>
      <c r="AX69" s="362"/>
      <c r="AY69" s="362"/>
      <c r="AZ69" s="362"/>
      <c r="BA69" s="362"/>
      <c r="BB69" s="362"/>
      <c r="BC69" s="362"/>
      <c r="BD69" s="362"/>
      <c r="BE69" s="362"/>
      <c r="BF69" s="362"/>
      <c r="BG69" s="362"/>
      <c r="BH69" s="362"/>
      <c r="BI69" s="362"/>
      <c r="BJ69" s="362"/>
      <c r="BK69" s="362"/>
      <c r="BL69" s="362"/>
      <c r="BM69" s="362"/>
      <c r="BN69" s="362"/>
      <c r="BO69" s="362"/>
      <c r="BP69" s="362"/>
      <c r="BQ69" s="362"/>
      <c r="BR69" s="362"/>
      <c r="BS69" s="362"/>
      <c r="BT69" s="362"/>
    </row>
    <row r="70" spans="1:72" s="363" customFormat="1" ht="15.75" customHeight="1" x14ac:dyDescent="0.2">
      <c r="A70" s="164"/>
      <c r="B70" s="365" t="s">
        <v>183</v>
      </c>
      <c r="C70" s="166" t="s">
        <v>176</v>
      </c>
      <c r="D70" s="166" t="s">
        <v>182</v>
      </c>
      <c r="E70" s="172" t="s">
        <v>153</v>
      </c>
      <c r="F70" s="173" t="s">
        <v>153</v>
      </c>
      <c r="G70" s="174">
        <f>SUM(G72)</f>
        <v>9180.11</v>
      </c>
      <c r="H70" s="362"/>
      <c r="I70" s="362"/>
      <c r="J70" s="362"/>
      <c r="K70" s="362"/>
      <c r="L70" s="362"/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362"/>
      <c r="Z70" s="362"/>
      <c r="AA70" s="362"/>
      <c r="AB70" s="362"/>
      <c r="AC70" s="362"/>
      <c r="AD70" s="362"/>
      <c r="AE70" s="362"/>
      <c r="AF70" s="362"/>
      <c r="AG70" s="362"/>
      <c r="AH70" s="362"/>
      <c r="AI70" s="362"/>
      <c r="AJ70" s="362"/>
      <c r="AK70" s="362"/>
      <c r="AL70" s="362"/>
      <c r="AM70" s="362"/>
      <c r="AN70" s="362"/>
      <c r="AO70" s="362"/>
      <c r="AP70" s="362"/>
      <c r="AQ70" s="362"/>
      <c r="AR70" s="362"/>
      <c r="AS70" s="362"/>
      <c r="AT70" s="362"/>
      <c r="AU70" s="362"/>
      <c r="AV70" s="362"/>
      <c r="AW70" s="362"/>
      <c r="AX70" s="362"/>
      <c r="AY70" s="362"/>
      <c r="AZ70" s="362"/>
      <c r="BA70" s="362"/>
      <c r="BB70" s="362"/>
      <c r="BC70" s="362"/>
      <c r="BD70" s="362"/>
      <c r="BE70" s="362"/>
      <c r="BF70" s="362"/>
      <c r="BG70" s="362"/>
      <c r="BH70" s="362"/>
      <c r="BI70" s="362"/>
      <c r="BJ70" s="362"/>
      <c r="BK70" s="362"/>
      <c r="BL70" s="362"/>
      <c r="BM70" s="362"/>
      <c r="BN70" s="362"/>
      <c r="BO70" s="362"/>
      <c r="BP70" s="362"/>
      <c r="BQ70" s="362"/>
      <c r="BR70" s="362"/>
      <c r="BS70" s="362"/>
      <c r="BT70" s="362"/>
    </row>
    <row r="71" spans="1:72" s="363" customFormat="1" ht="15.75" customHeight="1" x14ac:dyDescent="0.2">
      <c r="A71" s="164"/>
      <c r="B71" s="165"/>
      <c r="C71" s="183"/>
      <c r="D71" s="166"/>
      <c r="E71" s="166"/>
      <c r="F71" s="176"/>
      <c r="G71" s="177"/>
      <c r="H71" s="362"/>
      <c r="I71" s="362"/>
      <c r="J71" s="362"/>
      <c r="K71" s="362"/>
      <c r="L71" s="362"/>
      <c r="M71" s="362"/>
      <c r="N71" s="362"/>
      <c r="O71" s="362"/>
      <c r="P71" s="362"/>
      <c r="Q71" s="362"/>
      <c r="R71" s="362"/>
      <c r="S71" s="362"/>
      <c r="T71" s="362"/>
      <c r="U71" s="362"/>
      <c r="V71" s="362"/>
      <c r="W71" s="362"/>
      <c r="X71" s="362"/>
      <c r="Y71" s="362"/>
      <c r="Z71" s="362"/>
      <c r="AA71" s="362"/>
      <c r="AB71" s="362"/>
      <c r="AC71" s="362"/>
      <c r="AD71" s="362"/>
      <c r="AE71" s="362"/>
      <c r="AF71" s="362"/>
      <c r="AG71" s="362"/>
      <c r="AH71" s="362"/>
      <c r="AI71" s="362"/>
      <c r="AJ71" s="362"/>
      <c r="AK71" s="362"/>
      <c r="AL71" s="362"/>
      <c r="AM71" s="362"/>
      <c r="AN71" s="362"/>
      <c r="AO71" s="362"/>
      <c r="AP71" s="362"/>
      <c r="AQ71" s="362"/>
      <c r="AR71" s="362"/>
      <c r="AS71" s="362"/>
      <c r="AT71" s="362"/>
      <c r="AU71" s="362"/>
      <c r="AV71" s="362"/>
      <c r="AW71" s="362"/>
      <c r="AX71" s="362"/>
      <c r="AY71" s="362"/>
      <c r="AZ71" s="362"/>
      <c r="BA71" s="362"/>
      <c r="BB71" s="362"/>
      <c r="BC71" s="362"/>
      <c r="BD71" s="362"/>
      <c r="BE71" s="362"/>
      <c r="BF71" s="362"/>
      <c r="BG71" s="362"/>
      <c r="BH71" s="362"/>
      <c r="BI71" s="362"/>
      <c r="BJ71" s="362"/>
      <c r="BK71" s="362"/>
      <c r="BL71" s="362"/>
      <c r="BM71" s="362"/>
      <c r="BN71" s="362"/>
      <c r="BO71" s="362"/>
      <c r="BP71" s="362"/>
      <c r="BQ71" s="362"/>
      <c r="BR71" s="362"/>
      <c r="BS71" s="362"/>
      <c r="BT71" s="362"/>
    </row>
    <row r="72" spans="1:72" s="363" customFormat="1" ht="15.75" customHeight="1" x14ac:dyDescent="0.2">
      <c r="A72" s="164"/>
      <c r="B72" s="165"/>
      <c r="C72" s="183"/>
      <c r="D72" s="166"/>
      <c r="E72" s="166"/>
      <c r="F72" s="176"/>
      <c r="G72" s="364">
        <f>SUM(G73)</f>
        <v>9180.11</v>
      </c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362"/>
      <c r="S72" s="362"/>
      <c r="T72" s="362"/>
      <c r="U72" s="362"/>
      <c r="V72" s="362"/>
      <c r="W72" s="362"/>
      <c r="X72" s="362"/>
      <c r="Y72" s="362"/>
      <c r="Z72" s="362"/>
      <c r="AA72" s="362"/>
      <c r="AB72" s="362"/>
      <c r="AC72" s="362"/>
      <c r="AD72" s="362"/>
      <c r="AE72" s="362"/>
      <c r="AF72" s="362"/>
      <c r="AG72" s="362"/>
      <c r="AH72" s="362"/>
      <c r="AI72" s="362"/>
      <c r="AJ72" s="362"/>
      <c r="AK72" s="362"/>
      <c r="AL72" s="362"/>
      <c r="AM72" s="362"/>
      <c r="AN72" s="362"/>
      <c r="AO72" s="362"/>
      <c r="AP72" s="362"/>
      <c r="AQ72" s="362"/>
      <c r="AR72" s="362"/>
      <c r="AS72" s="362"/>
      <c r="AT72" s="362"/>
      <c r="AU72" s="362"/>
      <c r="AV72" s="362"/>
      <c r="AW72" s="362"/>
      <c r="AX72" s="362"/>
      <c r="AY72" s="362"/>
      <c r="AZ72" s="362"/>
      <c r="BA72" s="362"/>
      <c r="BB72" s="362"/>
      <c r="BC72" s="362"/>
      <c r="BD72" s="362"/>
      <c r="BE72" s="362"/>
      <c r="BF72" s="362"/>
      <c r="BG72" s="362"/>
      <c r="BH72" s="362"/>
      <c r="BI72" s="362"/>
      <c r="BJ72" s="362"/>
      <c r="BK72" s="362"/>
      <c r="BL72" s="362"/>
      <c r="BM72" s="362"/>
      <c r="BN72" s="362"/>
      <c r="BO72" s="362"/>
      <c r="BP72" s="362"/>
      <c r="BQ72" s="362"/>
      <c r="BR72" s="362"/>
      <c r="BS72" s="362"/>
      <c r="BT72" s="362"/>
    </row>
    <row r="73" spans="1:72" s="363" customFormat="1" ht="15.75" customHeight="1" x14ac:dyDescent="0.2">
      <c r="A73" s="164"/>
      <c r="B73" s="165"/>
      <c r="C73" s="183"/>
      <c r="D73" s="166"/>
      <c r="E73" s="166" t="s">
        <v>184</v>
      </c>
      <c r="F73" s="176" t="s">
        <v>153</v>
      </c>
      <c r="G73" s="177">
        <f>2391.32+3201.31+3587.48</f>
        <v>9180.11</v>
      </c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362"/>
      <c r="Z73" s="362"/>
      <c r="AA73" s="362"/>
      <c r="AB73" s="362"/>
      <c r="AC73" s="362"/>
      <c r="AD73" s="362"/>
      <c r="AE73" s="362"/>
      <c r="AF73" s="362"/>
      <c r="AG73" s="362"/>
      <c r="AH73" s="362"/>
      <c r="AI73" s="362"/>
      <c r="AJ73" s="362"/>
      <c r="AK73" s="362"/>
      <c r="AL73" s="362"/>
      <c r="AM73" s="362"/>
      <c r="AN73" s="362"/>
      <c r="AO73" s="362"/>
      <c r="AP73" s="362"/>
      <c r="AQ73" s="362"/>
      <c r="AR73" s="362"/>
      <c r="AS73" s="362"/>
      <c r="AT73" s="362"/>
      <c r="AU73" s="362"/>
      <c r="AV73" s="362"/>
      <c r="AW73" s="362"/>
      <c r="AX73" s="362"/>
      <c r="AY73" s="362"/>
      <c r="AZ73" s="362"/>
      <c r="BA73" s="362"/>
      <c r="BB73" s="362"/>
      <c r="BC73" s="362"/>
      <c r="BD73" s="362"/>
      <c r="BE73" s="362"/>
      <c r="BF73" s="362"/>
      <c r="BG73" s="362"/>
      <c r="BH73" s="362"/>
      <c r="BI73" s="362"/>
      <c r="BJ73" s="362"/>
      <c r="BK73" s="362"/>
      <c r="BL73" s="362"/>
      <c r="BM73" s="362"/>
      <c r="BN73" s="362"/>
      <c r="BO73" s="362"/>
      <c r="BP73" s="362"/>
      <c r="BQ73" s="362"/>
      <c r="BR73" s="362"/>
      <c r="BS73" s="362"/>
      <c r="BT73" s="362"/>
    </row>
    <row r="74" spans="1:72" s="363" customFormat="1" ht="12.75" customHeight="1" x14ac:dyDescent="0.2">
      <c r="A74" s="164"/>
      <c r="B74" s="165"/>
      <c r="C74" s="183"/>
      <c r="D74" s="166"/>
      <c r="E74" s="166"/>
      <c r="F74" s="176"/>
      <c r="G74" s="177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362"/>
      <c r="S74" s="362"/>
      <c r="T74" s="362"/>
      <c r="U74" s="362"/>
      <c r="V74" s="362"/>
      <c r="W74" s="362"/>
      <c r="X74" s="362"/>
      <c r="Y74" s="362"/>
      <c r="Z74" s="362"/>
      <c r="AA74" s="362"/>
      <c r="AB74" s="362"/>
      <c r="AC74" s="362"/>
      <c r="AD74" s="362"/>
      <c r="AE74" s="362"/>
      <c r="AF74" s="362"/>
      <c r="AG74" s="362"/>
      <c r="AH74" s="362"/>
      <c r="AI74" s="362"/>
      <c r="AJ74" s="362"/>
      <c r="AK74" s="362"/>
      <c r="AL74" s="362"/>
      <c r="AM74" s="362"/>
      <c r="AN74" s="362"/>
      <c r="AO74" s="362"/>
      <c r="AP74" s="362"/>
      <c r="AQ74" s="362"/>
      <c r="AR74" s="362"/>
      <c r="AS74" s="362"/>
      <c r="AT74" s="362"/>
      <c r="AU74" s="362"/>
      <c r="AV74" s="362"/>
      <c r="AW74" s="362"/>
      <c r="AX74" s="362"/>
      <c r="AY74" s="362"/>
      <c r="AZ74" s="362"/>
      <c r="BA74" s="362"/>
      <c r="BB74" s="362"/>
      <c r="BC74" s="362"/>
      <c r="BD74" s="362"/>
      <c r="BE74" s="362"/>
      <c r="BF74" s="362"/>
      <c r="BG74" s="362"/>
      <c r="BH74" s="362"/>
      <c r="BI74" s="362"/>
      <c r="BJ74" s="362"/>
      <c r="BK74" s="362"/>
      <c r="BL74" s="362"/>
      <c r="BM74" s="362"/>
      <c r="BN74" s="362"/>
      <c r="BO74" s="362"/>
      <c r="BP74" s="362"/>
      <c r="BQ74" s="362"/>
      <c r="BR74" s="362"/>
      <c r="BS74" s="362"/>
      <c r="BT74" s="362"/>
    </row>
    <row r="75" spans="1:72" s="363" customFormat="1" ht="15.75" customHeight="1" x14ac:dyDescent="0.2">
      <c r="A75" s="164"/>
      <c r="B75" s="365" t="s">
        <v>175</v>
      </c>
      <c r="C75" s="166" t="s">
        <v>176</v>
      </c>
      <c r="D75" s="166" t="s">
        <v>185</v>
      </c>
      <c r="E75" s="172" t="s">
        <v>153</v>
      </c>
      <c r="F75" s="173" t="s">
        <v>153</v>
      </c>
      <c r="G75" s="174">
        <f>SUM(G77)</f>
        <v>25126.42</v>
      </c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2"/>
      <c r="S75" s="362"/>
      <c r="T75" s="362"/>
      <c r="U75" s="362"/>
      <c r="V75" s="362"/>
      <c r="W75" s="362"/>
      <c r="X75" s="362"/>
      <c r="Y75" s="362"/>
      <c r="Z75" s="362"/>
      <c r="AA75" s="362"/>
      <c r="AB75" s="362"/>
      <c r="AC75" s="362"/>
      <c r="AD75" s="362"/>
      <c r="AE75" s="362"/>
      <c r="AF75" s="362"/>
      <c r="AG75" s="362"/>
      <c r="AH75" s="362"/>
      <c r="AI75" s="362"/>
      <c r="AJ75" s="362"/>
      <c r="AK75" s="362"/>
      <c r="AL75" s="362"/>
      <c r="AM75" s="362"/>
      <c r="AN75" s="362"/>
      <c r="AO75" s="362"/>
      <c r="AP75" s="362"/>
      <c r="AQ75" s="362"/>
      <c r="AR75" s="362"/>
      <c r="AS75" s="362"/>
      <c r="AT75" s="362"/>
      <c r="AU75" s="362"/>
      <c r="AV75" s="362"/>
      <c r="AW75" s="362"/>
      <c r="AX75" s="362"/>
      <c r="AY75" s="362"/>
      <c r="AZ75" s="362"/>
      <c r="BA75" s="362"/>
      <c r="BB75" s="362"/>
      <c r="BC75" s="362"/>
      <c r="BD75" s="362"/>
      <c r="BE75" s="362"/>
      <c r="BF75" s="362"/>
      <c r="BG75" s="362"/>
      <c r="BH75" s="362"/>
      <c r="BI75" s="362"/>
      <c r="BJ75" s="362"/>
      <c r="BK75" s="362"/>
      <c r="BL75" s="362"/>
      <c r="BM75" s="362"/>
      <c r="BN75" s="362"/>
      <c r="BO75" s="362"/>
      <c r="BP75" s="362"/>
      <c r="BQ75" s="362"/>
      <c r="BR75" s="362"/>
      <c r="BS75" s="362"/>
      <c r="BT75" s="362"/>
    </row>
    <row r="76" spans="1:72" s="363" customFormat="1" ht="12" customHeight="1" x14ac:dyDescent="0.2">
      <c r="A76" s="164"/>
      <c r="B76" s="165"/>
      <c r="C76" s="183"/>
      <c r="D76" s="166"/>
      <c r="E76" s="166"/>
      <c r="F76" s="176"/>
      <c r="G76" s="177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  <c r="S76" s="362"/>
      <c r="T76" s="362"/>
      <c r="U76" s="362"/>
      <c r="V76" s="362"/>
      <c r="W76" s="362"/>
      <c r="X76" s="362"/>
      <c r="Y76" s="362"/>
      <c r="Z76" s="362"/>
      <c r="AA76" s="362"/>
      <c r="AB76" s="362"/>
      <c r="AC76" s="362"/>
      <c r="AD76" s="362"/>
      <c r="AE76" s="362"/>
      <c r="AF76" s="362"/>
      <c r="AG76" s="362"/>
      <c r="AH76" s="362"/>
      <c r="AI76" s="362"/>
      <c r="AJ76" s="362"/>
      <c r="AK76" s="362"/>
      <c r="AL76" s="362"/>
      <c r="AM76" s="362"/>
      <c r="AN76" s="362"/>
      <c r="AO76" s="362"/>
      <c r="AP76" s="362"/>
      <c r="AQ76" s="362"/>
      <c r="AR76" s="362"/>
      <c r="AS76" s="362"/>
      <c r="AT76" s="362"/>
      <c r="AU76" s="362"/>
      <c r="AV76" s="362"/>
      <c r="AW76" s="362"/>
      <c r="AX76" s="362"/>
      <c r="AY76" s="362"/>
      <c r="AZ76" s="362"/>
      <c r="BA76" s="362"/>
      <c r="BB76" s="362"/>
      <c r="BC76" s="362"/>
      <c r="BD76" s="362"/>
      <c r="BE76" s="362"/>
      <c r="BF76" s="362"/>
      <c r="BG76" s="362"/>
      <c r="BH76" s="362"/>
      <c r="BI76" s="362"/>
      <c r="BJ76" s="362"/>
      <c r="BK76" s="362"/>
      <c r="BL76" s="362"/>
      <c r="BM76" s="362"/>
      <c r="BN76" s="362"/>
      <c r="BO76" s="362"/>
      <c r="BP76" s="362"/>
      <c r="BQ76" s="362"/>
      <c r="BR76" s="362"/>
      <c r="BS76" s="362"/>
      <c r="BT76" s="362"/>
    </row>
    <row r="77" spans="1:72" s="363" customFormat="1" ht="15.75" customHeight="1" x14ac:dyDescent="0.2">
      <c r="A77" s="164"/>
      <c r="B77" s="165"/>
      <c r="C77" s="183"/>
      <c r="D77" s="166"/>
      <c r="E77" s="166"/>
      <c r="F77" s="176"/>
      <c r="G77" s="364">
        <f>SUM(G78:G83)</f>
        <v>25126.42</v>
      </c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  <c r="AA77" s="362"/>
      <c r="AB77" s="362"/>
      <c r="AC77" s="362"/>
      <c r="AD77" s="362"/>
      <c r="AE77" s="362"/>
      <c r="AF77" s="362"/>
      <c r="AG77" s="362"/>
      <c r="AH77" s="362"/>
      <c r="AI77" s="362"/>
      <c r="AJ77" s="362"/>
      <c r="AK77" s="362"/>
      <c r="AL77" s="362"/>
      <c r="AM77" s="362"/>
      <c r="AN77" s="362"/>
      <c r="AO77" s="362"/>
      <c r="AP77" s="362"/>
      <c r="AQ77" s="362"/>
      <c r="AR77" s="362"/>
      <c r="AS77" s="362"/>
      <c r="AT77" s="362"/>
      <c r="AU77" s="362"/>
      <c r="AV77" s="362"/>
      <c r="AW77" s="362"/>
      <c r="AX77" s="362"/>
      <c r="AY77" s="362"/>
      <c r="AZ77" s="362"/>
      <c r="BA77" s="362"/>
      <c r="BB77" s="362"/>
      <c r="BC77" s="362"/>
      <c r="BD77" s="362"/>
      <c r="BE77" s="362"/>
      <c r="BF77" s="362"/>
      <c r="BG77" s="362"/>
      <c r="BH77" s="362"/>
      <c r="BI77" s="362"/>
      <c r="BJ77" s="362"/>
      <c r="BK77" s="362"/>
      <c r="BL77" s="362"/>
      <c r="BM77" s="362"/>
      <c r="BN77" s="362"/>
      <c r="BO77" s="362"/>
      <c r="BP77" s="362"/>
      <c r="BQ77" s="362"/>
      <c r="BR77" s="362"/>
      <c r="BS77" s="362"/>
      <c r="BT77" s="362"/>
    </row>
    <row r="78" spans="1:72" s="363" customFormat="1" ht="15.75" customHeight="1" x14ac:dyDescent="0.2">
      <c r="A78" s="164"/>
      <c r="B78" s="165"/>
      <c r="C78" s="183"/>
      <c r="D78" s="166"/>
      <c r="E78" s="166" t="s">
        <v>178</v>
      </c>
      <c r="F78" s="176" t="s">
        <v>153</v>
      </c>
      <c r="G78" s="177">
        <f>8000+10123.42+5703</f>
        <v>23826.42</v>
      </c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2"/>
      <c r="Y78" s="362"/>
      <c r="Z78" s="362"/>
      <c r="AA78" s="362"/>
      <c r="AB78" s="362"/>
      <c r="AC78" s="362"/>
      <c r="AD78" s="362"/>
      <c r="AE78" s="362"/>
      <c r="AF78" s="362"/>
      <c r="AG78" s="362"/>
      <c r="AH78" s="362"/>
      <c r="AI78" s="362"/>
      <c r="AJ78" s="362"/>
      <c r="AK78" s="362"/>
      <c r="AL78" s="362"/>
      <c r="AM78" s="362"/>
      <c r="AN78" s="362"/>
      <c r="AO78" s="362"/>
      <c r="AP78" s="362"/>
      <c r="AQ78" s="362"/>
      <c r="AR78" s="362"/>
      <c r="AS78" s="362"/>
      <c r="AT78" s="362"/>
      <c r="AU78" s="362"/>
      <c r="AV78" s="362"/>
      <c r="AW78" s="362"/>
      <c r="AX78" s="362"/>
      <c r="AY78" s="362"/>
      <c r="AZ78" s="362"/>
      <c r="BA78" s="362"/>
      <c r="BB78" s="362"/>
      <c r="BC78" s="362"/>
      <c r="BD78" s="362"/>
      <c r="BE78" s="362"/>
      <c r="BF78" s="362"/>
      <c r="BG78" s="362"/>
      <c r="BH78" s="362"/>
      <c r="BI78" s="362"/>
      <c r="BJ78" s="362"/>
      <c r="BK78" s="362"/>
      <c r="BL78" s="362"/>
      <c r="BM78" s="362"/>
      <c r="BN78" s="362"/>
      <c r="BO78" s="362"/>
      <c r="BP78" s="362"/>
      <c r="BQ78" s="362"/>
      <c r="BR78" s="362"/>
      <c r="BS78" s="362"/>
      <c r="BT78" s="362"/>
    </row>
    <row r="79" spans="1:72" s="363" customFormat="1" ht="15.75" customHeight="1" x14ac:dyDescent="0.2">
      <c r="A79" s="164"/>
      <c r="B79" s="165"/>
      <c r="C79" s="183"/>
      <c r="D79" s="166"/>
      <c r="E79" s="166" t="s">
        <v>160</v>
      </c>
      <c r="F79" s="176" t="s">
        <v>153</v>
      </c>
      <c r="G79" s="177">
        <f>50+200</f>
        <v>250</v>
      </c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362"/>
      <c r="W79" s="362"/>
      <c r="X79" s="362"/>
      <c r="Y79" s="362"/>
      <c r="Z79" s="362"/>
      <c r="AA79" s="362"/>
      <c r="AB79" s="362"/>
      <c r="AC79" s="362"/>
      <c r="AD79" s="362"/>
      <c r="AE79" s="362"/>
      <c r="AF79" s="362"/>
      <c r="AG79" s="362"/>
      <c r="AH79" s="362"/>
      <c r="AI79" s="362"/>
      <c r="AJ79" s="362"/>
      <c r="AK79" s="362"/>
      <c r="AL79" s="362"/>
      <c r="AM79" s="362"/>
      <c r="AN79" s="362"/>
      <c r="AO79" s="362"/>
      <c r="AP79" s="362"/>
      <c r="AQ79" s="362"/>
      <c r="AR79" s="362"/>
      <c r="AS79" s="362"/>
      <c r="AT79" s="362"/>
      <c r="AU79" s="362"/>
      <c r="AV79" s="362"/>
      <c r="AW79" s="362"/>
      <c r="AX79" s="362"/>
      <c r="AY79" s="362"/>
      <c r="AZ79" s="362"/>
      <c r="BA79" s="362"/>
      <c r="BB79" s="362"/>
      <c r="BC79" s="362"/>
      <c r="BD79" s="362"/>
      <c r="BE79" s="362"/>
      <c r="BF79" s="362"/>
      <c r="BG79" s="362"/>
      <c r="BH79" s="362"/>
      <c r="BI79" s="362"/>
      <c r="BJ79" s="362"/>
      <c r="BK79" s="362"/>
      <c r="BL79" s="362"/>
      <c r="BM79" s="362"/>
      <c r="BN79" s="362"/>
      <c r="BO79" s="362"/>
      <c r="BP79" s="362"/>
      <c r="BQ79" s="362"/>
      <c r="BR79" s="362"/>
      <c r="BS79" s="362"/>
      <c r="BT79" s="362"/>
    </row>
    <row r="80" spans="1:72" s="363" customFormat="1" ht="15.75" customHeight="1" x14ac:dyDescent="0.2">
      <c r="A80" s="164"/>
      <c r="B80" s="165"/>
      <c r="C80" s="183"/>
      <c r="D80" s="166"/>
      <c r="E80" s="166" t="s">
        <v>165</v>
      </c>
      <c r="F80" s="176" t="s">
        <v>153</v>
      </c>
      <c r="G80" s="177">
        <f>3000-3000</f>
        <v>0</v>
      </c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  <c r="S80" s="362"/>
      <c r="T80" s="362"/>
      <c r="U80" s="362"/>
      <c r="V80" s="362"/>
      <c r="W80" s="362"/>
      <c r="X80" s="362"/>
      <c r="Y80" s="362"/>
      <c r="Z80" s="362"/>
      <c r="AA80" s="362"/>
      <c r="AB80" s="362"/>
      <c r="AC80" s="362"/>
      <c r="AD80" s="362"/>
      <c r="AE80" s="362"/>
      <c r="AF80" s="362"/>
      <c r="AG80" s="362"/>
      <c r="AH80" s="362"/>
      <c r="AI80" s="362"/>
      <c r="AJ80" s="362"/>
      <c r="AK80" s="362"/>
      <c r="AL80" s="362"/>
      <c r="AM80" s="362"/>
      <c r="AN80" s="362"/>
      <c r="AO80" s="362"/>
      <c r="AP80" s="362"/>
      <c r="AQ80" s="362"/>
      <c r="AR80" s="362"/>
      <c r="AS80" s="362"/>
      <c r="AT80" s="362"/>
      <c r="AU80" s="362"/>
      <c r="AV80" s="362"/>
      <c r="AW80" s="362"/>
      <c r="AX80" s="362"/>
      <c r="AY80" s="362"/>
      <c r="AZ80" s="362"/>
      <c r="BA80" s="362"/>
      <c r="BB80" s="362"/>
      <c r="BC80" s="362"/>
      <c r="BD80" s="362"/>
      <c r="BE80" s="362"/>
      <c r="BF80" s="362"/>
      <c r="BG80" s="362"/>
      <c r="BH80" s="362"/>
      <c r="BI80" s="362"/>
      <c r="BJ80" s="362"/>
      <c r="BK80" s="362"/>
      <c r="BL80" s="362"/>
      <c r="BM80" s="362"/>
      <c r="BN80" s="362"/>
      <c r="BO80" s="362"/>
      <c r="BP80" s="362"/>
      <c r="BQ80" s="362"/>
      <c r="BR80" s="362"/>
      <c r="BS80" s="362"/>
      <c r="BT80" s="362"/>
    </row>
    <row r="81" spans="1:72" s="363" customFormat="1" ht="15.75" customHeight="1" x14ac:dyDescent="0.2">
      <c r="A81" s="164"/>
      <c r="B81" s="165"/>
      <c r="C81" s="183"/>
      <c r="D81" s="166"/>
      <c r="E81" s="166" t="s">
        <v>179</v>
      </c>
      <c r="F81" s="176" t="s">
        <v>153</v>
      </c>
      <c r="G81" s="177">
        <f>5000-5000+4235.95-4235.95</f>
        <v>0</v>
      </c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362"/>
      <c r="W81" s="362"/>
      <c r="X81" s="362"/>
      <c r="Y81" s="362"/>
      <c r="Z81" s="362"/>
      <c r="AA81" s="362"/>
      <c r="AB81" s="362"/>
      <c r="AC81" s="362"/>
      <c r="AD81" s="362"/>
      <c r="AE81" s="362"/>
      <c r="AF81" s="362"/>
      <c r="AG81" s="362"/>
      <c r="AH81" s="362"/>
      <c r="AI81" s="362"/>
      <c r="AJ81" s="362"/>
      <c r="AK81" s="362"/>
      <c r="AL81" s="362"/>
      <c r="AM81" s="362"/>
      <c r="AN81" s="362"/>
      <c r="AO81" s="362"/>
      <c r="AP81" s="362"/>
      <c r="AQ81" s="362"/>
      <c r="AR81" s="362"/>
      <c r="AS81" s="362"/>
      <c r="AT81" s="362"/>
      <c r="AU81" s="362"/>
      <c r="AV81" s="362"/>
      <c r="AW81" s="362"/>
      <c r="AX81" s="362"/>
      <c r="AY81" s="362"/>
      <c r="AZ81" s="362"/>
      <c r="BA81" s="362"/>
      <c r="BB81" s="362"/>
      <c r="BC81" s="362"/>
      <c r="BD81" s="362"/>
      <c r="BE81" s="362"/>
      <c r="BF81" s="362"/>
      <c r="BG81" s="362"/>
      <c r="BH81" s="362"/>
      <c r="BI81" s="362"/>
      <c r="BJ81" s="362"/>
      <c r="BK81" s="362"/>
      <c r="BL81" s="362"/>
      <c r="BM81" s="362"/>
      <c r="BN81" s="362"/>
      <c r="BO81" s="362"/>
      <c r="BP81" s="362"/>
      <c r="BQ81" s="362"/>
      <c r="BR81" s="362"/>
      <c r="BS81" s="362"/>
      <c r="BT81" s="362"/>
    </row>
    <row r="82" spans="1:72" s="363" customFormat="1" ht="15.75" customHeight="1" x14ac:dyDescent="0.2">
      <c r="A82" s="164"/>
      <c r="B82" s="165"/>
      <c r="C82" s="183"/>
      <c r="D82" s="166"/>
      <c r="E82" s="166" t="s">
        <v>166</v>
      </c>
      <c r="F82" s="176" t="s">
        <v>153</v>
      </c>
      <c r="G82" s="177">
        <f>589.2-100+1035.27-1524.47</f>
        <v>0</v>
      </c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362"/>
      <c r="W82" s="362"/>
      <c r="X82" s="362"/>
      <c r="Y82" s="362"/>
      <c r="Z82" s="362"/>
      <c r="AA82" s="362"/>
      <c r="AB82" s="362"/>
      <c r="AC82" s="362"/>
      <c r="AD82" s="362"/>
      <c r="AE82" s="362"/>
      <c r="AF82" s="362"/>
      <c r="AG82" s="362"/>
      <c r="AH82" s="362"/>
      <c r="AI82" s="362"/>
      <c r="AJ82" s="362"/>
      <c r="AK82" s="362"/>
      <c r="AL82" s="362"/>
      <c r="AM82" s="362"/>
      <c r="AN82" s="362"/>
      <c r="AO82" s="362"/>
      <c r="AP82" s="362"/>
      <c r="AQ82" s="362"/>
      <c r="AR82" s="362"/>
      <c r="AS82" s="362"/>
      <c r="AT82" s="362"/>
      <c r="AU82" s="362"/>
      <c r="AV82" s="362"/>
      <c r="AW82" s="362"/>
      <c r="AX82" s="362"/>
      <c r="AY82" s="362"/>
      <c r="AZ82" s="362"/>
      <c r="BA82" s="362"/>
      <c r="BB82" s="362"/>
      <c r="BC82" s="362"/>
      <c r="BD82" s="362"/>
      <c r="BE82" s="362"/>
      <c r="BF82" s="362"/>
      <c r="BG82" s="362"/>
      <c r="BH82" s="362"/>
      <c r="BI82" s="362"/>
      <c r="BJ82" s="362"/>
      <c r="BK82" s="362"/>
      <c r="BL82" s="362"/>
      <c r="BM82" s="362"/>
      <c r="BN82" s="362"/>
      <c r="BO82" s="362"/>
      <c r="BP82" s="362"/>
      <c r="BQ82" s="362"/>
      <c r="BR82" s="362"/>
      <c r="BS82" s="362"/>
      <c r="BT82" s="362"/>
    </row>
    <row r="83" spans="1:72" s="363" customFormat="1" ht="15.75" customHeight="1" x14ac:dyDescent="0.2">
      <c r="A83" s="164"/>
      <c r="B83" s="165"/>
      <c r="C83" s="183"/>
      <c r="D83" s="166"/>
      <c r="E83" s="166" t="s">
        <v>180</v>
      </c>
      <c r="F83" s="176" t="s">
        <v>153</v>
      </c>
      <c r="G83" s="177">
        <f>50+1000</f>
        <v>1050</v>
      </c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362"/>
      <c r="W83" s="362"/>
      <c r="X83" s="362"/>
      <c r="Y83" s="362"/>
      <c r="Z83" s="362"/>
      <c r="AA83" s="362"/>
      <c r="AB83" s="362"/>
      <c r="AC83" s="362"/>
      <c r="AD83" s="362"/>
      <c r="AE83" s="362"/>
      <c r="AF83" s="362"/>
      <c r="AG83" s="362"/>
      <c r="AH83" s="362"/>
      <c r="AI83" s="362"/>
      <c r="AJ83" s="362"/>
      <c r="AK83" s="362"/>
      <c r="AL83" s="362"/>
      <c r="AM83" s="362"/>
      <c r="AN83" s="362"/>
      <c r="AO83" s="362"/>
      <c r="AP83" s="362"/>
      <c r="AQ83" s="362"/>
      <c r="AR83" s="362"/>
      <c r="AS83" s="362"/>
      <c r="AT83" s="362"/>
      <c r="AU83" s="362"/>
      <c r="AV83" s="362"/>
      <c r="AW83" s="362"/>
      <c r="AX83" s="362"/>
      <c r="AY83" s="362"/>
      <c r="AZ83" s="362"/>
      <c r="BA83" s="362"/>
      <c r="BB83" s="362"/>
      <c r="BC83" s="362"/>
      <c r="BD83" s="362"/>
      <c r="BE83" s="362"/>
      <c r="BF83" s="362"/>
      <c r="BG83" s="362"/>
      <c r="BH83" s="362"/>
      <c r="BI83" s="362"/>
      <c r="BJ83" s="362"/>
      <c r="BK83" s="362"/>
      <c r="BL83" s="362"/>
      <c r="BM83" s="362"/>
      <c r="BN83" s="362"/>
      <c r="BO83" s="362"/>
      <c r="BP83" s="362"/>
      <c r="BQ83" s="362"/>
      <c r="BR83" s="362"/>
      <c r="BS83" s="362"/>
      <c r="BT83" s="362"/>
    </row>
    <row r="84" spans="1:72" s="363" customFormat="1" ht="12.75" customHeight="1" x14ac:dyDescent="0.2">
      <c r="A84" s="164"/>
      <c r="B84" s="165"/>
      <c r="C84" s="183"/>
      <c r="D84" s="166"/>
      <c r="E84" s="166"/>
      <c r="F84" s="176"/>
      <c r="G84" s="177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362"/>
      <c r="W84" s="362"/>
      <c r="X84" s="362"/>
      <c r="Y84" s="362"/>
      <c r="Z84" s="362"/>
      <c r="AA84" s="362"/>
      <c r="AB84" s="362"/>
      <c r="AC84" s="362"/>
      <c r="AD84" s="362"/>
      <c r="AE84" s="362"/>
      <c r="AF84" s="362"/>
      <c r="AG84" s="362"/>
      <c r="AH84" s="362"/>
      <c r="AI84" s="362"/>
      <c r="AJ84" s="362"/>
      <c r="AK84" s="362"/>
      <c r="AL84" s="362"/>
      <c r="AM84" s="362"/>
      <c r="AN84" s="362"/>
      <c r="AO84" s="362"/>
      <c r="AP84" s="362"/>
      <c r="AQ84" s="362"/>
      <c r="AR84" s="362"/>
      <c r="AS84" s="362"/>
      <c r="AT84" s="362"/>
      <c r="AU84" s="362"/>
      <c r="AV84" s="362"/>
      <c r="AW84" s="362"/>
      <c r="AX84" s="362"/>
      <c r="AY84" s="362"/>
      <c r="AZ84" s="362"/>
      <c r="BA84" s="362"/>
      <c r="BB84" s="362"/>
      <c r="BC84" s="362"/>
      <c r="BD84" s="362"/>
      <c r="BE84" s="362"/>
      <c r="BF84" s="362"/>
      <c r="BG84" s="362"/>
      <c r="BH84" s="362"/>
      <c r="BI84" s="362"/>
      <c r="BJ84" s="362"/>
      <c r="BK84" s="362"/>
      <c r="BL84" s="362"/>
      <c r="BM84" s="362"/>
      <c r="BN84" s="362"/>
      <c r="BO84" s="362"/>
      <c r="BP84" s="362"/>
      <c r="BQ84" s="362"/>
      <c r="BR84" s="362"/>
      <c r="BS84" s="362"/>
      <c r="BT84" s="362"/>
    </row>
    <row r="85" spans="1:72" s="363" customFormat="1" ht="15.75" customHeight="1" x14ac:dyDescent="0.2">
      <c r="A85" s="164"/>
      <c r="B85" s="365" t="s">
        <v>175</v>
      </c>
      <c r="C85" s="166" t="s">
        <v>176</v>
      </c>
      <c r="D85" s="166" t="s">
        <v>186</v>
      </c>
      <c r="E85" s="172" t="s">
        <v>153</v>
      </c>
      <c r="F85" s="173" t="s">
        <v>153</v>
      </c>
      <c r="G85" s="174">
        <f>SUM(G87)</f>
        <v>35796.489999999991</v>
      </c>
      <c r="H85" s="362"/>
      <c r="I85" s="362"/>
      <c r="J85" s="362"/>
      <c r="K85" s="362"/>
      <c r="L85" s="362"/>
      <c r="M85" s="362"/>
      <c r="N85" s="362"/>
      <c r="O85" s="362"/>
      <c r="P85" s="362"/>
      <c r="Q85" s="362"/>
      <c r="R85" s="362"/>
      <c r="S85" s="362"/>
      <c r="T85" s="362"/>
      <c r="U85" s="362"/>
      <c r="V85" s="362"/>
      <c r="W85" s="362"/>
      <c r="X85" s="362"/>
      <c r="Y85" s="362"/>
      <c r="Z85" s="362"/>
      <c r="AA85" s="362"/>
      <c r="AB85" s="362"/>
      <c r="AC85" s="362"/>
      <c r="AD85" s="362"/>
      <c r="AE85" s="362"/>
      <c r="AF85" s="362"/>
      <c r="AG85" s="362"/>
      <c r="AH85" s="362"/>
      <c r="AI85" s="362"/>
      <c r="AJ85" s="362"/>
      <c r="AK85" s="362"/>
      <c r="AL85" s="362"/>
      <c r="AM85" s="362"/>
      <c r="AN85" s="362"/>
      <c r="AO85" s="362"/>
      <c r="AP85" s="362"/>
      <c r="AQ85" s="362"/>
      <c r="AR85" s="362"/>
      <c r="AS85" s="362"/>
      <c r="AT85" s="362"/>
      <c r="AU85" s="362"/>
      <c r="AV85" s="362"/>
      <c r="AW85" s="362"/>
      <c r="AX85" s="362"/>
      <c r="AY85" s="362"/>
      <c r="AZ85" s="362"/>
      <c r="BA85" s="362"/>
      <c r="BB85" s="362"/>
      <c r="BC85" s="362"/>
      <c r="BD85" s="362"/>
      <c r="BE85" s="362"/>
      <c r="BF85" s="362"/>
      <c r="BG85" s="362"/>
      <c r="BH85" s="362"/>
      <c r="BI85" s="362"/>
      <c r="BJ85" s="362"/>
      <c r="BK85" s="362"/>
      <c r="BL85" s="362"/>
      <c r="BM85" s="362"/>
      <c r="BN85" s="362"/>
      <c r="BO85" s="362"/>
      <c r="BP85" s="362"/>
      <c r="BQ85" s="362"/>
      <c r="BR85" s="362"/>
      <c r="BS85" s="362"/>
      <c r="BT85" s="362"/>
    </row>
    <row r="86" spans="1:72" s="363" customFormat="1" ht="15.75" customHeight="1" x14ac:dyDescent="0.2">
      <c r="A86" s="164"/>
      <c r="B86" s="165"/>
      <c r="C86" s="183"/>
      <c r="D86" s="166"/>
      <c r="E86" s="166"/>
      <c r="F86" s="176"/>
      <c r="G86" s="177"/>
      <c r="H86" s="362"/>
      <c r="I86" s="362"/>
      <c r="J86" s="362"/>
      <c r="K86" s="362"/>
      <c r="L86" s="362"/>
      <c r="M86" s="362"/>
      <c r="N86" s="362"/>
      <c r="O86" s="362"/>
      <c r="P86" s="362"/>
      <c r="Q86" s="362"/>
      <c r="R86" s="362"/>
      <c r="S86" s="362"/>
      <c r="T86" s="362"/>
      <c r="U86" s="362"/>
      <c r="V86" s="362"/>
      <c r="W86" s="362"/>
      <c r="X86" s="362"/>
      <c r="Y86" s="362"/>
      <c r="Z86" s="362"/>
      <c r="AA86" s="362"/>
      <c r="AB86" s="362"/>
      <c r="AC86" s="362"/>
      <c r="AD86" s="362"/>
      <c r="AE86" s="362"/>
      <c r="AF86" s="362"/>
      <c r="AG86" s="362"/>
      <c r="AH86" s="362"/>
      <c r="AI86" s="362"/>
      <c r="AJ86" s="362"/>
      <c r="AK86" s="362"/>
      <c r="AL86" s="362"/>
      <c r="AM86" s="362"/>
      <c r="AN86" s="362"/>
      <c r="AO86" s="362"/>
      <c r="AP86" s="362"/>
      <c r="AQ86" s="362"/>
      <c r="AR86" s="362"/>
      <c r="AS86" s="362"/>
      <c r="AT86" s="362"/>
      <c r="AU86" s="362"/>
      <c r="AV86" s="362"/>
      <c r="AW86" s="362"/>
      <c r="AX86" s="362"/>
      <c r="AY86" s="362"/>
      <c r="AZ86" s="362"/>
      <c r="BA86" s="362"/>
      <c r="BB86" s="362"/>
      <c r="BC86" s="362"/>
      <c r="BD86" s="362"/>
      <c r="BE86" s="362"/>
      <c r="BF86" s="362"/>
      <c r="BG86" s="362"/>
      <c r="BH86" s="362"/>
      <c r="BI86" s="362"/>
      <c r="BJ86" s="362"/>
      <c r="BK86" s="362"/>
      <c r="BL86" s="362"/>
      <c r="BM86" s="362"/>
      <c r="BN86" s="362"/>
      <c r="BO86" s="362"/>
      <c r="BP86" s="362"/>
      <c r="BQ86" s="362"/>
      <c r="BR86" s="362"/>
      <c r="BS86" s="362"/>
      <c r="BT86" s="362"/>
    </row>
    <row r="87" spans="1:72" s="363" customFormat="1" ht="15.75" customHeight="1" x14ac:dyDescent="0.2">
      <c r="A87" s="164"/>
      <c r="B87" s="165"/>
      <c r="C87" s="183"/>
      <c r="D87" s="166"/>
      <c r="E87" s="166"/>
      <c r="F87" s="176"/>
      <c r="G87" s="364">
        <f>SUM(G88:G93)</f>
        <v>35796.489999999991</v>
      </c>
      <c r="H87" s="362"/>
      <c r="I87" s="362"/>
      <c r="J87" s="362"/>
      <c r="K87" s="362"/>
      <c r="L87" s="362"/>
      <c r="M87" s="362"/>
      <c r="N87" s="362"/>
      <c r="O87" s="362"/>
      <c r="P87" s="362"/>
      <c r="Q87" s="362"/>
      <c r="R87" s="362"/>
      <c r="S87" s="362"/>
      <c r="T87" s="362"/>
      <c r="U87" s="362"/>
      <c r="V87" s="362"/>
      <c r="W87" s="362"/>
      <c r="X87" s="362"/>
      <c r="Y87" s="362"/>
      <c r="Z87" s="362"/>
      <c r="AA87" s="362"/>
      <c r="AB87" s="362"/>
      <c r="AC87" s="362"/>
      <c r="AD87" s="362"/>
      <c r="AE87" s="362"/>
      <c r="AF87" s="362"/>
      <c r="AG87" s="362"/>
      <c r="AH87" s="362"/>
      <c r="AI87" s="362"/>
      <c r="AJ87" s="362"/>
      <c r="AK87" s="362"/>
      <c r="AL87" s="362"/>
      <c r="AM87" s="362"/>
      <c r="AN87" s="362"/>
      <c r="AO87" s="362"/>
      <c r="AP87" s="362"/>
      <c r="AQ87" s="362"/>
      <c r="AR87" s="362"/>
      <c r="AS87" s="362"/>
      <c r="AT87" s="362"/>
      <c r="AU87" s="362"/>
      <c r="AV87" s="362"/>
      <c r="AW87" s="362"/>
      <c r="AX87" s="362"/>
      <c r="AY87" s="362"/>
      <c r="AZ87" s="362"/>
      <c r="BA87" s="362"/>
      <c r="BB87" s="362"/>
      <c r="BC87" s="362"/>
      <c r="BD87" s="362"/>
      <c r="BE87" s="362"/>
      <c r="BF87" s="362"/>
      <c r="BG87" s="362"/>
      <c r="BH87" s="362"/>
      <c r="BI87" s="362"/>
      <c r="BJ87" s="362"/>
      <c r="BK87" s="362"/>
      <c r="BL87" s="362"/>
      <c r="BM87" s="362"/>
      <c r="BN87" s="362"/>
      <c r="BO87" s="362"/>
      <c r="BP87" s="362"/>
      <c r="BQ87" s="362"/>
      <c r="BR87" s="362"/>
      <c r="BS87" s="362"/>
      <c r="BT87" s="362"/>
    </row>
    <row r="88" spans="1:72" s="363" customFormat="1" ht="15.75" customHeight="1" x14ac:dyDescent="0.2">
      <c r="A88" s="164"/>
      <c r="B88" s="165"/>
      <c r="C88" s="183"/>
      <c r="D88" s="166"/>
      <c r="E88" s="166" t="s">
        <v>178</v>
      </c>
      <c r="F88" s="176" t="s">
        <v>153</v>
      </c>
      <c r="G88" s="177">
        <f>739-739+5986+5000+7460</f>
        <v>18446</v>
      </c>
      <c r="H88" s="362"/>
      <c r="I88" s="362"/>
      <c r="J88" s="362"/>
      <c r="K88" s="362"/>
      <c r="L88" s="362"/>
      <c r="M88" s="362"/>
      <c r="N88" s="362"/>
      <c r="O88" s="362"/>
      <c r="P88" s="362"/>
      <c r="Q88" s="362"/>
      <c r="R88" s="362"/>
      <c r="S88" s="362"/>
      <c r="T88" s="362"/>
      <c r="U88" s="362"/>
      <c r="V88" s="362"/>
      <c r="W88" s="362"/>
      <c r="X88" s="362"/>
      <c r="Y88" s="362"/>
      <c r="Z88" s="362"/>
      <c r="AA88" s="362"/>
      <c r="AB88" s="362"/>
      <c r="AC88" s="362"/>
      <c r="AD88" s="362"/>
      <c r="AE88" s="362"/>
      <c r="AF88" s="362"/>
      <c r="AG88" s="362"/>
      <c r="AH88" s="362"/>
      <c r="AI88" s="362"/>
      <c r="AJ88" s="362"/>
      <c r="AK88" s="362"/>
      <c r="AL88" s="362"/>
      <c r="AM88" s="362"/>
      <c r="AN88" s="362"/>
      <c r="AO88" s="362"/>
      <c r="AP88" s="362"/>
      <c r="AQ88" s="362"/>
      <c r="AR88" s="362"/>
      <c r="AS88" s="362"/>
      <c r="AT88" s="362"/>
      <c r="AU88" s="362"/>
      <c r="AV88" s="362"/>
      <c r="AW88" s="362"/>
      <c r="AX88" s="362"/>
      <c r="AY88" s="362"/>
      <c r="AZ88" s="362"/>
      <c r="BA88" s="362"/>
      <c r="BB88" s="362"/>
      <c r="BC88" s="362"/>
      <c r="BD88" s="362"/>
      <c r="BE88" s="362"/>
      <c r="BF88" s="362"/>
      <c r="BG88" s="362"/>
      <c r="BH88" s="362"/>
      <c r="BI88" s="362"/>
      <c r="BJ88" s="362"/>
      <c r="BK88" s="362"/>
      <c r="BL88" s="362"/>
      <c r="BM88" s="362"/>
      <c r="BN88" s="362"/>
      <c r="BO88" s="362"/>
      <c r="BP88" s="362"/>
      <c r="BQ88" s="362"/>
      <c r="BR88" s="362"/>
      <c r="BS88" s="362"/>
      <c r="BT88" s="362"/>
    </row>
    <row r="89" spans="1:72" s="363" customFormat="1" ht="15.75" customHeight="1" x14ac:dyDescent="0.2">
      <c r="A89" s="164"/>
      <c r="B89" s="165"/>
      <c r="C89" s="183"/>
      <c r="D89" s="166"/>
      <c r="E89" s="166" t="s">
        <v>160</v>
      </c>
      <c r="F89" s="176" t="s">
        <v>153</v>
      </c>
      <c r="G89" s="177">
        <f>35.47-21.96+85+100+1</f>
        <v>199.51</v>
      </c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  <c r="U89" s="362"/>
      <c r="V89" s="362"/>
      <c r="W89" s="362"/>
      <c r="X89" s="362"/>
      <c r="Y89" s="362"/>
      <c r="Z89" s="362"/>
      <c r="AA89" s="362"/>
      <c r="AB89" s="362"/>
      <c r="AC89" s="362"/>
      <c r="AD89" s="362"/>
      <c r="AE89" s="362"/>
      <c r="AF89" s="362"/>
      <c r="AG89" s="362"/>
      <c r="AH89" s="362"/>
      <c r="AI89" s="362"/>
      <c r="AJ89" s="362"/>
      <c r="AK89" s="362"/>
      <c r="AL89" s="362"/>
      <c r="AM89" s="362"/>
      <c r="AN89" s="362"/>
      <c r="AO89" s="362"/>
      <c r="AP89" s="362"/>
      <c r="AQ89" s="362"/>
      <c r="AR89" s="362"/>
      <c r="AS89" s="362"/>
      <c r="AT89" s="362"/>
      <c r="AU89" s="362"/>
      <c r="AV89" s="362"/>
      <c r="AW89" s="362"/>
      <c r="AX89" s="362"/>
      <c r="AY89" s="362"/>
      <c r="AZ89" s="362"/>
      <c r="BA89" s="362"/>
      <c r="BB89" s="362"/>
      <c r="BC89" s="362"/>
      <c r="BD89" s="362"/>
      <c r="BE89" s="362"/>
      <c r="BF89" s="362"/>
      <c r="BG89" s="362"/>
      <c r="BH89" s="362"/>
      <c r="BI89" s="362"/>
      <c r="BJ89" s="362"/>
      <c r="BK89" s="362"/>
      <c r="BL89" s="362"/>
      <c r="BM89" s="362"/>
      <c r="BN89" s="362"/>
      <c r="BO89" s="362"/>
      <c r="BP89" s="362"/>
      <c r="BQ89" s="362"/>
      <c r="BR89" s="362"/>
      <c r="BS89" s="362"/>
      <c r="BT89" s="362"/>
    </row>
    <row r="90" spans="1:72" s="363" customFormat="1" ht="15.75" customHeight="1" x14ac:dyDescent="0.2">
      <c r="A90" s="164"/>
      <c r="B90" s="165"/>
      <c r="C90" s="183"/>
      <c r="D90" s="166"/>
      <c r="E90" s="166" t="s">
        <v>165</v>
      </c>
      <c r="F90" s="176" t="s">
        <v>153</v>
      </c>
      <c r="G90" s="177">
        <f>60-60</f>
        <v>0</v>
      </c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362"/>
      <c r="W90" s="362"/>
      <c r="X90" s="362"/>
      <c r="Y90" s="362"/>
      <c r="Z90" s="362"/>
      <c r="AA90" s="362"/>
      <c r="AB90" s="362"/>
      <c r="AC90" s="362"/>
      <c r="AD90" s="362"/>
      <c r="AE90" s="362"/>
      <c r="AF90" s="362"/>
      <c r="AG90" s="362"/>
      <c r="AH90" s="362"/>
      <c r="AI90" s="362"/>
      <c r="AJ90" s="362"/>
      <c r="AK90" s="362"/>
      <c r="AL90" s="362"/>
      <c r="AM90" s="362"/>
      <c r="AN90" s="362"/>
      <c r="AO90" s="362"/>
      <c r="AP90" s="362"/>
      <c r="AQ90" s="362"/>
      <c r="AR90" s="362"/>
      <c r="AS90" s="362"/>
      <c r="AT90" s="362"/>
      <c r="AU90" s="362"/>
      <c r="AV90" s="362"/>
      <c r="AW90" s="362"/>
      <c r="AX90" s="362"/>
      <c r="AY90" s="362"/>
      <c r="AZ90" s="362"/>
      <c r="BA90" s="362"/>
      <c r="BB90" s="362"/>
      <c r="BC90" s="362"/>
      <c r="BD90" s="362"/>
      <c r="BE90" s="362"/>
      <c r="BF90" s="362"/>
      <c r="BG90" s="362"/>
      <c r="BH90" s="362"/>
      <c r="BI90" s="362"/>
      <c r="BJ90" s="362"/>
      <c r="BK90" s="362"/>
      <c r="BL90" s="362"/>
      <c r="BM90" s="362"/>
      <c r="BN90" s="362"/>
      <c r="BO90" s="362"/>
      <c r="BP90" s="362"/>
      <c r="BQ90" s="362"/>
      <c r="BR90" s="362"/>
      <c r="BS90" s="362"/>
      <c r="BT90" s="362"/>
    </row>
    <row r="91" spans="1:72" s="363" customFormat="1" ht="15.75" customHeight="1" x14ac:dyDescent="0.2">
      <c r="A91" s="164"/>
      <c r="B91" s="165"/>
      <c r="C91" s="183"/>
      <c r="D91" s="166"/>
      <c r="E91" s="166" t="s">
        <v>179</v>
      </c>
      <c r="F91" s="176" t="s">
        <v>153</v>
      </c>
      <c r="G91" s="177">
        <f>1800+9128.31+742.19-697.01+744.88+4911.4+2070-5860.58-286</f>
        <v>12553.189999999997</v>
      </c>
      <c r="H91" s="362"/>
      <c r="I91" s="362"/>
      <c r="J91" s="362"/>
      <c r="K91" s="362"/>
      <c r="L91" s="362"/>
      <c r="M91" s="362"/>
      <c r="N91" s="362"/>
      <c r="O91" s="362"/>
      <c r="P91" s="362"/>
      <c r="Q91" s="362"/>
      <c r="R91" s="362"/>
      <c r="S91" s="362"/>
      <c r="T91" s="362"/>
      <c r="U91" s="362"/>
      <c r="V91" s="362"/>
      <c r="W91" s="362"/>
      <c r="X91" s="362"/>
      <c r="Y91" s="362"/>
      <c r="Z91" s="362"/>
      <c r="AA91" s="362"/>
      <c r="AB91" s="362"/>
      <c r="AC91" s="362"/>
      <c r="AD91" s="362"/>
      <c r="AE91" s="362"/>
      <c r="AF91" s="362"/>
      <c r="AG91" s="362"/>
      <c r="AH91" s="362"/>
      <c r="AI91" s="362"/>
      <c r="AJ91" s="362"/>
      <c r="AK91" s="362"/>
      <c r="AL91" s="362"/>
      <c r="AM91" s="362"/>
      <c r="AN91" s="362"/>
      <c r="AO91" s="362"/>
      <c r="AP91" s="362"/>
      <c r="AQ91" s="362"/>
      <c r="AR91" s="362"/>
      <c r="AS91" s="362"/>
      <c r="AT91" s="362"/>
      <c r="AU91" s="362"/>
      <c r="AV91" s="362"/>
      <c r="AW91" s="362"/>
      <c r="AX91" s="362"/>
      <c r="AY91" s="362"/>
      <c r="AZ91" s="362"/>
      <c r="BA91" s="362"/>
      <c r="BB91" s="362"/>
      <c r="BC91" s="362"/>
      <c r="BD91" s="362"/>
      <c r="BE91" s="362"/>
      <c r="BF91" s="362"/>
      <c r="BG91" s="362"/>
      <c r="BH91" s="362"/>
      <c r="BI91" s="362"/>
      <c r="BJ91" s="362"/>
      <c r="BK91" s="362"/>
      <c r="BL91" s="362"/>
      <c r="BM91" s="362"/>
      <c r="BN91" s="362"/>
      <c r="BO91" s="362"/>
      <c r="BP91" s="362"/>
      <c r="BQ91" s="362"/>
      <c r="BR91" s="362"/>
      <c r="BS91" s="362"/>
      <c r="BT91" s="362"/>
    </row>
    <row r="92" spans="1:72" s="363" customFormat="1" ht="15.75" customHeight="1" x14ac:dyDescent="0.2">
      <c r="A92" s="164"/>
      <c r="B92" s="165"/>
      <c r="C92" s="183"/>
      <c r="D92" s="166"/>
      <c r="E92" s="166" t="s">
        <v>166</v>
      </c>
      <c r="F92" s="176" t="s">
        <v>153</v>
      </c>
      <c r="G92" s="177">
        <f>1021.9+2068.02+181.42-835.95+182.05+1344.34+232-1510.33-49</f>
        <v>2634.4500000000007</v>
      </c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362"/>
      <c r="W92" s="362"/>
      <c r="X92" s="362"/>
      <c r="Y92" s="362"/>
      <c r="Z92" s="362"/>
      <c r="AA92" s="362"/>
      <c r="AB92" s="362"/>
      <c r="AC92" s="362"/>
      <c r="AD92" s="362"/>
      <c r="AE92" s="362"/>
      <c r="AF92" s="362"/>
      <c r="AG92" s="362"/>
      <c r="AH92" s="362"/>
      <c r="AI92" s="362"/>
      <c r="AJ92" s="362"/>
      <c r="AK92" s="362"/>
      <c r="AL92" s="362"/>
      <c r="AM92" s="362"/>
      <c r="AN92" s="362"/>
      <c r="AO92" s="362"/>
      <c r="AP92" s="362"/>
      <c r="AQ92" s="362"/>
      <c r="AR92" s="362"/>
      <c r="AS92" s="362"/>
      <c r="AT92" s="362"/>
      <c r="AU92" s="362"/>
      <c r="AV92" s="362"/>
      <c r="AW92" s="362"/>
      <c r="AX92" s="362"/>
      <c r="AY92" s="362"/>
      <c r="AZ92" s="362"/>
      <c r="BA92" s="362"/>
      <c r="BB92" s="362"/>
      <c r="BC92" s="362"/>
      <c r="BD92" s="362"/>
      <c r="BE92" s="362"/>
      <c r="BF92" s="362"/>
      <c r="BG92" s="362"/>
      <c r="BH92" s="362"/>
      <c r="BI92" s="362"/>
      <c r="BJ92" s="362"/>
      <c r="BK92" s="362"/>
      <c r="BL92" s="362"/>
      <c r="BM92" s="362"/>
      <c r="BN92" s="362"/>
      <c r="BO92" s="362"/>
      <c r="BP92" s="362"/>
      <c r="BQ92" s="362"/>
      <c r="BR92" s="362"/>
      <c r="BS92" s="362"/>
      <c r="BT92" s="362"/>
    </row>
    <row r="93" spans="1:72" s="363" customFormat="1" ht="15.75" customHeight="1" x14ac:dyDescent="0.2">
      <c r="A93" s="164"/>
      <c r="B93" s="165"/>
      <c r="C93" s="183"/>
      <c r="D93" s="166"/>
      <c r="E93" s="166" t="s">
        <v>180</v>
      </c>
      <c r="F93" s="176" t="s">
        <v>153</v>
      </c>
      <c r="G93" s="177">
        <f>818.49-728.15+645+1200+28</f>
        <v>1963.3400000000001</v>
      </c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362"/>
      <c r="W93" s="362"/>
      <c r="X93" s="362"/>
      <c r="Y93" s="362"/>
      <c r="Z93" s="362"/>
      <c r="AA93" s="362"/>
      <c r="AB93" s="362"/>
      <c r="AC93" s="362"/>
      <c r="AD93" s="362"/>
      <c r="AE93" s="362"/>
      <c r="AF93" s="362"/>
      <c r="AG93" s="362"/>
      <c r="AH93" s="362"/>
      <c r="AI93" s="362"/>
      <c r="AJ93" s="362"/>
      <c r="AK93" s="362"/>
      <c r="AL93" s="362"/>
      <c r="AM93" s="362"/>
      <c r="AN93" s="362"/>
      <c r="AO93" s="362"/>
      <c r="AP93" s="362"/>
      <c r="AQ93" s="362"/>
      <c r="AR93" s="362"/>
      <c r="AS93" s="362"/>
      <c r="AT93" s="362"/>
      <c r="AU93" s="362"/>
      <c r="AV93" s="362"/>
      <c r="AW93" s="362"/>
      <c r="AX93" s="362"/>
      <c r="AY93" s="362"/>
      <c r="AZ93" s="362"/>
      <c r="BA93" s="362"/>
      <c r="BB93" s="362"/>
      <c r="BC93" s="362"/>
      <c r="BD93" s="362"/>
      <c r="BE93" s="362"/>
      <c r="BF93" s="362"/>
      <c r="BG93" s="362"/>
      <c r="BH93" s="362"/>
      <c r="BI93" s="362"/>
      <c r="BJ93" s="362"/>
      <c r="BK93" s="362"/>
      <c r="BL93" s="362"/>
      <c r="BM93" s="362"/>
      <c r="BN93" s="362"/>
      <c r="BO93" s="362"/>
      <c r="BP93" s="362"/>
      <c r="BQ93" s="362"/>
      <c r="BR93" s="362"/>
      <c r="BS93" s="362"/>
      <c r="BT93" s="362"/>
    </row>
    <row r="94" spans="1:72" s="363" customFormat="1" ht="15.75" customHeight="1" x14ac:dyDescent="0.2">
      <c r="A94" s="178"/>
      <c r="B94" s="179"/>
      <c r="C94" s="180"/>
      <c r="D94" s="167"/>
      <c r="E94" s="167"/>
      <c r="F94" s="169"/>
      <c r="G94" s="181"/>
      <c r="H94" s="362"/>
      <c r="I94" s="362"/>
      <c r="J94" s="362"/>
      <c r="K94" s="362"/>
      <c r="L94" s="362"/>
      <c r="M94" s="362"/>
      <c r="N94" s="362"/>
      <c r="O94" s="362"/>
      <c r="P94" s="362"/>
      <c r="Q94" s="362"/>
      <c r="R94" s="362"/>
      <c r="S94" s="362"/>
      <c r="T94" s="362"/>
      <c r="U94" s="362"/>
      <c r="V94" s="362"/>
      <c r="W94" s="362"/>
      <c r="X94" s="362"/>
      <c r="Y94" s="362"/>
      <c r="Z94" s="362"/>
      <c r="AA94" s="362"/>
      <c r="AB94" s="362"/>
      <c r="AC94" s="362"/>
      <c r="AD94" s="362"/>
      <c r="AE94" s="362"/>
      <c r="AF94" s="362"/>
      <c r="AG94" s="362"/>
      <c r="AH94" s="362"/>
      <c r="AI94" s="362"/>
      <c r="AJ94" s="362"/>
      <c r="AK94" s="362"/>
      <c r="AL94" s="362"/>
      <c r="AM94" s="362"/>
      <c r="AN94" s="362"/>
      <c r="AO94" s="362"/>
      <c r="AP94" s="362"/>
      <c r="AQ94" s="362"/>
      <c r="AR94" s="362"/>
      <c r="AS94" s="362"/>
      <c r="AT94" s="362"/>
      <c r="AU94" s="362"/>
      <c r="AV94" s="362"/>
      <c r="AW94" s="362"/>
      <c r="AX94" s="362"/>
      <c r="AY94" s="362"/>
      <c r="AZ94" s="362"/>
      <c r="BA94" s="362"/>
      <c r="BB94" s="362"/>
      <c r="BC94" s="362"/>
      <c r="BD94" s="362"/>
      <c r="BE94" s="362"/>
      <c r="BF94" s="362"/>
      <c r="BG94" s="362"/>
      <c r="BH94" s="362"/>
      <c r="BI94" s="362"/>
      <c r="BJ94" s="362"/>
      <c r="BK94" s="362"/>
      <c r="BL94" s="362"/>
      <c r="BM94" s="362"/>
      <c r="BN94" s="362"/>
      <c r="BO94" s="362"/>
      <c r="BP94" s="362"/>
      <c r="BQ94" s="362"/>
      <c r="BR94" s="362"/>
      <c r="BS94" s="362"/>
      <c r="BT94" s="362"/>
    </row>
    <row r="95" spans="1:72" s="363" customFormat="1" ht="18" customHeight="1" x14ac:dyDescent="0.2">
      <c r="A95" s="164"/>
      <c r="B95" s="365" t="s">
        <v>175</v>
      </c>
      <c r="C95" s="166" t="s">
        <v>176</v>
      </c>
      <c r="D95" s="166" t="s">
        <v>187</v>
      </c>
      <c r="E95" s="167" t="s">
        <v>153</v>
      </c>
      <c r="F95" s="169" t="s">
        <v>153</v>
      </c>
      <c r="G95" s="168">
        <f>SUM(G97)</f>
        <v>17964.12</v>
      </c>
      <c r="H95" s="362"/>
      <c r="I95" s="362"/>
      <c r="J95" s="362"/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U95" s="362"/>
      <c r="V95" s="362"/>
      <c r="W95" s="362"/>
      <c r="X95" s="362"/>
      <c r="Y95" s="362"/>
      <c r="Z95" s="362"/>
      <c r="AA95" s="362"/>
      <c r="AB95" s="362"/>
      <c r="AC95" s="362"/>
      <c r="AD95" s="362"/>
      <c r="AE95" s="362"/>
      <c r="AF95" s="362"/>
      <c r="AG95" s="362"/>
      <c r="AH95" s="362"/>
      <c r="AI95" s="362"/>
      <c r="AJ95" s="362"/>
      <c r="AK95" s="362"/>
      <c r="AL95" s="362"/>
      <c r="AM95" s="362"/>
      <c r="AN95" s="362"/>
      <c r="AO95" s="362"/>
      <c r="AP95" s="362"/>
      <c r="AQ95" s="362"/>
      <c r="AR95" s="362"/>
      <c r="AS95" s="362"/>
      <c r="AT95" s="362"/>
      <c r="AU95" s="362"/>
      <c r="AV95" s="362"/>
      <c r="AW95" s="362"/>
      <c r="AX95" s="362"/>
      <c r="AY95" s="362"/>
      <c r="AZ95" s="362"/>
      <c r="BA95" s="362"/>
      <c r="BB95" s="362"/>
      <c r="BC95" s="362"/>
      <c r="BD95" s="362"/>
      <c r="BE95" s="362"/>
      <c r="BF95" s="362"/>
      <c r="BG95" s="362"/>
      <c r="BH95" s="362"/>
      <c r="BI95" s="362"/>
      <c r="BJ95" s="362"/>
      <c r="BK95" s="362"/>
      <c r="BL95" s="362"/>
      <c r="BM95" s="362"/>
      <c r="BN95" s="362"/>
      <c r="BO95" s="362"/>
      <c r="BP95" s="362"/>
      <c r="BQ95" s="362"/>
      <c r="BR95" s="362"/>
      <c r="BS95" s="362"/>
      <c r="BT95" s="362"/>
    </row>
    <row r="96" spans="1:72" s="363" customFormat="1" ht="5.25" customHeight="1" x14ac:dyDescent="0.2">
      <c r="A96" s="164"/>
      <c r="B96" s="165"/>
      <c r="C96" s="183"/>
      <c r="D96" s="166"/>
      <c r="E96" s="166"/>
      <c r="F96" s="176"/>
      <c r="G96" s="177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362"/>
      <c r="W96" s="362"/>
      <c r="X96" s="362"/>
      <c r="Y96" s="362"/>
      <c r="Z96" s="362"/>
      <c r="AA96" s="362"/>
      <c r="AB96" s="362"/>
      <c r="AC96" s="362"/>
      <c r="AD96" s="362"/>
      <c r="AE96" s="362"/>
      <c r="AF96" s="362"/>
      <c r="AG96" s="362"/>
      <c r="AH96" s="362"/>
      <c r="AI96" s="362"/>
      <c r="AJ96" s="362"/>
      <c r="AK96" s="362"/>
      <c r="AL96" s="362"/>
      <c r="AM96" s="362"/>
      <c r="AN96" s="362"/>
      <c r="AO96" s="362"/>
      <c r="AP96" s="362"/>
      <c r="AQ96" s="362"/>
      <c r="AR96" s="362"/>
      <c r="AS96" s="362"/>
      <c r="AT96" s="362"/>
      <c r="AU96" s="362"/>
      <c r="AV96" s="362"/>
      <c r="AW96" s="362"/>
      <c r="AX96" s="362"/>
      <c r="AY96" s="362"/>
      <c r="AZ96" s="362"/>
      <c r="BA96" s="362"/>
      <c r="BB96" s="362"/>
      <c r="BC96" s="362"/>
      <c r="BD96" s="362"/>
      <c r="BE96" s="362"/>
      <c r="BF96" s="362"/>
      <c r="BG96" s="362"/>
      <c r="BH96" s="362"/>
      <c r="BI96" s="362"/>
      <c r="BJ96" s="362"/>
      <c r="BK96" s="362"/>
      <c r="BL96" s="362"/>
      <c r="BM96" s="362"/>
      <c r="BN96" s="362"/>
      <c r="BO96" s="362"/>
      <c r="BP96" s="362"/>
      <c r="BQ96" s="362"/>
      <c r="BR96" s="362"/>
      <c r="BS96" s="362"/>
      <c r="BT96" s="362"/>
    </row>
    <row r="97" spans="1:72" s="363" customFormat="1" ht="15.75" customHeight="1" x14ac:dyDescent="0.2">
      <c r="A97" s="164"/>
      <c r="B97" s="165"/>
      <c r="C97" s="183"/>
      <c r="D97" s="166"/>
      <c r="E97" s="166"/>
      <c r="F97" s="176"/>
      <c r="G97" s="364">
        <f>SUM(G98:G103)</f>
        <v>17964.12</v>
      </c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  <c r="S97" s="362"/>
      <c r="T97" s="362"/>
      <c r="U97" s="362"/>
      <c r="V97" s="362"/>
      <c r="W97" s="362"/>
      <c r="X97" s="362"/>
      <c r="Y97" s="362"/>
      <c r="Z97" s="362"/>
      <c r="AA97" s="362"/>
      <c r="AB97" s="362"/>
      <c r="AC97" s="362"/>
      <c r="AD97" s="362"/>
      <c r="AE97" s="362"/>
      <c r="AF97" s="362"/>
      <c r="AG97" s="362"/>
      <c r="AH97" s="362"/>
      <c r="AI97" s="362"/>
      <c r="AJ97" s="362"/>
      <c r="AK97" s="362"/>
      <c r="AL97" s="362"/>
      <c r="AM97" s="362"/>
      <c r="AN97" s="362"/>
      <c r="AO97" s="362"/>
      <c r="AP97" s="362"/>
      <c r="AQ97" s="362"/>
      <c r="AR97" s="362"/>
      <c r="AS97" s="362"/>
      <c r="AT97" s="362"/>
      <c r="AU97" s="362"/>
      <c r="AV97" s="362"/>
      <c r="AW97" s="362"/>
      <c r="AX97" s="362"/>
      <c r="AY97" s="362"/>
      <c r="AZ97" s="362"/>
      <c r="BA97" s="362"/>
      <c r="BB97" s="362"/>
      <c r="BC97" s="362"/>
      <c r="BD97" s="362"/>
      <c r="BE97" s="362"/>
      <c r="BF97" s="362"/>
      <c r="BG97" s="362"/>
      <c r="BH97" s="362"/>
      <c r="BI97" s="362"/>
      <c r="BJ97" s="362"/>
      <c r="BK97" s="362"/>
      <c r="BL97" s="362"/>
      <c r="BM97" s="362"/>
      <c r="BN97" s="362"/>
      <c r="BO97" s="362"/>
      <c r="BP97" s="362"/>
      <c r="BQ97" s="362"/>
      <c r="BR97" s="362"/>
      <c r="BS97" s="362"/>
      <c r="BT97" s="362"/>
    </row>
    <row r="98" spans="1:72" s="363" customFormat="1" ht="15.75" customHeight="1" x14ac:dyDescent="0.2">
      <c r="A98" s="164"/>
      <c r="B98" s="165"/>
      <c r="C98" s="183"/>
      <c r="D98" s="166"/>
      <c r="E98" s="166" t="s">
        <v>178</v>
      </c>
      <c r="F98" s="176" t="s">
        <v>153</v>
      </c>
      <c r="G98" s="177">
        <f>357.32+2842.68+2117+2557.7+4195.33</f>
        <v>12070.029999999999</v>
      </c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362"/>
      <c r="W98" s="362"/>
      <c r="X98" s="362"/>
      <c r="Y98" s="362"/>
      <c r="Z98" s="362"/>
      <c r="AA98" s="362"/>
      <c r="AB98" s="362"/>
      <c r="AC98" s="362"/>
      <c r="AD98" s="362"/>
      <c r="AE98" s="362"/>
      <c r="AF98" s="362"/>
      <c r="AG98" s="362"/>
      <c r="AH98" s="362"/>
      <c r="AI98" s="362"/>
      <c r="AJ98" s="362"/>
      <c r="AK98" s="362"/>
      <c r="AL98" s="362"/>
      <c r="AM98" s="362"/>
      <c r="AN98" s="362"/>
      <c r="AO98" s="362"/>
      <c r="AP98" s="362"/>
      <c r="AQ98" s="362"/>
      <c r="AR98" s="362"/>
      <c r="AS98" s="362"/>
      <c r="AT98" s="362"/>
      <c r="AU98" s="362"/>
      <c r="AV98" s="362"/>
      <c r="AW98" s="362"/>
      <c r="AX98" s="362"/>
      <c r="AY98" s="362"/>
      <c r="AZ98" s="362"/>
      <c r="BA98" s="362"/>
      <c r="BB98" s="362"/>
      <c r="BC98" s="362"/>
      <c r="BD98" s="362"/>
      <c r="BE98" s="362"/>
      <c r="BF98" s="362"/>
      <c r="BG98" s="362"/>
      <c r="BH98" s="362"/>
      <c r="BI98" s="362"/>
      <c r="BJ98" s="362"/>
      <c r="BK98" s="362"/>
      <c r="BL98" s="362"/>
      <c r="BM98" s="362"/>
      <c r="BN98" s="362"/>
      <c r="BO98" s="362"/>
      <c r="BP98" s="362"/>
      <c r="BQ98" s="362"/>
      <c r="BR98" s="362"/>
      <c r="BS98" s="362"/>
      <c r="BT98" s="362"/>
    </row>
    <row r="99" spans="1:72" s="363" customFormat="1" ht="15.75" customHeight="1" x14ac:dyDescent="0.2">
      <c r="A99" s="164"/>
      <c r="B99" s="165"/>
      <c r="C99" s="183"/>
      <c r="D99" s="166"/>
      <c r="E99" s="166" t="s">
        <v>160</v>
      </c>
      <c r="F99" s="176" t="s">
        <v>153</v>
      </c>
      <c r="G99" s="177">
        <f>11.61+47.27+1.18</f>
        <v>60.06</v>
      </c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362"/>
      <c r="W99" s="362"/>
      <c r="X99" s="362"/>
      <c r="Y99" s="362"/>
      <c r="Z99" s="362"/>
      <c r="AA99" s="362"/>
      <c r="AB99" s="362"/>
      <c r="AC99" s="362"/>
      <c r="AD99" s="362"/>
      <c r="AE99" s="362"/>
      <c r="AF99" s="362"/>
      <c r="AG99" s="362"/>
      <c r="AH99" s="362"/>
      <c r="AI99" s="362"/>
      <c r="AJ99" s="362"/>
      <c r="AK99" s="362"/>
      <c r="AL99" s="362"/>
      <c r="AM99" s="362"/>
      <c r="AN99" s="362"/>
      <c r="AO99" s="362"/>
      <c r="AP99" s="362"/>
      <c r="AQ99" s="362"/>
      <c r="AR99" s="362"/>
      <c r="AS99" s="362"/>
      <c r="AT99" s="362"/>
      <c r="AU99" s="362"/>
      <c r="AV99" s="362"/>
      <c r="AW99" s="362"/>
      <c r="AX99" s="362"/>
      <c r="AY99" s="362"/>
      <c r="AZ99" s="362"/>
      <c r="BA99" s="362"/>
      <c r="BB99" s="362"/>
      <c r="BC99" s="362"/>
      <c r="BD99" s="362"/>
      <c r="BE99" s="362"/>
      <c r="BF99" s="362"/>
      <c r="BG99" s="362"/>
      <c r="BH99" s="362"/>
      <c r="BI99" s="362"/>
      <c r="BJ99" s="362"/>
      <c r="BK99" s="362"/>
      <c r="BL99" s="362"/>
      <c r="BM99" s="362"/>
      <c r="BN99" s="362"/>
      <c r="BO99" s="362"/>
      <c r="BP99" s="362"/>
      <c r="BQ99" s="362"/>
      <c r="BR99" s="362"/>
      <c r="BS99" s="362"/>
      <c r="BT99" s="362"/>
    </row>
    <row r="100" spans="1:72" s="363" customFormat="1" ht="15.75" customHeight="1" x14ac:dyDescent="0.2">
      <c r="A100" s="164"/>
      <c r="B100" s="165"/>
      <c r="C100" s="183"/>
      <c r="D100" s="166"/>
      <c r="E100" s="166" t="s">
        <v>165</v>
      </c>
      <c r="F100" s="176" t="s">
        <v>153</v>
      </c>
      <c r="G100" s="177">
        <f>55-55</f>
        <v>0</v>
      </c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2"/>
      <c r="V100" s="362"/>
      <c r="W100" s="362"/>
      <c r="X100" s="362"/>
      <c r="Y100" s="362"/>
      <c r="Z100" s="362"/>
      <c r="AA100" s="362"/>
      <c r="AB100" s="362"/>
      <c r="AC100" s="362"/>
      <c r="AD100" s="362"/>
      <c r="AE100" s="362"/>
      <c r="AF100" s="362"/>
      <c r="AG100" s="362"/>
      <c r="AH100" s="362"/>
      <c r="AI100" s="362"/>
      <c r="AJ100" s="362"/>
      <c r="AK100" s="362"/>
      <c r="AL100" s="362"/>
      <c r="AM100" s="362"/>
      <c r="AN100" s="362"/>
      <c r="AO100" s="362"/>
      <c r="AP100" s="362"/>
      <c r="AQ100" s="362"/>
      <c r="AR100" s="362"/>
      <c r="AS100" s="362"/>
      <c r="AT100" s="362"/>
      <c r="AU100" s="362"/>
      <c r="AV100" s="362"/>
      <c r="AW100" s="362"/>
      <c r="AX100" s="362"/>
      <c r="AY100" s="362"/>
      <c r="AZ100" s="362"/>
      <c r="BA100" s="362"/>
      <c r="BB100" s="362"/>
      <c r="BC100" s="362"/>
      <c r="BD100" s="362"/>
      <c r="BE100" s="362"/>
      <c r="BF100" s="362"/>
      <c r="BG100" s="362"/>
      <c r="BH100" s="362"/>
      <c r="BI100" s="362"/>
      <c r="BJ100" s="362"/>
      <c r="BK100" s="362"/>
      <c r="BL100" s="362"/>
      <c r="BM100" s="362"/>
      <c r="BN100" s="362"/>
      <c r="BO100" s="362"/>
      <c r="BP100" s="362"/>
      <c r="BQ100" s="362"/>
      <c r="BR100" s="362"/>
      <c r="BS100" s="362"/>
      <c r="BT100" s="362"/>
    </row>
    <row r="101" spans="1:72" s="363" customFormat="1" ht="15.75" customHeight="1" x14ac:dyDescent="0.2">
      <c r="A101" s="164"/>
      <c r="B101" s="165"/>
      <c r="C101" s="183"/>
      <c r="D101" s="166"/>
      <c r="E101" s="166" t="s">
        <v>179</v>
      </c>
      <c r="F101" s="176" t="s">
        <v>153</v>
      </c>
      <c r="G101" s="177">
        <f>1562.39+768.26-222.03+770.82+1925.07-1848-159.45</f>
        <v>2797.0600000000004</v>
      </c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  <c r="U101" s="362"/>
      <c r="V101" s="362"/>
      <c r="W101" s="362"/>
      <c r="X101" s="362"/>
      <c r="Y101" s="362"/>
      <c r="Z101" s="362"/>
      <c r="AA101" s="362"/>
      <c r="AB101" s="362"/>
      <c r="AC101" s="362"/>
      <c r="AD101" s="362"/>
      <c r="AE101" s="362"/>
      <c r="AF101" s="362"/>
      <c r="AG101" s="362"/>
      <c r="AH101" s="362"/>
      <c r="AI101" s="362"/>
      <c r="AJ101" s="362"/>
      <c r="AK101" s="362"/>
      <c r="AL101" s="362"/>
      <c r="AM101" s="362"/>
      <c r="AN101" s="362"/>
      <c r="AO101" s="362"/>
      <c r="AP101" s="362"/>
      <c r="AQ101" s="362"/>
      <c r="AR101" s="362"/>
      <c r="AS101" s="362"/>
      <c r="AT101" s="362"/>
      <c r="AU101" s="362"/>
      <c r="AV101" s="362"/>
      <c r="AW101" s="362"/>
      <c r="AX101" s="362"/>
      <c r="AY101" s="362"/>
      <c r="AZ101" s="362"/>
      <c r="BA101" s="362"/>
      <c r="BB101" s="362"/>
      <c r="BC101" s="362"/>
      <c r="BD101" s="362"/>
      <c r="BE101" s="362"/>
      <c r="BF101" s="362"/>
      <c r="BG101" s="362"/>
      <c r="BH101" s="362"/>
      <c r="BI101" s="362"/>
      <c r="BJ101" s="362"/>
      <c r="BK101" s="362"/>
      <c r="BL101" s="362"/>
      <c r="BM101" s="362"/>
      <c r="BN101" s="362"/>
      <c r="BO101" s="362"/>
      <c r="BP101" s="362"/>
      <c r="BQ101" s="362"/>
      <c r="BR101" s="362"/>
      <c r="BS101" s="362"/>
      <c r="BT101" s="362"/>
    </row>
    <row r="102" spans="1:72" s="363" customFormat="1" ht="15.75" customHeight="1" x14ac:dyDescent="0.2">
      <c r="A102" s="164"/>
      <c r="B102" s="165"/>
      <c r="C102" s="183"/>
      <c r="D102" s="166"/>
      <c r="E102" s="166" t="s">
        <v>166</v>
      </c>
      <c r="F102" s="176" t="s">
        <v>153</v>
      </c>
      <c r="G102" s="177">
        <f>306.66+187.76-80.29+188.39+910.83-965-21.09</f>
        <v>527.25999999999988</v>
      </c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362"/>
      <c r="U102" s="362"/>
      <c r="V102" s="362"/>
      <c r="W102" s="362"/>
      <c r="X102" s="362"/>
      <c r="Y102" s="362"/>
      <c r="Z102" s="362"/>
      <c r="AA102" s="362"/>
      <c r="AB102" s="362"/>
      <c r="AC102" s="362"/>
      <c r="AD102" s="362"/>
      <c r="AE102" s="362"/>
      <c r="AF102" s="362"/>
      <c r="AG102" s="362"/>
      <c r="AH102" s="362"/>
      <c r="AI102" s="362"/>
      <c r="AJ102" s="362"/>
      <c r="AK102" s="362"/>
      <c r="AL102" s="362"/>
      <c r="AM102" s="362"/>
      <c r="AN102" s="362"/>
      <c r="AO102" s="362"/>
      <c r="AP102" s="362"/>
      <c r="AQ102" s="362"/>
      <c r="AR102" s="362"/>
      <c r="AS102" s="362"/>
      <c r="AT102" s="362"/>
      <c r="AU102" s="362"/>
      <c r="AV102" s="362"/>
      <c r="AW102" s="362"/>
      <c r="AX102" s="362"/>
      <c r="AY102" s="362"/>
      <c r="AZ102" s="362"/>
      <c r="BA102" s="362"/>
      <c r="BB102" s="362"/>
      <c r="BC102" s="362"/>
      <c r="BD102" s="362"/>
      <c r="BE102" s="362"/>
      <c r="BF102" s="362"/>
      <c r="BG102" s="362"/>
      <c r="BH102" s="362"/>
      <c r="BI102" s="362"/>
      <c r="BJ102" s="362"/>
      <c r="BK102" s="362"/>
      <c r="BL102" s="362"/>
      <c r="BM102" s="362"/>
      <c r="BN102" s="362"/>
      <c r="BO102" s="362"/>
      <c r="BP102" s="362"/>
      <c r="BQ102" s="362"/>
      <c r="BR102" s="362"/>
      <c r="BS102" s="362"/>
      <c r="BT102" s="362"/>
    </row>
    <row r="103" spans="1:72" s="363" customFormat="1" ht="15.75" customHeight="1" x14ac:dyDescent="0.2">
      <c r="A103" s="164"/>
      <c r="B103" s="165"/>
      <c r="C103" s="183"/>
      <c r="D103" s="166"/>
      <c r="E103" s="166" t="s">
        <v>180</v>
      </c>
      <c r="F103" s="176" t="s">
        <v>153</v>
      </c>
      <c r="G103" s="177">
        <f>1025.74+1278.94+205.03</f>
        <v>2509.7100000000005</v>
      </c>
      <c r="H103" s="362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362"/>
      <c r="W103" s="362"/>
      <c r="X103" s="362"/>
      <c r="Y103" s="362"/>
      <c r="Z103" s="362"/>
      <c r="AA103" s="362"/>
      <c r="AB103" s="362"/>
      <c r="AC103" s="362"/>
      <c r="AD103" s="362"/>
      <c r="AE103" s="362"/>
      <c r="AF103" s="362"/>
      <c r="AG103" s="362"/>
      <c r="AH103" s="362"/>
      <c r="AI103" s="362"/>
      <c r="AJ103" s="362"/>
      <c r="AK103" s="362"/>
      <c r="AL103" s="362"/>
      <c r="AM103" s="362"/>
      <c r="AN103" s="362"/>
      <c r="AO103" s="362"/>
      <c r="AP103" s="362"/>
      <c r="AQ103" s="362"/>
      <c r="AR103" s="362"/>
      <c r="AS103" s="362"/>
      <c r="AT103" s="362"/>
      <c r="AU103" s="362"/>
      <c r="AV103" s="362"/>
      <c r="AW103" s="362"/>
      <c r="AX103" s="362"/>
      <c r="AY103" s="362"/>
      <c r="AZ103" s="362"/>
      <c r="BA103" s="362"/>
      <c r="BB103" s="362"/>
      <c r="BC103" s="362"/>
      <c r="BD103" s="362"/>
      <c r="BE103" s="362"/>
      <c r="BF103" s="362"/>
      <c r="BG103" s="362"/>
      <c r="BH103" s="362"/>
      <c r="BI103" s="362"/>
      <c r="BJ103" s="362"/>
      <c r="BK103" s="362"/>
      <c r="BL103" s="362"/>
      <c r="BM103" s="362"/>
      <c r="BN103" s="362"/>
      <c r="BO103" s="362"/>
      <c r="BP103" s="362"/>
      <c r="BQ103" s="362"/>
      <c r="BR103" s="362"/>
      <c r="BS103" s="362"/>
      <c r="BT103" s="362"/>
    </row>
    <row r="104" spans="1:72" s="363" customFormat="1" ht="5.25" customHeight="1" x14ac:dyDescent="0.2">
      <c r="A104" s="164"/>
      <c r="B104" s="165"/>
      <c r="C104" s="183"/>
      <c r="D104" s="166"/>
      <c r="E104" s="166"/>
      <c r="F104" s="176"/>
      <c r="G104" s="177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362"/>
      <c r="W104" s="362"/>
      <c r="X104" s="362"/>
      <c r="Y104" s="362"/>
      <c r="Z104" s="362"/>
      <c r="AA104" s="362"/>
      <c r="AB104" s="362"/>
      <c r="AC104" s="362"/>
      <c r="AD104" s="362"/>
      <c r="AE104" s="362"/>
      <c r="AF104" s="362"/>
      <c r="AG104" s="362"/>
      <c r="AH104" s="362"/>
      <c r="AI104" s="362"/>
      <c r="AJ104" s="362"/>
      <c r="AK104" s="362"/>
      <c r="AL104" s="362"/>
      <c r="AM104" s="362"/>
      <c r="AN104" s="362"/>
      <c r="AO104" s="362"/>
      <c r="AP104" s="362"/>
      <c r="AQ104" s="362"/>
      <c r="AR104" s="362"/>
      <c r="AS104" s="362"/>
      <c r="AT104" s="362"/>
      <c r="AU104" s="362"/>
      <c r="AV104" s="362"/>
      <c r="AW104" s="362"/>
      <c r="AX104" s="362"/>
      <c r="AY104" s="362"/>
      <c r="AZ104" s="362"/>
      <c r="BA104" s="362"/>
      <c r="BB104" s="362"/>
      <c r="BC104" s="362"/>
      <c r="BD104" s="362"/>
      <c r="BE104" s="362"/>
      <c r="BF104" s="362"/>
      <c r="BG104" s="362"/>
      <c r="BH104" s="362"/>
      <c r="BI104" s="362"/>
      <c r="BJ104" s="362"/>
      <c r="BK104" s="362"/>
      <c r="BL104" s="362"/>
      <c r="BM104" s="362"/>
      <c r="BN104" s="362"/>
      <c r="BO104" s="362"/>
      <c r="BP104" s="362"/>
      <c r="BQ104" s="362"/>
      <c r="BR104" s="362"/>
      <c r="BS104" s="362"/>
      <c r="BT104" s="362"/>
    </row>
    <row r="105" spans="1:72" s="363" customFormat="1" ht="15.75" customHeight="1" x14ac:dyDescent="0.2">
      <c r="A105" s="164"/>
      <c r="B105" s="365" t="s">
        <v>183</v>
      </c>
      <c r="C105" s="166" t="s">
        <v>176</v>
      </c>
      <c r="D105" s="166" t="s">
        <v>187</v>
      </c>
      <c r="E105" s="172" t="s">
        <v>153</v>
      </c>
      <c r="F105" s="173" t="s">
        <v>153</v>
      </c>
      <c r="G105" s="174">
        <f>SUM(G107)</f>
        <v>1449.93</v>
      </c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362"/>
      <c r="W105" s="362"/>
      <c r="X105" s="362"/>
      <c r="Y105" s="362"/>
      <c r="Z105" s="362"/>
      <c r="AA105" s="362"/>
      <c r="AB105" s="362"/>
      <c r="AC105" s="362"/>
      <c r="AD105" s="362"/>
      <c r="AE105" s="362"/>
      <c r="AF105" s="362"/>
      <c r="AG105" s="362"/>
      <c r="AH105" s="362"/>
      <c r="AI105" s="362"/>
      <c r="AJ105" s="362"/>
      <c r="AK105" s="362"/>
      <c r="AL105" s="362"/>
      <c r="AM105" s="362"/>
      <c r="AN105" s="362"/>
      <c r="AO105" s="362"/>
      <c r="AP105" s="362"/>
      <c r="AQ105" s="362"/>
      <c r="AR105" s="362"/>
      <c r="AS105" s="362"/>
      <c r="AT105" s="362"/>
      <c r="AU105" s="362"/>
      <c r="AV105" s="362"/>
      <c r="AW105" s="362"/>
      <c r="AX105" s="362"/>
      <c r="AY105" s="362"/>
      <c r="AZ105" s="362"/>
      <c r="BA105" s="362"/>
      <c r="BB105" s="362"/>
      <c r="BC105" s="362"/>
      <c r="BD105" s="362"/>
      <c r="BE105" s="362"/>
      <c r="BF105" s="362"/>
      <c r="BG105" s="362"/>
      <c r="BH105" s="362"/>
      <c r="BI105" s="362"/>
      <c r="BJ105" s="362"/>
      <c r="BK105" s="362"/>
      <c r="BL105" s="362"/>
      <c r="BM105" s="362"/>
      <c r="BN105" s="362"/>
      <c r="BO105" s="362"/>
      <c r="BP105" s="362"/>
      <c r="BQ105" s="362"/>
      <c r="BR105" s="362"/>
      <c r="BS105" s="362"/>
      <c r="BT105" s="362"/>
    </row>
    <row r="106" spans="1:72" s="363" customFormat="1" ht="6" customHeight="1" x14ac:dyDescent="0.2">
      <c r="A106" s="164"/>
      <c r="B106" s="165"/>
      <c r="C106" s="183"/>
      <c r="D106" s="166"/>
      <c r="E106" s="166"/>
      <c r="F106" s="176"/>
      <c r="G106" s="177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362"/>
      <c r="W106" s="362"/>
      <c r="X106" s="362"/>
      <c r="Y106" s="362"/>
      <c r="Z106" s="362"/>
      <c r="AA106" s="362"/>
      <c r="AB106" s="362"/>
      <c r="AC106" s="362"/>
      <c r="AD106" s="362"/>
      <c r="AE106" s="362"/>
      <c r="AF106" s="362"/>
      <c r="AG106" s="362"/>
      <c r="AH106" s="362"/>
      <c r="AI106" s="362"/>
      <c r="AJ106" s="362"/>
      <c r="AK106" s="362"/>
      <c r="AL106" s="362"/>
      <c r="AM106" s="362"/>
      <c r="AN106" s="362"/>
      <c r="AO106" s="362"/>
      <c r="AP106" s="362"/>
      <c r="AQ106" s="362"/>
      <c r="AR106" s="362"/>
      <c r="AS106" s="362"/>
      <c r="AT106" s="362"/>
      <c r="AU106" s="362"/>
      <c r="AV106" s="362"/>
      <c r="AW106" s="362"/>
      <c r="AX106" s="362"/>
      <c r="AY106" s="362"/>
      <c r="AZ106" s="362"/>
      <c r="BA106" s="362"/>
      <c r="BB106" s="362"/>
      <c r="BC106" s="362"/>
      <c r="BD106" s="362"/>
      <c r="BE106" s="362"/>
      <c r="BF106" s="362"/>
      <c r="BG106" s="362"/>
      <c r="BH106" s="362"/>
      <c r="BI106" s="362"/>
      <c r="BJ106" s="362"/>
      <c r="BK106" s="362"/>
      <c r="BL106" s="362"/>
      <c r="BM106" s="362"/>
      <c r="BN106" s="362"/>
      <c r="BO106" s="362"/>
      <c r="BP106" s="362"/>
      <c r="BQ106" s="362"/>
      <c r="BR106" s="362"/>
      <c r="BS106" s="362"/>
      <c r="BT106" s="362"/>
    </row>
    <row r="107" spans="1:72" s="363" customFormat="1" ht="15.75" customHeight="1" x14ac:dyDescent="0.2">
      <c r="A107" s="164"/>
      <c r="B107" s="165"/>
      <c r="C107" s="183"/>
      <c r="D107" s="166"/>
      <c r="E107" s="166"/>
      <c r="F107" s="176"/>
      <c r="G107" s="364">
        <f>SUM(G108)</f>
        <v>1449.93</v>
      </c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362"/>
      <c r="W107" s="362"/>
      <c r="X107" s="362"/>
      <c r="Y107" s="362"/>
      <c r="Z107" s="362"/>
      <c r="AA107" s="362"/>
      <c r="AB107" s="362"/>
      <c r="AC107" s="362"/>
      <c r="AD107" s="362"/>
      <c r="AE107" s="362"/>
      <c r="AF107" s="362"/>
      <c r="AG107" s="362"/>
      <c r="AH107" s="362"/>
      <c r="AI107" s="362"/>
      <c r="AJ107" s="362"/>
      <c r="AK107" s="362"/>
      <c r="AL107" s="362"/>
      <c r="AM107" s="362"/>
      <c r="AN107" s="362"/>
      <c r="AO107" s="362"/>
      <c r="AP107" s="362"/>
      <c r="AQ107" s="362"/>
      <c r="AR107" s="362"/>
      <c r="AS107" s="362"/>
      <c r="AT107" s="362"/>
      <c r="AU107" s="362"/>
      <c r="AV107" s="362"/>
      <c r="AW107" s="362"/>
      <c r="AX107" s="362"/>
      <c r="AY107" s="362"/>
      <c r="AZ107" s="362"/>
      <c r="BA107" s="362"/>
      <c r="BB107" s="362"/>
      <c r="BC107" s="362"/>
      <c r="BD107" s="362"/>
      <c r="BE107" s="362"/>
      <c r="BF107" s="362"/>
      <c r="BG107" s="362"/>
      <c r="BH107" s="362"/>
      <c r="BI107" s="362"/>
      <c r="BJ107" s="362"/>
      <c r="BK107" s="362"/>
      <c r="BL107" s="362"/>
      <c r="BM107" s="362"/>
      <c r="BN107" s="362"/>
      <c r="BO107" s="362"/>
      <c r="BP107" s="362"/>
      <c r="BQ107" s="362"/>
      <c r="BR107" s="362"/>
      <c r="BS107" s="362"/>
      <c r="BT107" s="362"/>
    </row>
    <row r="108" spans="1:72" s="363" customFormat="1" ht="15.75" customHeight="1" x14ac:dyDescent="0.2">
      <c r="A108" s="164"/>
      <c r="B108" s="165"/>
      <c r="C108" s="183"/>
      <c r="D108" s="166"/>
      <c r="E108" s="166" t="s">
        <v>184</v>
      </c>
      <c r="F108" s="176" t="s">
        <v>153</v>
      </c>
      <c r="G108" s="177">
        <f>709.34+740.59</f>
        <v>1449.93</v>
      </c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362"/>
      <c r="W108" s="362"/>
      <c r="X108" s="362"/>
      <c r="Y108" s="362"/>
      <c r="Z108" s="362"/>
      <c r="AA108" s="362"/>
      <c r="AB108" s="362"/>
      <c r="AC108" s="362"/>
      <c r="AD108" s="362"/>
      <c r="AE108" s="362"/>
      <c r="AF108" s="362"/>
      <c r="AG108" s="362"/>
      <c r="AH108" s="362"/>
      <c r="AI108" s="362"/>
      <c r="AJ108" s="362"/>
      <c r="AK108" s="362"/>
      <c r="AL108" s="362"/>
      <c r="AM108" s="362"/>
      <c r="AN108" s="362"/>
      <c r="AO108" s="362"/>
      <c r="AP108" s="362"/>
      <c r="AQ108" s="362"/>
      <c r="AR108" s="362"/>
      <c r="AS108" s="362"/>
      <c r="AT108" s="362"/>
      <c r="AU108" s="362"/>
      <c r="AV108" s="362"/>
      <c r="AW108" s="362"/>
      <c r="AX108" s="362"/>
      <c r="AY108" s="362"/>
      <c r="AZ108" s="362"/>
      <c r="BA108" s="362"/>
      <c r="BB108" s="362"/>
      <c r="BC108" s="362"/>
      <c r="BD108" s="362"/>
      <c r="BE108" s="362"/>
      <c r="BF108" s="362"/>
      <c r="BG108" s="362"/>
      <c r="BH108" s="362"/>
      <c r="BI108" s="362"/>
      <c r="BJ108" s="362"/>
      <c r="BK108" s="362"/>
      <c r="BL108" s="362"/>
      <c r="BM108" s="362"/>
      <c r="BN108" s="362"/>
      <c r="BO108" s="362"/>
      <c r="BP108" s="362"/>
      <c r="BQ108" s="362"/>
      <c r="BR108" s="362"/>
      <c r="BS108" s="362"/>
      <c r="BT108" s="362"/>
    </row>
    <row r="109" spans="1:72" s="363" customFormat="1" ht="8.25" customHeight="1" x14ac:dyDescent="0.2">
      <c r="A109" s="164"/>
      <c r="B109" s="165"/>
      <c r="C109" s="183"/>
      <c r="D109" s="166"/>
      <c r="E109" s="166"/>
      <c r="F109" s="176"/>
      <c r="G109" s="177"/>
      <c r="H109" s="362"/>
      <c r="I109" s="362"/>
      <c r="J109" s="362"/>
      <c r="K109" s="362"/>
      <c r="L109" s="362"/>
      <c r="M109" s="362"/>
      <c r="N109" s="362"/>
      <c r="O109" s="362"/>
      <c r="P109" s="362"/>
      <c r="Q109" s="362"/>
      <c r="R109" s="362"/>
      <c r="S109" s="362"/>
      <c r="T109" s="362"/>
      <c r="U109" s="362"/>
      <c r="V109" s="362"/>
      <c r="W109" s="362"/>
      <c r="X109" s="362"/>
      <c r="Y109" s="362"/>
      <c r="Z109" s="362"/>
      <c r="AA109" s="362"/>
      <c r="AB109" s="362"/>
      <c r="AC109" s="362"/>
      <c r="AD109" s="362"/>
      <c r="AE109" s="362"/>
      <c r="AF109" s="362"/>
      <c r="AG109" s="362"/>
      <c r="AH109" s="362"/>
      <c r="AI109" s="362"/>
      <c r="AJ109" s="362"/>
      <c r="AK109" s="362"/>
      <c r="AL109" s="362"/>
      <c r="AM109" s="362"/>
      <c r="AN109" s="362"/>
      <c r="AO109" s="362"/>
      <c r="AP109" s="362"/>
      <c r="AQ109" s="362"/>
      <c r="AR109" s="362"/>
      <c r="AS109" s="362"/>
      <c r="AT109" s="362"/>
      <c r="AU109" s="362"/>
      <c r="AV109" s="362"/>
      <c r="AW109" s="362"/>
      <c r="AX109" s="362"/>
      <c r="AY109" s="362"/>
      <c r="AZ109" s="362"/>
      <c r="BA109" s="362"/>
      <c r="BB109" s="362"/>
      <c r="BC109" s="362"/>
      <c r="BD109" s="362"/>
      <c r="BE109" s="362"/>
      <c r="BF109" s="362"/>
      <c r="BG109" s="362"/>
      <c r="BH109" s="362"/>
      <c r="BI109" s="362"/>
      <c r="BJ109" s="362"/>
      <c r="BK109" s="362"/>
      <c r="BL109" s="362"/>
      <c r="BM109" s="362"/>
      <c r="BN109" s="362"/>
      <c r="BO109" s="362"/>
      <c r="BP109" s="362"/>
      <c r="BQ109" s="362"/>
      <c r="BR109" s="362"/>
      <c r="BS109" s="362"/>
      <c r="BT109" s="362"/>
    </row>
    <row r="110" spans="1:72" s="363" customFormat="1" ht="15.75" customHeight="1" x14ac:dyDescent="0.2">
      <c r="A110" s="164"/>
      <c r="B110" s="365" t="s">
        <v>175</v>
      </c>
      <c r="C110" s="166" t="s">
        <v>176</v>
      </c>
      <c r="D110" s="166" t="s">
        <v>188</v>
      </c>
      <c r="E110" s="172" t="s">
        <v>153</v>
      </c>
      <c r="F110" s="173" t="s">
        <v>153</v>
      </c>
      <c r="G110" s="174">
        <f>SUM(G112)</f>
        <v>116415.67999999999</v>
      </c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  <c r="S110" s="362"/>
      <c r="T110" s="362"/>
      <c r="U110" s="362"/>
      <c r="V110" s="362"/>
      <c r="W110" s="362"/>
      <c r="X110" s="362"/>
      <c r="Y110" s="362"/>
      <c r="Z110" s="362"/>
      <c r="AA110" s="362"/>
      <c r="AB110" s="362"/>
      <c r="AC110" s="362"/>
      <c r="AD110" s="362"/>
      <c r="AE110" s="362"/>
      <c r="AF110" s="362"/>
      <c r="AG110" s="362"/>
      <c r="AH110" s="362"/>
      <c r="AI110" s="362"/>
      <c r="AJ110" s="362"/>
      <c r="AK110" s="362"/>
      <c r="AL110" s="362"/>
      <c r="AM110" s="362"/>
      <c r="AN110" s="362"/>
      <c r="AO110" s="362"/>
      <c r="AP110" s="362"/>
      <c r="AQ110" s="362"/>
      <c r="AR110" s="362"/>
      <c r="AS110" s="362"/>
      <c r="AT110" s="362"/>
      <c r="AU110" s="362"/>
      <c r="AV110" s="362"/>
      <c r="AW110" s="362"/>
      <c r="AX110" s="362"/>
      <c r="AY110" s="362"/>
      <c r="AZ110" s="362"/>
      <c r="BA110" s="362"/>
      <c r="BB110" s="362"/>
      <c r="BC110" s="362"/>
      <c r="BD110" s="362"/>
      <c r="BE110" s="362"/>
      <c r="BF110" s="362"/>
      <c r="BG110" s="362"/>
      <c r="BH110" s="362"/>
      <c r="BI110" s="362"/>
      <c r="BJ110" s="362"/>
      <c r="BK110" s="362"/>
      <c r="BL110" s="362"/>
      <c r="BM110" s="362"/>
      <c r="BN110" s="362"/>
      <c r="BO110" s="362"/>
      <c r="BP110" s="362"/>
      <c r="BQ110" s="362"/>
      <c r="BR110" s="362"/>
      <c r="BS110" s="362"/>
      <c r="BT110" s="362"/>
    </row>
    <row r="111" spans="1:72" s="363" customFormat="1" ht="6.75" customHeight="1" x14ac:dyDescent="0.2">
      <c r="A111" s="164"/>
      <c r="B111" s="165"/>
      <c r="C111" s="183"/>
      <c r="D111" s="166"/>
      <c r="E111" s="166"/>
      <c r="F111" s="176"/>
      <c r="G111" s="177"/>
      <c r="H111" s="362"/>
      <c r="I111" s="362"/>
      <c r="J111" s="362"/>
      <c r="K111" s="362"/>
      <c r="L111" s="362"/>
      <c r="M111" s="362"/>
      <c r="N111" s="362"/>
      <c r="O111" s="362"/>
      <c r="P111" s="362"/>
      <c r="Q111" s="362"/>
      <c r="R111" s="362"/>
      <c r="S111" s="362"/>
      <c r="T111" s="362"/>
      <c r="U111" s="362"/>
      <c r="V111" s="362"/>
      <c r="W111" s="362"/>
      <c r="X111" s="362"/>
      <c r="Y111" s="362"/>
      <c r="Z111" s="362"/>
      <c r="AA111" s="362"/>
      <c r="AB111" s="362"/>
      <c r="AC111" s="362"/>
      <c r="AD111" s="362"/>
      <c r="AE111" s="362"/>
      <c r="AF111" s="362"/>
      <c r="AG111" s="362"/>
      <c r="AH111" s="362"/>
      <c r="AI111" s="362"/>
      <c r="AJ111" s="362"/>
      <c r="AK111" s="362"/>
      <c r="AL111" s="362"/>
      <c r="AM111" s="362"/>
      <c r="AN111" s="362"/>
      <c r="AO111" s="362"/>
      <c r="AP111" s="362"/>
      <c r="AQ111" s="362"/>
      <c r="AR111" s="362"/>
      <c r="AS111" s="362"/>
      <c r="AT111" s="362"/>
      <c r="AU111" s="362"/>
      <c r="AV111" s="362"/>
      <c r="AW111" s="362"/>
      <c r="AX111" s="362"/>
      <c r="AY111" s="362"/>
      <c r="AZ111" s="362"/>
      <c r="BA111" s="362"/>
      <c r="BB111" s="362"/>
      <c r="BC111" s="362"/>
      <c r="BD111" s="362"/>
      <c r="BE111" s="362"/>
      <c r="BF111" s="362"/>
      <c r="BG111" s="362"/>
      <c r="BH111" s="362"/>
      <c r="BI111" s="362"/>
      <c r="BJ111" s="362"/>
      <c r="BK111" s="362"/>
      <c r="BL111" s="362"/>
      <c r="BM111" s="362"/>
      <c r="BN111" s="362"/>
      <c r="BO111" s="362"/>
      <c r="BP111" s="362"/>
      <c r="BQ111" s="362"/>
      <c r="BR111" s="362"/>
      <c r="BS111" s="362"/>
      <c r="BT111" s="362"/>
    </row>
    <row r="112" spans="1:72" s="363" customFormat="1" ht="15.75" customHeight="1" x14ac:dyDescent="0.2">
      <c r="A112" s="164"/>
      <c r="B112" s="165"/>
      <c r="C112" s="183"/>
      <c r="D112" s="166"/>
      <c r="E112" s="166"/>
      <c r="F112" s="176"/>
      <c r="G112" s="364">
        <f>SUM(G113:G117)</f>
        <v>116415.67999999999</v>
      </c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  <c r="S112" s="362"/>
      <c r="T112" s="362"/>
      <c r="U112" s="362"/>
      <c r="V112" s="362"/>
      <c r="W112" s="362"/>
      <c r="X112" s="362"/>
      <c r="Y112" s="362"/>
      <c r="Z112" s="362"/>
      <c r="AA112" s="362"/>
      <c r="AB112" s="362"/>
      <c r="AC112" s="362"/>
      <c r="AD112" s="362"/>
      <c r="AE112" s="362"/>
      <c r="AF112" s="362"/>
      <c r="AG112" s="362"/>
      <c r="AH112" s="362"/>
      <c r="AI112" s="362"/>
      <c r="AJ112" s="362"/>
      <c r="AK112" s="362"/>
      <c r="AL112" s="362"/>
      <c r="AM112" s="362"/>
      <c r="AN112" s="362"/>
      <c r="AO112" s="362"/>
      <c r="AP112" s="362"/>
      <c r="AQ112" s="362"/>
      <c r="AR112" s="362"/>
      <c r="AS112" s="362"/>
      <c r="AT112" s="362"/>
      <c r="AU112" s="362"/>
      <c r="AV112" s="362"/>
      <c r="AW112" s="362"/>
      <c r="AX112" s="362"/>
      <c r="AY112" s="362"/>
      <c r="AZ112" s="362"/>
      <c r="BA112" s="362"/>
      <c r="BB112" s="362"/>
      <c r="BC112" s="362"/>
      <c r="BD112" s="362"/>
      <c r="BE112" s="362"/>
      <c r="BF112" s="362"/>
      <c r="BG112" s="362"/>
      <c r="BH112" s="362"/>
      <c r="BI112" s="362"/>
      <c r="BJ112" s="362"/>
      <c r="BK112" s="362"/>
      <c r="BL112" s="362"/>
      <c r="BM112" s="362"/>
      <c r="BN112" s="362"/>
      <c r="BO112" s="362"/>
      <c r="BP112" s="362"/>
      <c r="BQ112" s="362"/>
      <c r="BR112" s="362"/>
      <c r="BS112" s="362"/>
      <c r="BT112" s="362"/>
    </row>
    <row r="113" spans="1:72" s="363" customFormat="1" ht="15.75" customHeight="1" x14ac:dyDescent="0.2">
      <c r="A113" s="164"/>
      <c r="B113" s="165"/>
      <c r="C113" s="183"/>
      <c r="D113" s="166"/>
      <c r="E113" s="166" t="s">
        <v>178</v>
      </c>
      <c r="F113" s="176" t="s">
        <v>153</v>
      </c>
      <c r="G113" s="177">
        <f>1500+20459+7726.52+26885+14424</f>
        <v>70994.52</v>
      </c>
      <c r="H113" s="362"/>
      <c r="I113" s="362"/>
      <c r="J113" s="362"/>
      <c r="K113" s="362"/>
      <c r="L113" s="362"/>
      <c r="M113" s="362"/>
      <c r="N113" s="362"/>
      <c r="O113" s="362"/>
      <c r="P113" s="362"/>
      <c r="Q113" s="362"/>
      <c r="R113" s="362"/>
      <c r="S113" s="362"/>
      <c r="T113" s="362"/>
      <c r="U113" s="362"/>
      <c r="V113" s="362"/>
      <c r="W113" s="362"/>
      <c r="X113" s="362"/>
      <c r="Y113" s="362"/>
      <c r="Z113" s="362"/>
      <c r="AA113" s="362"/>
      <c r="AB113" s="362"/>
      <c r="AC113" s="362"/>
      <c r="AD113" s="362"/>
      <c r="AE113" s="362"/>
      <c r="AF113" s="362"/>
      <c r="AG113" s="362"/>
      <c r="AH113" s="362"/>
      <c r="AI113" s="362"/>
      <c r="AJ113" s="362"/>
      <c r="AK113" s="362"/>
      <c r="AL113" s="362"/>
      <c r="AM113" s="362"/>
      <c r="AN113" s="362"/>
      <c r="AO113" s="362"/>
      <c r="AP113" s="362"/>
      <c r="AQ113" s="362"/>
      <c r="AR113" s="362"/>
      <c r="AS113" s="362"/>
      <c r="AT113" s="362"/>
      <c r="AU113" s="362"/>
      <c r="AV113" s="362"/>
      <c r="AW113" s="362"/>
      <c r="AX113" s="362"/>
      <c r="AY113" s="362"/>
      <c r="AZ113" s="362"/>
      <c r="BA113" s="362"/>
      <c r="BB113" s="362"/>
      <c r="BC113" s="362"/>
      <c r="BD113" s="362"/>
      <c r="BE113" s="362"/>
      <c r="BF113" s="362"/>
      <c r="BG113" s="362"/>
      <c r="BH113" s="362"/>
      <c r="BI113" s="362"/>
      <c r="BJ113" s="362"/>
      <c r="BK113" s="362"/>
      <c r="BL113" s="362"/>
      <c r="BM113" s="362"/>
      <c r="BN113" s="362"/>
      <c r="BO113" s="362"/>
      <c r="BP113" s="362"/>
      <c r="BQ113" s="362"/>
      <c r="BR113" s="362"/>
      <c r="BS113" s="362"/>
      <c r="BT113" s="362"/>
    </row>
    <row r="114" spans="1:72" s="363" customFormat="1" ht="15.75" customHeight="1" x14ac:dyDescent="0.2">
      <c r="A114" s="164"/>
      <c r="B114" s="165"/>
      <c r="C114" s="183"/>
      <c r="D114" s="166"/>
      <c r="E114" s="166" t="s">
        <v>160</v>
      </c>
      <c r="F114" s="176" t="s">
        <v>153</v>
      </c>
      <c r="G114" s="177">
        <f>167.03+150+75+580</f>
        <v>972.03</v>
      </c>
      <c r="H114" s="362"/>
      <c r="I114" s="362"/>
      <c r="J114" s="362"/>
      <c r="K114" s="362"/>
      <c r="L114" s="362"/>
      <c r="M114" s="362"/>
      <c r="N114" s="362"/>
      <c r="O114" s="362"/>
      <c r="P114" s="362"/>
      <c r="Q114" s="362"/>
      <c r="R114" s="362"/>
      <c r="S114" s="362"/>
      <c r="T114" s="362"/>
      <c r="U114" s="362"/>
      <c r="V114" s="362"/>
      <c r="W114" s="362"/>
      <c r="X114" s="362"/>
      <c r="Y114" s="362"/>
      <c r="Z114" s="362"/>
      <c r="AA114" s="362"/>
      <c r="AB114" s="362"/>
      <c r="AC114" s="362"/>
      <c r="AD114" s="362"/>
      <c r="AE114" s="362"/>
      <c r="AF114" s="362"/>
      <c r="AG114" s="362"/>
      <c r="AH114" s="362"/>
      <c r="AI114" s="362"/>
      <c r="AJ114" s="362"/>
      <c r="AK114" s="362"/>
      <c r="AL114" s="362"/>
      <c r="AM114" s="362"/>
      <c r="AN114" s="362"/>
      <c r="AO114" s="362"/>
      <c r="AP114" s="362"/>
      <c r="AQ114" s="362"/>
      <c r="AR114" s="362"/>
      <c r="AS114" s="362"/>
      <c r="AT114" s="362"/>
      <c r="AU114" s="362"/>
      <c r="AV114" s="362"/>
      <c r="AW114" s="362"/>
      <c r="AX114" s="362"/>
      <c r="AY114" s="362"/>
      <c r="AZ114" s="362"/>
      <c r="BA114" s="362"/>
      <c r="BB114" s="362"/>
      <c r="BC114" s="362"/>
      <c r="BD114" s="362"/>
      <c r="BE114" s="362"/>
      <c r="BF114" s="362"/>
      <c r="BG114" s="362"/>
      <c r="BH114" s="362"/>
      <c r="BI114" s="362"/>
      <c r="BJ114" s="362"/>
      <c r="BK114" s="362"/>
      <c r="BL114" s="362"/>
      <c r="BM114" s="362"/>
      <c r="BN114" s="362"/>
      <c r="BO114" s="362"/>
      <c r="BP114" s="362"/>
      <c r="BQ114" s="362"/>
      <c r="BR114" s="362"/>
      <c r="BS114" s="362"/>
      <c r="BT114" s="362"/>
    </row>
    <row r="115" spans="1:72" s="363" customFormat="1" ht="15.75" customHeight="1" x14ac:dyDescent="0.2">
      <c r="A115" s="164"/>
      <c r="B115" s="165"/>
      <c r="C115" s="183"/>
      <c r="D115" s="166"/>
      <c r="E115" s="166" t="s">
        <v>179</v>
      </c>
      <c r="F115" s="176" t="s">
        <v>153</v>
      </c>
      <c r="G115" s="177">
        <f>13343.1+22918.28+12450.95-19756.38+12141.03+9388.68+2050-22875</f>
        <v>29660.660000000003</v>
      </c>
      <c r="H115" s="362"/>
      <c r="I115" s="362"/>
      <c r="J115" s="362"/>
      <c r="K115" s="362"/>
      <c r="L115" s="362"/>
      <c r="M115" s="362"/>
      <c r="N115" s="362"/>
      <c r="O115" s="362"/>
      <c r="P115" s="362"/>
      <c r="Q115" s="362"/>
      <c r="R115" s="362"/>
      <c r="S115" s="362"/>
      <c r="T115" s="362"/>
      <c r="U115" s="362"/>
      <c r="V115" s="362"/>
      <c r="W115" s="362"/>
      <c r="X115" s="362"/>
      <c r="Y115" s="362"/>
      <c r="Z115" s="362"/>
      <c r="AA115" s="362"/>
      <c r="AB115" s="362"/>
      <c r="AC115" s="362"/>
      <c r="AD115" s="362"/>
      <c r="AE115" s="362"/>
      <c r="AF115" s="362"/>
      <c r="AG115" s="362"/>
      <c r="AH115" s="362"/>
      <c r="AI115" s="362"/>
      <c r="AJ115" s="362"/>
      <c r="AK115" s="362"/>
      <c r="AL115" s="362"/>
      <c r="AM115" s="362"/>
      <c r="AN115" s="362"/>
      <c r="AO115" s="362"/>
      <c r="AP115" s="362"/>
      <c r="AQ115" s="362"/>
      <c r="AR115" s="362"/>
      <c r="AS115" s="362"/>
      <c r="AT115" s="362"/>
      <c r="AU115" s="362"/>
      <c r="AV115" s="362"/>
      <c r="AW115" s="362"/>
      <c r="AX115" s="362"/>
      <c r="AY115" s="362"/>
      <c r="AZ115" s="362"/>
      <c r="BA115" s="362"/>
      <c r="BB115" s="362"/>
      <c r="BC115" s="362"/>
      <c r="BD115" s="362"/>
      <c r="BE115" s="362"/>
      <c r="BF115" s="362"/>
      <c r="BG115" s="362"/>
      <c r="BH115" s="362"/>
      <c r="BI115" s="362"/>
      <c r="BJ115" s="362"/>
      <c r="BK115" s="362"/>
      <c r="BL115" s="362"/>
      <c r="BM115" s="362"/>
      <c r="BN115" s="362"/>
      <c r="BO115" s="362"/>
      <c r="BP115" s="362"/>
      <c r="BQ115" s="362"/>
      <c r="BR115" s="362"/>
      <c r="BS115" s="362"/>
      <c r="BT115" s="362"/>
    </row>
    <row r="116" spans="1:72" s="363" customFormat="1" ht="15.75" customHeight="1" x14ac:dyDescent="0.2">
      <c r="A116" s="164"/>
      <c r="B116" s="165"/>
      <c r="C116" s="183"/>
      <c r="D116" s="166"/>
      <c r="E116" s="166" t="s">
        <v>166</v>
      </c>
      <c r="F116" s="176" t="s">
        <v>153</v>
      </c>
      <c r="G116" s="177">
        <f>4235+5331.27+3043.01-3894.55+2967.05+2266.79-6190</f>
        <v>7758.57</v>
      </c>
      <c r="H116" s="362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362"/>
      <c r="W116" s="362"/>
      <c r="X116" s="362"/>
      <c r="Y116" s="362"/>
      <c r="Z116" s="362"/>
      <c r="AA116" s="362"/>
      <c r="AB116" s="362"/>
      <c r="AC116" s="362"/>
      <c r="AD116" s="362"/>
      <c r="AE116" s="362"/>
      <c r="AF116" s="362"/>
      <c r="AG116" s="362"/>
      <c r="AH116" s="362"/>
      <c r="AI116" s="362"/>
      <c r="AJ116" s="362"/>
      <c r="AK116" s="362"/>
      <c r="AL116" s="362"/>
      <c r="AM116" s="362"/>
      <c r="AN116" s="362"/>
      <c r="AO116" s="362"/>
      <c r="AP116" s="362"/>
      <c r="AQ116" s="362"/>
      <c r="AR116" s="362"/>
      <c r="AS116" s="362"/>
      <c r="AT116" s="362"/>
      <c r="AU116" s="362"/>
      <c r="AV116" s="362"/>
      <c r="AW116" s="362"/>
      <c r="AX116" s="362"/>
      <c r="AY116" s="362"/>
      <c r="AZ116" s="362"/>
      <c r="BA116" s="362"/>
      <c r="BB116" s="362"/>
      <c r="BC116" s="362"/>
      <c r="BD116" s="362"/>
      <c r="BE116" s="362"/>
      <c r="BF116" s="362"/>
      <c r="BG116" s="362"/>
      <c r="BH116" s="362"/>
      <c r="BI116" s="362"/>
      <c r="BJ116" s="362"/>
      <c r="BK116" s="362"/>
      <c r="BL116" s="362"/>
      <c r="BM116" s="362"/>
      <c r="BN116" s="362"/>
      <c r="BO116" s="362"/>
      <c r="BP116" s="362"/>
      <c r="BQ116" s="362"/>
      <c r="BR116" s="362"/>
      <c r="BS116" s="362"/>
      <c r="BT116" s="362"/>
    </row>
    <row r="117" spans="1:72" s="363" customFormat="1" ht="15.75" customHeight="1" x14ac:dyDescent="0.2">
      <c r="A117" s="164"/>
      <c r="B117" s="165"/>
      <c r="C117" s="183"/>
      <c r="D117" s="166"/>
      <c r="E117" s="166" t="s">
        <v>180</v>
      </c>
      <c r="F117" s="176" t="s">
        <v>153</v>
      </c>
      <c r="G117" s="177">
        <f>3024.9+500+1905+1600</f>
        <v>7029.9</v>
      </c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2"/>
      <c r="V117" s="362"/>
      <c r="W117" s="362"/>
      <c r="X117" s="362"/>
      <c r="Y117" s="362"/>
      <c r="Z117" s="362"/>
      <c r="AA117" s="362"/>
      <c r="AB117" s="362"/>
      <c r="AC117" s="362"/>
      <c r="AD117" s="362"/>
      <c r="AE117" s="362"/>
      <c r="AF117" s="362"/>
      <c r="AG117" s="362"/>
      <c r="AH117" s="362"/>
      <c r="AI117" s="362"/>
      <c r="AJ117" s="362"/>
      <c r="AK117" s="362"/>
      <c r="AL117" s="362"/>
      <c r="AM117" s="362"/>
      <c r="AN117" s="362"/>
      <c r="AO117" s="362"/>
      <c r="AP117" s="362"/>
      <c r="AQ117" s="362"/>
      <c r="AR117" s="362"/>
      <c r="AS117" s="362"/>
      <c r="AT117" s="362"/>
      <c r="AU117" s="362"/>
      <c r="AV117" s="362"/>
      <c r="AW117" s="362"/>
      <c r="AX117" s="362"/>
      <c r="AY117" s="362"/>
      <c r="AZ117" s="362"/>
      <c r="BA117" s="362"/>
      <c r="BB117" s="362"/>
      <c r="BC117" s="362"/>
      <c r="BD117" s="362"/>
      <c r="BE117" s="362"/>
      <c r="BF117" s="362"/>
      <c r="BG117" s="362"/>
      <c r="BH117" s="362"/>
      <c r="BI117" s="362"/>
      <c r="BJ117" s="362"/>
      <c r="BK117" s="362"/>
      <c r="BL117" s="362"/>
      <c r="BM117" s="362"/>
      <c r="BN117" s="362"/>
      <c r="BO117" s="362"/>
      <c r="BP117" s="362"/>
      <c r="BQ117" s="362"/>
      <c r="BR117" s="362"/>
      <c r="BS117" s="362"/>
      <c r="BT117" s="362"/>
    </row>
    <row r="118" spans="1:72" s="363" customFormat="1" ht="7.5" customHeight="1" x14ac:dyDescent="0.2">
      <c r="A118" s="164"/>
      <c r="B118" s="165"/>
      <c r="C118" s="183"/>
      <c r="D118" s="166"/>
      <c r="E118" s="166"/>
      <c r="F118" s="176"/>
      <c r="G118" s="177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362"/>
      <c r="W118" s="362"/>
      <c r="X118" s="362"/>
      <c r="Y118" s="362"/>
      <c r="Z118" s="362"/>
      <c r="AA118" s="362"/>
      <c r="AB118" s="362"/>
      <c r="AC118" s="362"/>
      <c r="AD118" s="362"/>
      <c r="AE118" s="362"/>
      <c r="AF118" s="362"/>
      <c r="AG118" s="362"/>
      <c r="AH118" s="362"/>
      <c r="AI118" s="362"/>
      <c r="AJ118" s="362"/>
      <c r="AK118" s="362"/>
      <c r="AL118" s="362"/>
      <c r="AM118" s="362"/>
      <c r="AN118" s="362"/>
      <c r="AO118" s="362"/>
      <c r="AP118" s="362"/>
      <c r="AQ118" s="362"/>
      <c r="AR118" s="362"/>
      <c r="AS118" s="362"/>
      <c r="AT118" s="362"/>
      <c r="AU118" s="362"/>
      <c r="AV118" s="362"/>
      <c r="AW118" s="362"/>
      <c r="AX118" s="362"/>
      <c r="AY118" s="362"/>
      <c r="AZ118" s="362"/>
      <c r="BA118" s="362"/>
      <c r="BB118" s="362"/>
      <c r="BC118" s="362"/>
      <c r="BD118" s="362"/>
      <c r="BE118" s="362"/>
      <c r="BF118" s="362"/>
      <c r="BG118" s="362"/>
      <c r="BH118" s="362"/>
      <c r="BI118" s="362"/>
      <c r="BJ118" s="362"/>
      <c r="BK118" s="362"/>
      <c r="BL118" s="362"/>
      <c r="BM118" s="362"/>
      <c r="BN118" s="362"/>
      <c r="BO118" s="362"/>
      <c r="BP118" s="362"/>
      <c r="BQ118" s="362"/>
      <c r="BR118" s="362"/>
      <c r="BS118" s="362"/>
      <c r="BT118" s="362"/>
    </row>
    <row r="119" spans="1:72" s="363" customFormat="1" ht="15.75" customHeight="1" x14ac:dyDescent="0.2">
      <c r="A119" s="164"/>
      <c r="B119" s="365" t="s">
        <v>183</v>
      </c>
      <c r="C119" s="166" t="s">
        <v>176</v>
      </c>
      <c r="D119" s="166" t="s">
        <v>188</v>
      </c>
      <c r="E119" s="172" t="s">
        <v>153</v>
      </c>
      <c r="F119" s="173" t="s">
        <v>153</v>
      </c>
      <c r="G119" s="174">
        <f>SUM(G121)</f>
        <v>9144.2800000000007</v>
      </c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362"/>
      <c r="W119" s="362"/>
      <c r="X119" s="362"/>
      <c r="Y119" s="362"/>
      <c r="Z119" s="362"/>
      <c r="AA119" s="362"/>
      <c r="AB119" s="362"/>
      <c r="AC119" s="362"/>
      <c r="AD119" s="362"/>
      <c r="AE119" s="362"/>
      <c r="AF119" s="362"/>
      <c r="AG119" s="362"/>
      <c r="AH119" s="362"/>
      <c r="AI119" s="362"/>
      <c r="AJ119" s="362"/>
      <c r="AK119" s="362"/>
      <c r="AL119" s="362"/>
      <c r="AM119" s="362"/>
      <c r="AN119" s="362"/>
      <c r="AO119" s="362"/>
      <c r="AP119" s="362"/>
      <c r="AQ119" s="362"/>
      <c r="AR119" s="362"/>
      <c r="AS119" s="362"/>
      <c r="AT119" s="362"/>
      <c r="AU119" s="362"/>
      <c r="AV119" s="362"/>
      <c r="AW119" s="362"/>
      <c r="AX119" s="362"/>
      <c r="AY119" s="362"/>
      <c r="AZ119" s="362"/>
      <c r="BA119" s="362"/>
      <c r="BB119" s="362"/>
      <c r="BC119" s="362"/>
      <c r="BD119" s="362"/>
      <c r="BE119" s="362"/>
      <c r="BF119" s="362"/>
      <c r="BG119" s="362"/>
      <c r="BH119" s="362"/>
      <c r="BI119" s="362"/>
      <c r="BJ119" s="362"/>
      <c r="BK119" s="362"/>
      <c r="BL119" s="362"/>
      <c r="BM119" s="362"/>
      <c r="BN119" s="362"/>
      <c r="BO119" s="362"/>
      <c r="BP119" s="362"/>
      <c r="BQ119" s="362"/>
      <c r="BR119" s="362"/>
      <c r="BS119" s="362"/>
      <c r="BT119" s="362"/>
    </row>
    <row r="120" spans="1:72" s="363" customFormat="1" ht="7.5" customHeight="1" x14ac:dyDescent="0.2">
      <c r="A120" s="164"/>
      <c r="B120" s="165"/>
      <c r="C120" s="183"/>
      <c r="D120" s="166"/>
      <c r="E120" s="166"/>
      <c r="F120" s="176"/>
      <c r="G120" s="177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362"/>
      <c r="W120" s="362"/>
      <c r="X120" s="362"/>
      <c r="Y120" s="362"/>
      <c r="Z120" s="362"/>
      <c r="AA120" s="362"/>
      <c r="AB120" s="362"/>
      <c r="AC120" s="362"/>
      <c r="AD120" s="362"/>
      <c r="AE120" s="362"/>
      <c r="AF120" s="362"/>
      <c r="AG120" s="362"/>
      <c r="AH120" s="362"/>
      <c r="AI120" s="362"/>
      <c r="AJ120" s="362"/>
      <c r="AK120" s="362"/>
      <c r="AL120" s="362"/>
      <c r="AM120" s="362"/>
      <c r="AN120" s="362"/>
      <c r="AO120" s="362"/>
      <c r="AP120" s="362"/>
      <c r="AQ120" s="362"/>
      <c r="AR120" s="362"/>
      <c r="AS120" s="362"/>
      <c r="AT120" s="362"/>
      <c r="AU120" s="362"/>
      <c r="AV120" s="362"/>
      <c r="AW120" s="362"/>
      <c r="AX120" s="362"/>
      <c r="AY120" s="362"/>
      <c r="AZ120" s="362"/>
      <c r="BA120" s="362"/>
      <c r="BB120" s="362"/>
      <c r="BC120" s="362"/>
      <c r="BD120" s="362"/>
      <c r="BE120" s="362"/>
      <c r="BF120" s="362"/>
      <c r="BG120" s="362"/>
      <c r="BH120" s="362"/>
      <c r="BI120" s="362"/>
      <c r="BJ120" s="362"/>
      <c r="BK120" s="362"/>
      <c r="BL120" s="362"/>
      <c r="BM120" s="362"/>
      <c r="BN120" s="362"/>
      <c r="BO120" s="362"/>
      <c r="BP120" s="362"/>
      <c r="BQ120" s="362"/>
      <c r="BR120" s="362"/>
      <c r="BS120" s="362"/>
      <c r="BT120" s="362"/>
    </row>
    <row r="121" spans="1:72" s="363" customFormat="1" ht="15.75" customHeight="1" x14ac:dyDescent="0.2">
      <c r="A121" s="164"/>
      <c r="B121" s="165"/>
      <c r="C121" s="183"/>
      <c r="D121" s="166"/>
      <c r="E121" s="166"/>
      <c r="F121" s="176"/>
      <c r="G121" s="364">
        <f>SUM(G122)</f>
        <v>9144.2800000000007</v>
      </c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362"/>
      <c r="W121" s="362"/>
      <c r="X121" s="362"/>
      <c r="Y121" s="362"/>
      <c r="Z121" s="362"/>
      <c r="AA121" s="362"/>
      <c r="AB121" s="362"/>
      <c r="AC121" s="362"/>
      <c r="AD121" s="362"/>
      <c r="AE121" s="362"/>
      <c r="AF121" s="362"/>
      <c r="AG121" s="362"/>
      <c r="AH121" s="362"/>
      <c r="AI121" s="362"/>
      <c r="AJ121" s="362"/>
      <c r="AK121" s="362"/>
      <c r="AL121" s="362"/>
      <c r="AM121" s="362"/>
      <c r="AN121" s="362"/>
      <c r="AO121" s="362"/>
      <c r="AP121" s="362"/>
      <c r="AQ121" s="362"/>
      <c r="AR121" s="362"/>
      <c r="AS121" s="362"/>
      <c r="AT121" s="362"/>
      <c r="AU121" s="362"/>
      <c r="AV121" s="362"/>
      <c r="AW121" s="362"/>
      <c r="AX121" s="362"/>
      <c r="AY121" s="362"/>
      <c r="AZ121" s="362"/>
      <c r="BA121" s="362"/>
      <c r="BB121" s="362"/>
      <c r="BC121" s="362"/>
      <c r="BD121" s="362"/>
      <c r="BE121" s="362"/>
      <c r="BF121" s="362"/>
      <c r="BG121" s="362"/>
      <c r="BH121" s="362"/>
      <c r="BI121" s="362"/>
      <c r="BJ121" s="362"/>
      <c r="BK121" s="362"/>
      <c r="BL121" s="362"/>
      <c r="BM121" s="362"/>
      <c r="BN121" s="362"/>
      <c r="BO121" s="362"/>
      <c r="BP121" s="362"/>
      <c r="BQ121" s="362"/>
      <c r="BR121" s="362"/>
      <c r="BS121" s="362"/>
      <c r="BT121" s="362"/>
    </row>
    <row r="122" spans="1:72" s="363" customFormat="1" ht="15.75" customHeight="1" x14ac:dyDescent="0.2">
      <c r="A122" s="164"/>
      <c r="B122" s="165"/>
      <c r="C122" s="183"/>
      <c r="D122" s="166"/>
      <c r="E122" s="166" t="s">
        <v>184</v>
      </c>
      <c r="F122" s="176" t="s">
        <v>153</v>
      </c>
      <c r="G122" s="177">
        <f>4478.39+4665.89</f>
        <v>9144.2800000000007</v>
      </c>
      <c r="H122" s="362"/>
      <c r="I122" s="362"/>
      <c r="J122" s="362"/>
      <c r="K122" s="362"/>
      <c r="L122" s="362"/>
      <c r="M122" s="362"/>
      <c r="N122" s="362"/>
      <c r="O122" s="362"/>
      <c r="P122" s="362"/>
      <c r="Q122" s="362"/>
      <c r="R122" s="362"/>
      <c r="S122" s="362"/>
      <c r="T122" s="362"/>
      <c r="U122" s="362"/>
      <c r="V122" s="362"/>
      <c r="W122" s="362"/>
      <c r="X122" s="362"/>
      <c r="Y122" s="362"/>
      <c r="Z122" s="362"/>
      <c r="AA122" s="362"/>
      <c r="AB122" s="362"/>
      <c r="AC122" s="362"/>
      <c r="AD122" s="362"/>
      <c r="AE122" s="362"/>
      <c r="AF122" s="362"/>
      <c r="AG122" s="362"/>
      <c r="AH122" s="362"/>
      <c r="AI122" s="362"/>
      <c r="AJ122" s="362"/>
      <c r="AK122" s="362"/>
      <c r="AL122" s="362"/>
      <c r="AM122" s="362"/>
      <c r="AN122" s="362"/>
      <c r="AO122" s="362"/>
      <c r="AP122" s="362"/>
      <c r="AQ122" s="362"/>
      <c r="AR122" s="362"/>
      <c r="AS122" s="362"/>
      <c r="AT122" s="362"/>
      <c r="AU122" s="362"/>
      <c r="AV122" s="362"/>
      <c r="AW122" s="362"/>
      <c r="AX122" s="362"/>
      <c r="AY122" s="362"/>
      <c r="AZ122" s="362"/>
      <c r="BA122" s="362"/>
      <c r="BB122" s="362"/>
      <c r="BC122" s="362"/>
      <c r="BD122" s="362"/>
      <c r="BE122" s="362"/>
      <c r="BF122" s="362"/>
      <c r="BG122" s="362"/>
      <c r="BH122" s="362"/>
      <c r="BI122" s="362"/>
      <c r="BJ122" s="362"/>
      <c r="BK122" s="362"/>
      <c r="BL122" s="362"/>
      <c r="BM122" s="362"/>
      <c r="BN122" s="362"/>
      <c r="BO122" s="362"/>
      <c r="BP122" s="362"/>
      <c r="BQ122" s="362"/>
      <c r="BR122" s="362"/>
      <c r="BS122" s="362"/>
      <c r="BT122" s="362"/>
    </row>
    <row r="123" spans="1:72" s="363" customFormat="1" ht="8.25" customHeight="1" x14ac:dyDescent="0.2">
      <c r="A123" s="178"/>
      <c r="B123" s="179"/>
      <c r="C123" s="180"/>
      <c r="D123" s="167"/>
      <c r="E123" s="167"/>
      <c r="F123" s="169"/>
      <c r="G123" s="181"/>
      <c r="H123" s="362"/>
      <c r="I123" s="362"/>
      <c r="J123" s="362"/>
      <c r="K123" s="362"/>
      <c r="L123" s="362"/>
      <c r="M123" s="362"/>
      <c r="N123" s="362"/>
      <c r="O123" s="362"/>
      <c r="P123" s="362"/>
      <c r="Q123" s="362"/>
      <c r="R123" s="362"/>
      <c r="S123" s="362"/>
      <c r="T123" s="362"/>
      <c r="U123" s="362"/>
      <c r="V123" s="362"/>
      <c r="W123" s="362"/>
      <c r="X123" s="362"/>
      <c r="Y123" s="362"/>
      <c r="Z123" s="362"/>
      <c r="AA123" s="362"/>
      <c r="AB123" s="362"/>
      <c r="AC123" s="362"/>
      <c r="AD123" s="362"/>
      <c r="AE123" s="362"/>
      <c r="AF123" s="362"/>
      <c r="AG123" s="362"/>
      <c r="AH123" s="362"/>
      <c r="AI123" s="362"/>
      <c r="AJ123" s="362"/>
      <c r="AK123" s="362"/>
      <c r="AL123" s="362"/>
      <c r="AM123" s="362"/>
      <c r="AN123" s="362"/>
      <c r="AO123" s="362"/>
      <c r="AP123" s="362"/>
      <c r="AQ123" s="362"/>
      <c r="AR123" s="362"/>
      <c r="AS123" s="362"/>
      <c r="AT123" s="362"/>
      <c r="AU123" s="362"/>
      <c r="AV123" s="362"/>
      <c r="AW123" s="362"/>
      <c r="AX123" s="362"/>
      <c r="AY123" s="362"/>
      <c r="AZ123" s="362"/>
      <c r="BA123" s="362"/>
      <c r="BB123" s="362"/>
      <c r="BC123" s="362"/>
      <c r="BD123" s="362"/>
      <c r="BE123" s="362"/>
      <c r="BF123" s="362"/>
      <c r="BG123" s="362"/>
      <c r="BH123" s="362"/>
      <c r="BI123" s="362"/>
      <c r="BJ123" s="362"/>
      <c r="BK123" s="362"/>
      <c r="BL123" s="362"/>
      <c r="BM123" s="362"/>
      <c r="BN123" s="362"/>
      <c r="BO123" s="362"/>
      <c r="BP123" s="362"/>
      <c r="BQ123" s="362"/>
      <c r="BR123" s="362"/>
      <c r="BS123" s="362"/>
      <c r="BT123" s="362"/>
    </row>
    <row r="124" spans="1:72" s="363" customFormat="1" ht="19.5" customHeight="1" x14ac:dyDescent="0.2">
      <c r="A124" s="164"/>
      <c r="B124" s="365" t="s">
        <v>175</v>
      </c>
      <c r="C124" s="166" t="s">
        <v>176</v>
      </c>
      <c r="D124" s="166" t="s">
        <v>189</v>
      </c>
      <c r="E124" s="167" t="s">
        <v>153</v>
      </c>
      <c r="F124" s="169" t="s">
        <v>153</v>
      </c>
      <c r="G124" s="168">
        <f>SUM(G126)</f>
        <v>20901.849999999999</v>
      </c>
      <c r="H124" s="362"/>
      <c r="I124" s="362"/>
      <c r="J124" s="362"/>
      <c r="K124" s="362"/>
      <c r="L124" s="362"/>
      <c r="M124" s="362"/>
      <c r="N124" s="362"/>
      <c r="O124" s="362"/>
      <c r="P124" s="362"/>
      <c r="Q124" s="362"/>
      <c r="R124" s="362"/>
      <c r="S124" s="362"/>
      <c r="T124" s="362"/>
      <c r="U124" s="362"/>
      <c r="V124" s="362"/>
      <c r="W124" s="362"/>
      <c r="X124" s="362"/>
      <c r="Y124" s="362"/>
      <c r="Z124" s="362"/>
      <c r="AA124" s="362"/>
      <c r="AB124" s="362"/>
      <c r="AC124" s="362"/>
      <c r="AD124" s="362"/>
      <c r="AE124" s="362"/>
      <c r="AF124" s="362"/>
      <c r="AG124" s="362"/>
      <c r="AH124" s="362"/>
      <c r="AI124" s="362"/>
      <c r="AJ124" s="362"/>
      <c r="AK124" s="362"/>
      <c r="AL124" s="362"/>
      <c r="AM124" s="362"/>
      <c r="AN124" s="362"/>
      <c r="AO124" s="362"/>
      <c r="AP124" s="362"/>
      <c r="AQ124" s="362"/>
      <c r="AR124" s="362"/>
      <c r="AS124" s="362"/>
      <c r="AT124" s="362"/>
      <c r="AU124" s="362"/>
      <c r="AV124" s="362"/>
      <c r="AW124" s="362"/>
      <c r="AX124" s="362"/>
      <c r="AY124" s="362"/>
      <c r="AZ124" s="362"/>
      <c r="BA124" s="362"/>
      <c r="BB124" s="362"/>
      <c r="BC124" s="362"/>
      <c r="BD124" s="362"/>
      <c r="BE124" s="362"/>
      <c r="BF124" s="362"/>
      <c r="BG124" s="362"/>
      <c r="BH124" s="362"/>
      <c r="BI124" s="362"/>
      <c r="BJ124" s="362"/>
      <c r="BK124" s="362"/>
      <c r="BL124" s="362"/>
      <c r="BM124" s="362"/>
      <c r="BN124" s="362"/>
      <c r="BO124" s="362"/>
      <c r="BP124" s="362"/>
      <c r="BQ124" s="362"/>
      <c r="BR124" s="362"/>
      <c r="BS124" s="362"/>
      <c r="BT124" s="362"/>
    </row>
    <row r="125" spans="1:72" s="363" customFormat="1" ht="6.75" customHeight="1" x14ac:dyDescent="0.2">
      <c r="A125" s="164"/>
      <c r="B125" s="165"/>
      <c r="C125" s="183"/>
      <c r="D125" s="166"/>
      <c r="E125" s="166"/>
      <c r="F125" s="176"/>
      <c r="G125" s="177"/>
      <c r="H125" s="362"/>
      <c r="I125" s="362"/>
      <c r="J125" s="362"/>
      <c r="K125" s="362"/>
      <c r="L125" s="362"/>
      <c r="M125" s="362"/>
      <c r="N125" s="362"/>
      <c r="O125" s="362"/>
      <c r="P125" s="362"/>
      <c r="Q125" s="362"/>
      <c r="R125" s="362"/>
      <c r="S125" s="362"/>
      <c r="T125" s="362"/>
      <c r="U125" s="362"/>
      <c r="V125" s="362"/>
      <c r="W125" s="362"/>
      <c r="X125" s="362"/>
      <c r="Y125" s="362"/>
      <c r="Z125" s="362"/>
      <c r="AA125" s="362"/>
      <c r="AB125" s="362"/>
      <c r="AC125" s="362"/>
      <c r="AD125" s="362"/>
      <c r="AE125" s="362"/>
      <c r="AF125" s="362"/>
      <c r="AG125" s="362"/>
      <c r="AH125" s="362"/>
      <c r="AI125" s="362"/>
      <c r="AJ125" s="362"/>
      <c r="AK125" s="362"/>
      <c r="AL125" s="362"/>
      <c r="AM125" s="362"/>
      <c r="AN125" s="362"/>
      <c r="AO125" s="362"/>
      <c r="AP125" s="362"/>
      <c r="AQ125" s="362"/>
      <c r="AR125" s="362"/>
      <c r="AS125" s="362"/>
      <c r="AT125" s="362"/>
      <c r="AU125" s="362"/>
      <c r="AV125" s="362"/>
      <c r="AW125" s="362"/>
      <c r="AX125" s="362"/>
      <c r="AY125" s="362"/>
      <c r="AZ125" s="362"/>
      <c r="BA125" s="362"/>
      <c r="BB125" s="362"/>
      <c r="BC125" s="362"/>
      <c r="BD125" s="362"/>
      <c r="BE125" s="362"/>
      <c r="BF125" s="362"/>
      <c r="BG125" s="362"/>
      <c r="BH125" s="362"/>
      <c r="BI125" s="362"/>
      <c r="BJ125" s="362"/>
      <c r="BK125" s="362"/>
      <c r="BL125" s="362"/>
      <c r="BM125" s="362"/>
      <c r="BN125" s="362"/>
      <c r="BO125" s="362"/>
      <c r="BP125" s="362"/>
      <c r="BQ125" s="362"/>
      <c r="BR125" s="362"/>
      <c r="BS125" s="362"/>
      <c r="BT125" s="362"/>
    </row>
    <row r="126" spans="1:72" s="363" customFormat="1" ht="15.75" customHeight="1" x14ac:dyDescent="0.2">
      <c r="A126" s="164"/>
      <c r="B126" s="165"/>
      <c r="C126" s="183"/>
      <c r="D126" s="166"/>
      <c r="E126" s="166"/>
      <c r="F126" s="176"/>
      <c r="G126" s="364">
        <f>SUM(G127:G131)</f>
        <v>20901.849999999999</v>
      </c>
      <c r="H126" s="362"/>
      <c r="I126" s="362"/>
      <c r="J126" s="362"/>
      <c r="K126" s="362"/>
      <c r="L126" s="362"/>
      <c r="M126" s="362"/>
      <c r="N126" s="362"/>
      <c r="O126" s="362"/>
      <c r="P126" s="362"/>
      <c r="Q126" s="362"/>
      <c r="R126" s="362"/>
      <c r="S126" s="362"/>
      <c r="T126" s="362"/>
      <c r="U126" s="362"/>
      <c r="V126" s="362"/>
      <c r="W126" s="362"/>
      <c r="X126" s="362"/>
      <c r="Y126" s="362"/>
      <c r="Z126" s="362"/>
      <c r="AA126" s="362"/>
      <c r="AB126" s="362"/>
      <c r="AC126" s="362"/>
      <c r="AD126" s="362"/>
      <c r="AE126" s="362"/>
      <c r="AF126" s="362"/>
      <c r="AG126" s="362"/>
      <c r="AH126" s="362"/>
      <c r="AI126" s="362"/>
      <c r="AJ126" s="362"/>
      <c r="AK126" s="362"/>
      <c r="AL126" s="362"/>
      <c r="AM126" s="362"/>
      <c r="AN126" s="362"/>
      <c r="AO126" s="362"/>
      <c r="AP126" s="362"/>
      <c r="AQ126" s="362"/>
      <c r="AR126" s="362"/>
      <c r="AS126" s="362"/>
      <c r="AT126" s="362"/>
      <c r="AU126" s="362"/>
      <c r="AV126" s="362"/>
      <c r="AW126" s="362"/>
      <c r="AX126" s="362"/>
      <c r="AY126" s="362"/>
      <c r="AZ126" s="362"/>
      <c r="BA126" s="362"/>
      <c r="BB126" s="362"/>
      <c r="BC126" s="362"/>
      <c r="BD126" s="362"/>
      <c r="BE126" s="362"/>
      <c r="BF126" s="362"/>
      <c r="BG126" s="362"/>
      <c r="BH126" s="362"/>
      <c r="BI126" s="362"/>
      <c r="BJ126" s="362"/>
      <c r="BK126" s="362"/>
      <c r="BL126" s="362"/>
      <c r="BM126" s="362"/>
      <c r="BN126" s="362"/>
      <c r="BO126" s="362"/>
      <c r="BP126" s="362"/>
      <c r="BQ126" s="362"/>
      <c r="BR126" s="362"/>
      <c r="BS126" s="362"/>
      <c r="BT126" s="362"/>
    </row>
    <row r="127" spans="1:72" s="363" customFormat="1" ht="15.75" customHeight="1" x14ac:dyDescent="0.2">
      <c r="A127" s="164"/>
      <c r="B127" s="165"/>
      <c r="C127" s="183"/>
      <c r="D127" s="166"/>
      <c r="E127" s="166" t="s">
        <v>178</v>
      </c>
      <c r="F127" s="176" t="s">
        <v>153</v>
      </c>
      <c r="G127" s="177">
        <f>3600+4967</f>
        <v>8567</v>
      </c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362"/>
      <c r="S127" s="362"/>
      <c r="T127" s="362"/>
      <c r="U127" s="362"/>
      <c r="V127" s="362"/>
      <c r="W127" s="362"/>
      <c r="X127" s="362"/>
      <c r="Y127" s="362"/>
      <c r="Z127" s="362"/>
      <c r="AA127" s="362"/>
      <c r="AB127" s="362"/>
      <c r="AC127" s="362"/>
      <c r="AD127" s="362"/>
      <c r="AE127" s="362"/>
      <c r="AF127" s="362"/>
      <c r="AG127" s="362"/>
      <c r="AH127" s="362"/>
      <c r="AI127" s="362"/>
      <c r="AJ127" s="362"/>
      <c r="AK127" s="362"/>
      <c r="AL127" s="362"/>
      <c r="AM127" s="362"/>
      <c r="AN127" s="362"/>
      <c r="AO127" s="362"/>
      <c r="AP127" s="362"/>
      <c r="AQ127" s="362"/>
      <c r="AR127" s="362"/>
      <c r="AS127" s="362"/>
      <c r="AT127" s="362"/>
      <c r="AU127" s="362"/>
      <c r="AV127" s="362"/>
      <c r="AW127" s="362"/>
      <c r="AX127" s="362"/>
      <c r="AY127" s="362"/>
      <c r="AZ127" s="362"/>
      <c r="BA127" s="362"/>
      <c r="BB127" s="362"/>
      <c r="BC127" s="362"/>
      <c r="BD127" s="362"/>
      <c r="BE127" s="362"/>
      <c r="BF127" s="362"/>
      <c r="BG127" s="362"/>
      <c r="BH127" s="362"/>
      <c r="BI127" s="362"/>
      <c r="BJ127" s="362"/>
      <c r="BK127" s="362"/>
      <c r="BL127" s="362"/>
      <c r="BM127" s="362"/>
      <c r="BN127" s="362"/>
      <c r="BO127" s="362"/>
      <c r="BP127" s="362"/>
      <c r="BQ127" s="362"/>
      <c r="BR127" s="362"/>
      <c r="BS127" s="362"/>
      <c r="BT127" s="362"/>
    </row>
    <row r="128" spans="1:72" s="363" customFormat="1" ht="15.75" customHeight="1" x14ac:dyDescent="0.2">
      <c r="A128" s="164"/>
      <c r="B128" s="165"/>
      <c r="C128" s="183"/>
      <c r="D128" s="166"/>
      <c r="E128" s="166" t="s">
        <v>160</v>
      </c>
      <c r="F128" s="176" t="s">
        <v>153</v>
      </c>
      <c r="G128" s="177">
        <f>35.28+6.28+40</f>
        <v>81.56</v>
      </c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  <c r="S128" s="362"/>
      <c r="T128" s="362"/>
      <c r="U128" s="362"/>
      <c r="V128" s="362"/>
      <c r="W128" s="362"/>
      <c r="X128" s="362"/>
      <c r="Y128" s="362"/>
      <c r="Z128" s="362"/>
      <c r="AA128" s="362"/>
      <c r="AB128" s="362"/>
      <c r="AC128" s="362"/>
      <c r="AD128" s="362"/>
      <c r="AE128" s="362"/>
      <c r="AF128" s="362"/>
      <c r="AG128" s="362"/>
      <c r="AH128" s="362"/>
      <c r="AI128" s="362"/>
      <c r="AJ128" s="362"/>
      <c r="AK128" s="362"/>
      <c r="AL128" s="362"/>
      <c r="AM128" s="362"/>
      <c r="AN128" s="362"/>
      <c r="AO128" s="362"/>
      <c r="AP128" s="362"/>
      <c r="AQ128" s="362"/>
      <c r="AR128" s="362"/>
      <c r="AS128" s="362"/>
      <c r="AT128" s="362"/>
      <c r="AU128" s="362"/>
      <c r="AV128" s="362"/>
      <c r="AW128" s="362"/>
      <c r="AX128" s="362"/>
      <c r="AY128" s="362"/>
      <c r="AZ128" s="362"/>
      <c r="BA128" s="362"/>
      <c r="BB128" s="362"/>
      <c r="BC128" s="362"/>
      <c r="BD128" s="362"/>
      <c r="BE128" s="362"/>
      <c r="BF128" s="362"/>
      <c r="BG128" s="362"/>
      <c r="BH128" s="362"/>
      <c r="BI128" s="362"/>
      <c r="BJ128" s="362"/>
      <c r="BK128" s="362"/>
      <c r="BL128" s="362"/>
      <c r="BM128" s="362"/>
      <c r="BN128" s="362"/>
      <c r="BO128" s="362"/>
      <c r="BP128" s="362"/>
      <c r="BQ128" s="362"/>
      <c r="BR128" s="362"/>
      <c r="BS128" s="362"/>
      <c r="BT128" s="362"/>
    </row>
    <row r="129" spans="1:72" s="363" customFormat="1" ht="15.75" customHeight="1" x14ac:dyDescent="0.2">
      <c r="A129" s="164"/>
      <c r="B129" s="165"/>
      <c r="C129" s="183"/>
      <c r="D129" s="166"/>
      <c r="E129" s="166" t="s">
        <v>179</v>
      </c>
      <c r="F129" s="176" t="s">
        <v>153</v>
      </c>
      <c r="G129" s="177">
        <f>4177.13+1939.42-717+1944.54+4594.26-3290</f>
        <v>8648.35</v>
      </c>
      <c r="H129" s="362"/>
      <c r="I129" s="362"/>
      <c r="J129" s="362"/>
      <c r="K129" s="362"/>
      <c r="L129" s="362"/>
      <c r="M129" s="362"/>
      <c r="N129" s="362"/>
      <c r="O129" s="362"/>
      <c r="P129" s="362"/>
      <c r="Q129" s="362"/>
      <c r="R129" s="362"/>
      <c r="S129" s="362"/>
      <c r="T129" s="362"/>
      <c r="U129" s="362"/>
      <c r="V129" s="362"/>
      <c r="W129" s="362"/>
      <c r="X129" s="362"/>
      <c r="Y129" s="362"/>
      <c r="Z129" s="362"/>
      <c r="AA129" s="362"/>
      <c r="AB129" s="362"/>
      <c r="AC129" s="362"/>
      <c r="AD129" s="362"/>
      <c r="AE129" s="362"/>
      <c r="AF129" s="362"/>
      <c r="AG129" s="362"/>
      <c r="AH129" s="362"/>
      <c r="AI129" s="362"/>
      <c r="AJ129" s="362"/>
      <c r="AK129" s="362"/>
      <c r="AL129" s="362"/>
      <c r="AM129" s="362"/>
      <c r="AN129" s="362"/>
      <c r="AO129" s="362"/>
      <c r="AP129" s="362"/>
      <c r="AQ129" s="362"/>
      <c r="AR129" s="362"/>
      <c r="AS129" s="362"/>
      <c r="AT129" s="362"/>
      <c r="AU129" s="362"/>
      <c r="AV129" s="362"/>
      <c r="AW129" s="362"/>
      <c r="AX129" s="362"/>
      <c r="AY129" s="362"/>
      <c r="AZ129" s="362"/>
      <c r="BA129" s="362"/>
      <c r="BB129" s="362"/>
      <c r="BC129" s="362"/>
      <c r="BD129" s="362"/>
      <c r="BE129" s="362"/>
      <c r="BF129" s="362"/>
      <c r="BG129" s="362"/>
      <c r="BH129" s="362"/>
      <c r="BI129" s="362"/>
      <c r="BJ129" s="362"/>
      <c r="BK129" s="362"/>
      <c r="BL129" s="362"/>
      <c r="BM129" s="362"/>
      <c r="BN129" s="362"/>
      <c r="BO129" s="362"/>
      <c r="BP129" s="362"/>
      <c r="BQ129" s="362"/>
      <c r="BR129" s="362"/>
      <c r="BS129" s="362"/>
      <c r="BT129" s="362"/>
    </row>
    <row r="130" spans="1:72" s="363" customFormat="1" ht="15.75" customHeight="1" x14ac:dyDescent="0.2">
      <c r="A130" s="164"/>
      <c r="B130" s="165"/>
      <c r="C130" s="183"/>
      <c r="D130" s="166"/>
      <c r="E130" s="166" t="s">
        <v>166</v>
      </c>
      <c r="F130" s="176" t="s">
        <v>153</v>
      </c>
      <c r="G130" s="177">
        <f>1018.21+473.99+475.24+1160-1350</f>
        <v>1777.44</v>
      </c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  <c r="T130" s="362"/>
      <c r="U130" s="362"/>
      <c r="V130" s="362"/>
      <c r="W130" s="362"/>
      <c r="X130" s="362"/>
      <c r="Y130" s="362"/>
      <c r="Z130" s="362"/>
      <c r="AA130" s="362"/>
      <c r="AB130" s="362"/>
      <c r="AC130" s="362"/>
      <c r="AD130" s="362"/>
      <c r="AE130" s="362"/>
      <c r="AF130" s="362"/>
      <c r="AG130" s="362"/>
      <c r="AH130" s="362"/>
      <c r="AI130" s="362"/>
      <c r="AJ130" s="362"/>
      <c r="AK130" s="362"/>
      <c r="AL130" s="362"/>
      <c r="AM130" s="362"/>
      <c r="AN130" s="362"/>
      <c r="AO130" s="362"/>
      <c r="AP130" s="362"/>
      <c r="AQ130" s="362"/>
      <c r="AR130" s="362"/>
      <c r="AS130" s="362"/>
      <c r="AT130" s="362"/>
      <c r="AU130" s="362"/>
      <c r="AV130" s="362"/>
      <c r="AW130" s="362"/>
      <c r="AX130" s="362"/>
      <c r="AY130" s="362"/>
      <c r="AZ130" s="362"/>
      <c r="BA130" s="362"/>
      <c r="BB130" s="362"/>
      <c r="BC130" s="362"/>
      <c r="BD130" s="362"/>
      <c r="BE130" s="362"/>
      <c r="BF130" s="362"/>
      <c r="BG130" s="362"/>
      <c r="BH130" s="362"/>
      <c r="BI130" s="362"/>
      <c r="BJ130" s="362"/>
      <c r="BK130" s="362"/>
      <c r="BL130" s="362"/>
      <c r="BM130" s="362"/>
      <c r="BN130" s="362"/>
      <c r="BO130" s="362"/>
      <c r="BP130" s="362"/>
      <c r="BQ130" s="362"/>
      <c r="BR130" s="362"/>
      <c r="BS130" s="362"/>
      <c r="BT130" s="362"/>
    </row>
    <row r="131" spans="1:72" s="363" customFormat="1" ht="15.75" customHeight="1" x14ac:dyDescent="0.2">
      <c r="A131" s="164"/>
      <c r="B131" s="165"/>
      <c r="C131" s="183"/>
      <c r="D131" s="166"/>
      <c r="E131" s="166" t="s">
        <v>180</v>
      </c>
      <c r="F131" s="176" t="s">
        <v>153</v>
      </c>
      <c r="G131" s="177">
        <f>681.72+145.78+1000</f>
        <v>1827.5</v>
      </c>
      <c r="H131" s="362"/>
      <c r="I131" s="362"/>
      <c r="J131" s="362"/>
      <c r="K131" s="362"/>
      <c r="L131" s="362"/>
      <c r="M131" s="362"/>
      <c r="N131" s="362"/>
      <c r="O131" s="362"/>
      <c r="P131" s="362"/>
      <c r="Q131" s="362"/>
      <c r="R131" s="362"/>
      <c r="S131" s="362"/>
      <c r="T131" s="362"/>
      <c r="U131" s="362"/>
      <c r="V131" s="362"/>
      <c r="W131" s="362"/>
      <c r="X131" s="362"/>
      <c r="Y131" s="362"/>
      <c r="Z131" s="362"/>
      <c r="AA131" s="362"/>
      <c r="AB131" s="362"/>
      <c r="AC131" s="362"/>
      <c r="AD131" s="362"/>
      <c r="AE131" s="362"/>
      <c r="AF131" s="362"/>
      <c r="AG131" s="362"/>
      <c r="AH131" s="362"/>
      <c r="AI131" s="362"/>
      <c r="AJ131" s="362"/>
      <c r="AK131" s="362"/>
      <c r="AL131" s="362"/>
      <c r="AM131" s="362"/>
      <c r="AN131" s="362"/>
      <c r="AO131" s="362"/>
      <c r="AP131" s="362"/>
      <c r="AQ131" s="362"/>
      <c r="AR131" s="362"/>
      <c r="AS131" s="362"/>
      <c r="AT131" s="362"/>
      <c r="AU131" s="362"/>
      <c r="AV131" s="362"/>
      <c r="AW131" s="362"/>
      <c r="AX131" s="362"/>
      <c r="AY131" s="362"/>
      <c r="AZ131" s="362"/>
      <c r="BA131" s="362"/>
      <c r="BB131" s="362"/>
      <c r="BC131" s="362"/>
      <c r="BD131" s="362"/>
      <c r="BE131" s="362"/>
      <c r="BF131" s="362"/>
      <c r="BG131" s="362"/>
      <c r="BH131" s="362"/>
      <c r="BI131" s="362"/>
      <c r="BJ131" s="362"/>
      <c r="BK131" s="362"/>
      <c r="BL131" s="362"/>
      <c r="BM131" s="362"/>
      <c r="BN131" s="362"/>
      <c r="BO131" s="362"/>
      <c r="BP131" s="362"/>
      <c r="BQ131" s="362"/>
      <c r="BR131" s="362"/>
      <c r="BS131" s="362"/>
      <c r="BT131" s="362"/>
    </row>
    <row r="132" spans="1:72" s="363" customFormat="1" ht="7.5" customHeight="1" x14ac:dyDescent="0.2">
      <c r="A132" s="178"/>
      <c r="B132" s="179"/>
      <c r="C132" s="180"/>
      <c r="D132" s="167"/>
      <c r="E132" s="167"/>
      <c r="F132" s="169"/>
      <c r="G132" s="181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  <c r="S132" s="362"/>
      <c r="T132" s="362"/>
      <c r="U132" s="362"/>
      <c r="V132" s="362"/>
      <c r="W132" s="362"/>
      <c r="X132" s="362"/>
      <c r="Y132" s="362"/>
      <c r="Z132" s="362"/>
      <c r="AA132" s="362"/>
      <c r="AB132" s="362"/>
      <c r="AC132" s="362"/>
      <c r="AD132" s="362"/>
      <c r="AE132" s="362"/>
      <c r="AF132" s="362"/>
      <c r="AG132" s="362"/>
      <c r="AH132" s="362"/>
      <c r="AI132" s="362"/>
      <c r="AJ132" s="362"/>
      <c r="AK132" s="362"/>
      <c r="AL132" s="362"/>
      <c r="AM132" s="362"/>
      <c r="AN132" s="362"/>
      <c r="AO132" s="362"/>
      <c r="AP132" s="362"/>
      <c r="AQ132" s="362"/>
      <c r="AR132" s="362"/>
      <c r="AS132" s="362"/>
      <c r="AT132" s="362"/>
      <c r="AU132" s="362"/>
      <c r="AV132" s="362"/>
      <c r="AW132" s="362"/>
      <c r="AX132" s="362"/>
      <c r="AY132" s="362"/>
      <c r="AZ132" s="362"/>
      <c r="BA132" s="362"/>
      <c r="BB132" s="362"/>
      <c r="BC132" s="362"/>
      <c r="BD132" s="362"/>
      <c r="BE132" s="362"/>
      <c r="BF132" s="362"/>
      <c r="BG132" s="362"/>
      <c r="BH132" s="362"/>
      <c r="BI132" s="362"/>
      <c r="BJ132" s="362"/>
      <c r="BK132" s="362"/>
      <c r="BL132" s="362"/>
      <c r="BM132" s="362"/>
      <c r="BN132" s="362"/>
      <c r="BO132" s="362"/>
      <c r="BP132" s="362"/>
      <c r="BQ132" s="362"/>
      <c r="BR132" s="362"/>
      <c r="BS132" s="362"/>
      <c r="BT132" s="362"/>
    </row>
    <row r="133" spans="1:72" s="363" customFormat="1" ht="15.75" customHeight="1" x14ac:dyDescent="0.2">
      <c r="A133" s="164"/>
      <c r="B133" s="365" t="s">
        <v>175</v>
      </c>
      <c r="C133" s="166" t="s">
        <v>190</v>
      </c>
      <c r="D133" s="166" t="s">
        <v>191</v>
      </c>
      <c r="E133" s="167" t="s">
        <v>153</v>
      </c>
      <c r="F133" s="169" t="s">
        <v>153</v>
      </c>
      <c r="G133" s="168">
        <f>SUM(G135)</f>
        <v>9545.67</v>
      </c>
      <c r="H133" s="362"/>
      <c r="I133" s="362"/>
      <c r="J133" s="362"/>
      <c r="K133" s="362"/>
      <c r="L133" s="362"/>
      <c r="M133" s="362"/>
      <c r="N133" s="362"/>
      <c r="O133" s="362"/>
      <c r="P133" s="362"/>
      <c r="Q133" s="362"/>
      <c r="R133" s="362"/>
      <c r="S133" s="362"/>
      <c r="T133" s="362"/>
      <c r="U133" s="362"/>
      <c r="V133" s="362"/>
      <c r="W133" s="362"/>
      <c r="X133" s="362"/>
      <c r="Y133" s="362"/>
      <c r="Z133" s="362"/>
      <c r="AA133" s="362"/>
      <c r="AB133" s="362"/>
      <c r="AC133" s="362"/>
      <c r="AD133" s="362"/>
      <c r="AE133" s="362"/>
      <c r="AF133" s="362"/>
      <c r="AG133" s="362"/>
      <c r="AH133" s="362"/>
      <c r="AI133" s="362"/>
      <c r="AJ133" s="362"/>
      <c r="AK133" s="362"/>
      <c r="AL133" s="362"/>
      <c r="AM133" s="362"/>
      <c r="AN133" s="362"/>
      <c r="AO133" s="362"/>
      <c r="AP133" s="362"/>
      <c r="AQ133" s="362"/>
      <c r="AR133" s="362"/>
      <c r="AS133" s="362"/>
      <c r="AT133" s="362"/>
      <c r="AU133" s="362"/>
      <c r="AV133" s="362"/>
      <c r="AW133" s="362"/>
      <c r="AX133" s="362"/>
      <c r="AY133" s="362"/>
      <c r="AZ133" s="362"/>
      <c r="BA133" s="362"/>
      <c r="BB133" s="362"/>
      <c r="BC133" s="362"/>
      <c r="BD133" s="362"/>
      <c r="BE133" s="362"/>
      <c r="BF133" s="362"/>
      <c r="BG133" s="362"/>
      <c r="BH133" s="362"/>
      <c r="BI133" s="362"/>
      <c r="BJ133" s="362"/>
      <c r="BK133" s="362"/>
      <c r="BL133" s="362"/>
      <c r="BM133" s="362"/>
      <c r="BN133" s="362"/>
      <c r="BO133" s="362"/>
      <c r="BP133" s="362"/>
      <c r="BQ133" s="362"/>
      <c r="BR133" s="362"/>
      <c r="BS133" s="362"/>
      <c r="BT133" s="362"/>
    </row>
    <row r="134" spans="1:72" s="363" customFormat="1" ht="5.25" customHeight="1" x14ac:dyDescent="0.2">
      <c r="A134" s="164"/>
      <c r="B134" s="165"/>
      <c r="C134" s="183"/>
      <c r="D134" s="166"/>
      <c r="E134" s="166"/>
      <c r="F134" s="176"/>
      <c r="G134" s="177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362"/>
      <c r="S134" s="362"/>
      <c r="T134" s="362"/>
      <c r="U134" s="362"/>
      <c r="V134" s="362"/>
      <c r="W134" s="362"/>
      <c r="X134" s="362"/>
      <c r="Y134" s="362"/>
      <c r="Z134" s="362"/>
      <c r="AA134" s="362"/>
      <c r="AB134" s="362"/>
      <c r="AC134" s="362"/>
      <c r="AD134" s="362"/>
      <c r="AE134" s="362"/>
      <c r="AF134" s="362"/>
      <c r="AG134" s="362"/>
      <c r="AH134" s="362"/>
      <c r="AI134" s="362"/>
      <c r="AJ134" s="362"/>
      <c r="AK134" s="362"/>
      <c r="AL134" s="362"/>
      <c r="AM134" s="362"/>
      <c r="AN134" s="362"/>
      <c r="AO134" s="362"/>
      <c r="AP134" s="362"/>
      <c r="AQ134" s="362"/>
      <c r="AR134" s="362"/>
      <c r="AS134" s="362"/>
      <c r="AT134" s="362"/>
      <c r="AU134" s="362"/>
      <c r="AV134" s="362"/>
      <c r="AW134" s="362"/>
      <c r="AX134" s="362"/>
      <c r="AY134" s="362"/>
      <c r="AZ134" s="362"/>
      <c r="BA134" s="362"/>
      <c r="BB134" s="362"/>
      <c r="BC134" s="362"/>
      <c r="BD134" s="362"/>
      <c r="BE134" s="362"/>
      <c r="BF134" s="362"/>
      <c r="BG134" s="362"/>
      <c r="BH134" s="362"/>
      <c r="BI134" s="362"/>
      <c r="BJ134" s="362"/>
      <c r="BK134" s="362"/>
      <c r="BL134" s="362"/>
      <c r="BM134" s="362"/>
      <c r="BN134" s="362"/>
      <c r="BO134" s="362"/>
      <c r="BP134" s="362"/>
      <c r="BQ134" s="362"/>
      <c r="BR134" s="362"/>
      <c r="BS134" s="362"/>
      <c r="BT134" s="362"/>
    </row>
    <row r="135" spans="1:72" s="363" customFormat="1" ht="15.75" customHeight="1" x14ac:dyDescent="0.2">
      <c r="A135" s="164"/>
      <c r="B135" s="165"/>
      <c r="C135" s="183"/>
      <c r="D135" s="166"/>
      <c r="E135" s="166"/>
      <c r="F135" s="176"/>
      <c r="G135" s="364">
        <f>SUM(G136:G138)</f>
        <v>9545.67</v>
      </c>
      <c r="H135" s="362"/>
      <c r="I135" s="362"/>
      <c r="J135" s="362"/>
      <c r="K135" s="362"/>
      <c r="L135" s="362"/>
      <c r="M135" s="362"/>
      <c r="N135" s="362"/>
      <c r="O135" s="362"/>
      <c r="P135" s="362"/>
      <c r="Q135" s="362"/>
      <c r="R135" s="362"/>
      <c r="S135" s="362"/>
      <c r="T135" s="362"/>
      <c r="U135" s="362"/>
      <c r="V135" s="362"/>
      <c r="W135" s="362"/>
      <c r="X135" s="362"/>
      <c r="Y135" s="362"/>
      <c r="Z135" s="362"/>
      <c r="AA135" s="362"/>
      <c r="AB135" s="362"/>
      <c r="AC135" s="362"/>
      <c r="AD135" s="362"/>
      <c r="AE135" s="362"/>
      <c r="AF135" s="362"/>
      <c r="AG135" s="362"/>
      <c r="AH135" s="362"/>
      <c r="AI135" s="362"/>
      <c r="AJ135" s="362"/>
      <c r="AK135" s="362"/>
      <c r="AL135" s="362"/>
      <c r="AM135" s="362"/>
      <c r="AN135" s="362"/>
      <c r="AO135" s="362"/>
      <c r="AP135" s="362"/>
      <c r="AQ135" s="362"/>
      <c r="AR135" s="362"/>
      <c r="AS135" s="362"/>
      <c r="AT135" s="362"/>
      <c r="AU135" s="362"/>
      <c r="AV135" s="362"/>
      <c r="AW135" s="362"/>
      <c r="AX135" s="362"/>
      <c r="AY135" s="362"/>
      <c r="AZ135" s="362"/>
      <c r="BA135" s="362"/>
      <c r="BB135" s="362"/>
      <c r="BC135" s="362"/>
      <c r="BD135" s="362"/>
      <c r="BE135" s="362"/>
      <c r="BF135" s="362"/>
      <c r="BG135" s="362"/>
      <c r="BH135" s="362"/>
      <c r="BI135" s="362"/>
      <c r="BJ135" s="362"/>
      <c r="BK135" s="362"/>
      <c r="BL135" s="362"/>
      <c r="BM135" s="362"/>
      <c r="BN135" s="362"/>
      <c r="BO135" s="362"/>
      <c r="BP135" s="362"/>
      <c r="BQ135" s="362"/>
      <c r="BR135" s="362"/>
      <c r="BS135" s="362"/>
      <c r="BT135" s="362"/>
    </row>
    <row r="136" spans="1:72" s="363" customFormat="1" ht="15.75" customHeight="1" x14ac:dyDescent="0.2">
      <c r="A136" s="164"/>
      <c r="B136" s="165"/>
      <c r="C136" s="183"/>
      <c r="D136" s="166"/>
      <c r="E136" s="166" t="s">
        <v>178</v>
      </c>
      <c r="F136" s="176" t="s">
        <v>153</v>
      </c>
      <c r="G136" s="177">
        <f>1147.67+2398</f>
        <v>3545.67</v>
      </c>
      <c r="H136" s="362"/>
      <c r="I136" s="362"/>
      <c r="J136" s="362"/>
      <c r="K136" s="362"/>
      <c r="L136" s="362"/>
      <c r="M136" s="362"/>
      <c r="N136" s="362"/>
      <c r="O136" s="362"/>
      <c r="P136" s="362"/>
      <c r="Q136" s="362"/>
      <c r="R136" s="362"/>
      <c r="S136" s="362"/>
      <c r="T136" s="362"/>
      <c r="U136" s="362"/>
      <c r="V136" s="362"/>
      <c r="W136" s="362"/>
      <c r="X136" s="362"/>
      <c r="Y136" s="362"/>
      <c r="Z136" s="362"/>
      <c r="AA136" s="362"/>
      <c r="AB136" s="362"/>
      <c r="AC136" s="362"/>
      <c r="AD136" s="362"/>
      <c r="AE136" s="362"/>
      <c r="AF136" s="362"/>
      <c r="AG136" s="362"/>
      <c r="AH136" s="362"/>
      <c r="AI136" s="362"/>
      <c r="AJ136" s="362"/>
      <c r="AK136" s="362"/>
      <c r="AL136" s="362"/>
      <c r="AM136" s="362"/>
      <c r="AN136" s="362"/>
      <c r="AO136" s="362"/>
      <c r="AP136" s="362"/>
      <c r="AQ136" s="362"/>
      <c r="AR136" s="362"/>
      <c r="AS136" s="362"/>
      <c r="AT136" s="362"/>
      <c r="AU136" s="362"/>
      <c r="AV136" s="362"/>
      <c r="AW136" s="362"/>
      <c r="AX136" s="362"/>
      <c r="AY136" s="362"/>
      <c r="AZ136" s="362"/>
      <c r="BA136" s="362"/>
      <c r="BB136" s="362"/>
      <c r="BC136" s="362"/>
      <c r="BD136" s="362"/>
      <c r="BE136" s="362"/>
      <c r="BF136" s="362"/>
      <c r="BG136" s="362"/>
      <c r="BH136" s="362"/>
      <c r="BI136" s="362"/>
      <c r="BJ136" s="362"/>
      <c r="BK136" s="362"/>
      <c r="BL136" s="362"/>
      <c r="BM136" s="362"/>
      <c r="BN136" s="362"/>
      <c r="BO136" s="362"/>
      <c r="BP136" s="362"/>
      <c r="BQ136" s="362"/>
      <c r="BR136" s="362"/>
      <c r="BS136" s="362"/>
      <c r="BT136" s="362"/>
    </row>
    <row r="137" spans="1:72" s="363" customFormat="1" ht="15.75" customHeight="1" x14ac:dyDescent="0.2">
      <c r="A137" s="164"/>
      <c r="B137" s="165"/>
      <c r="C137" s="183"/>
      <c r="D137" s="166"/>
      <c r="E137" s="166" t="s">
        <v>160</v>
      </c>
      <c r="F137" s="176" t="s">
        <v>153</v>
      </c>
      <c r="G137" s="177">
        <v>1000</v>
      </c>
      <c r="H137" s="362"/>
      <c r="I137" s="362"/>
      <c r="J137" s="362"/>
      <c r="K137" s="362"/>
      <c r="L137" s="362"/>
      <c r="M137" s="362"/>
      <c r="N137" s="362"/>
      <c r="O137" s="362"/>
      <c r="P137" s="362"/>
      <c r="Q137" s="362"/>
      <c r="R137" s="362"/>
      <c r="S137" s="362"/>
      <c r="T137" s="362"/>
      <c r="U137" s="362"/>
      <c r="V137" s="362"/>
      <c r="W137" s="362"/>
      <c r="X137" s="362"/>
      <c r="Y137" s="362"/>
      <c r="Z137" s="362"/>
      <c r="AA137" s="362"/>
      <c r="AB137" s="362"/>
      <c r="AC137" s="362"/>
      <c r="AD137" s="362"/>
      <c r="AE137" s="362"/>
      <c r="AF137" s="362"/>
      <c r="AG137" s="362"/>
      <c r="AH137" s="362"/>
      <c r="AI137" s="362"/>
      <c r="AJ137" s="362"/>
      <c r="AK137" s="362"/>
      <c r="AL137" s="362"/>
      <c r="AM137" s="362"/>
      <c r="AN137" s="362"/>
      <c r="AO137" s="362"/>
      <c r="AP137" s="362"/>
      <c r="AQ137" s="362"/>
      <c r="AR137" s="362"/>
      <c r="AS137" s="362"/>
      <c r="AT137" s="362"/>
      <c r="AU137" s="362"/>
      <c r="AV137" s="362"/>
      <c r="AW137" s="362"/>
      <c r="AX137" s="362"/>
      <c r="AY137" s="362"/>
      <c r="AZ137" s="362"/>
      <c r="BA137" s="362"/>
      <c r="BB137" s="362"/>
      <c r="BC137" s="362"/>
      <c r="BD137" s="362"/>
      <c r="BE137" s="362"/>
      <c r="BF137" s="362"/>
      <c r="BG137" s="362"/>
      <c r="BH137" s="362"/>
      <c r="BI137" s="362"/>
      <c r="BJ137" s="362"/>
      <c r="BK137" s="362"/>
      <c r="BL137" s="362"/>
      <c r="BM137" s="362"/>
      <c r="BN137" s="362"/>
      <c r="BO137" s="362"/>
      <c r="BP137" s="362"/>
      <c r="BQ137" s="362"/>
      <c r="BR137" s="362"/>
      <c r="BS137" s="362"/>
      <c r="BT137" s="362"/>
    </row>
    <row r="138" spans="1:72" s="363" customFormat="1" ht="15.75" customHeight="1" x14ac:dyDescent="0.2">
      <c r="A138" s="164"/>
      <c r="B138" s="165"/>
      <c r="C138" s="183"/>
      <c r="D138" s="166"/>
      <c r="E138" s="166" t="s">
        <v>180</v>
      </c>
      <c r="F138" s="176" t="s">
        <v>153</v>
      </c>
      <c r="G138" s="177">
        <v>5000</v>
      </c>
      <c r="H138" s="362"/>
      <c r="I138" s="362"/>
      <c r="J138" s="362"/>
      <c r="K138" s="362"/>
      <c r="L138" s="362"/>
      <c r="M138" s="362"/>
      <c r="N138" s="362"/>
      <c r="O138" s="362"/>
      <c r="P138" s="362"/>
      <c r="Q138" s="362"/>
      <c r="R138" s="362"/>
      <c r="S138" s="362"/>
      <c r="T138" s="362"/>
      <c r="U138" s="362"/>
      <c r="V138" s="362"/>
      <c r="W138" s="362"/>
      <c r="X138" s="362"/>
      <c r="Y138" s="362"/>
      <c r="Z138" s="362"/>
      <c r="AA138" s="362"/>
      <c r="AB138" s="362"/>
      <c r="AC138" s="362"/>
      <c r="AD138" s="362"/>
      <c r="AE138" s="362"/>
      <c r="AF138" s="362"/>
      <c r="AG138" s="362"/>
      <c r="AH138" s="362"/>
      <c r="AI138" s="362"/>
      <c r="AJ138" s="362"/>
      <c r="AK138" s="362"/>
      <c r="AL138" s="362"/>
      <c r="AM138" s="362"/>
      <c r="AN138" s="362"/>
      <c r="AO138" s="362"/>
      <c r="AP138" s="362"/>
      <c r="AQ138" s="362"/>
      <c r="AR138" s="362"/>
      <c r="AS138" s="362"/>
      <c r="AT138" s="362"/>
      <c r="AU138" s="362"/>
      <c r="AV138" s="362"/>
      <c r="AW138" s="362"/>
      <c r="AX138" s="362"/>
      <c r="AY138" s="362"/>
      <c r="AZ138" s="362"/>
      <c r="BA138" s="362"/>
      <c r="BB138" s="362"/>
      <c r="BC138" s="362"/>
      <c r="BD138" s="362"/>
      <c r="BE138" s="362"/>
      <c r="BF138" s="362"/>
      <c r="BG138" s="362"/>
      <c r="BH138" s="362"/>
      <c r="BI138" s="362"/>
      <c r="BJ138" s="362"/>
      <c r="BK138" s="362"/>
      <c r="BL138" s="362"/>
      <c r="BM138" s="362"/>
      <c r="BN138" s="362"/>
      <c r="BO138" s="362"/>
      <c r="BP138" s="362"/>
      <c r="BQ138" s="362"/>
      <c r="BR138" s="362"/>
      <c r="BS138" s="362"/>
      <c r="BT138" s="362"/>
    </row>
    <row r="139" spans="1:72" s="363" customFormat="1" ht="7.5" customHeight="1" x14ac:dyDescent="0.2">
      <c r="A139" s="178"/>
      <c r="B139" s="179"/>
      <c r="C139" s="180"/>
      <c r="D139" s="167"/>
      <c r="E139" s="167"/>
      <c r="F139" s="169"/>
      <c r="G139" s="181"/>
      <c r="H139" s="362"/>
      <c r="I139" s="362"/>
      <c r="J139" s="362"/>
      <c r="K139" s="362"/>
      <c r="L139" s="362"/>
      <c r="M139" s="362"/>
      <c r="N139" s="362"/>
      <c r="O139" s="362"/>
      <c r="P139" s="362"/>
      <c r="Q139" s="362"/>
      <c r="R139" s="362"/>
      <c r="S139" s="362"/>
      <c r="T139" s="362"/>
      <c r="U139" s="362"/>
      <c r="V139" s="362"/>
      <c r="W139" s="362"/>
      <c r="X139" s="362"/>
      <c r="Y139" s="362"/>
      <c r="Z139" s="362"/>
      <c r="AA139" s="362"/>
      <c r="AB139" s="362"/>
      <c r="AC139" s="362"/>
      <c r="AD139" s="362"/>
      <c r="AE139" s="362"/>
      <c r="AF139" s="362"/>
      <c r="AG139" s="362"/>
      <c r="AH139" s="362"/>
      <c r="AI139" s="362"/>
      <c r="AJ139" s="362"/>
      <c r="AK139" s="362"/>
      <c r="AL139" s="362"/>
      <c r="AM139" s="362"/>
      <c r="AN139" s="362"/>
      <c r="AO139" s="362"/>
      <c r="AP139" s="362"/>
      <c r="AQ139" s="362"/>
      <c r="AR139" s="362"/>
      <c r="AS139" s="362"/>
      <c r="AT139" s="362"/>
      <c r="AU139" s="362"/>
      <c r="AV139" s="362"/>
      <c r="AW139" s="362"/>
      <c r="AX139" s="362"/>
      <c r="AY139" s="362"/>
      <c r="AZ139" s="362"/>
      <c r="BA139" s="362"/>
      <c r="BB139" s="362"/>
      <c r="BC139" s="362"/>
      <c r="BD139" s="362"/>
      <c r="BE139" s="362"/>
      <c r="BF139" s="362"/>
      <c r="BG139" s="362"/>
      <c r="BH139" s="362"/>
      <c r="BI139" s="362"/>
      <c r="BJ139" s="362"/>
      <c r="BK139" s="362"/>
      <c r="BL139" s="362"/>
      <c r="BM139" s="362"/>
      <c r="BN139" s="362"/>
      <c r="BO139" s="362"/>
      <c r="BP139" s="362"/>
      <c r="BQ139" s="362"/>
      <c r="BR139" s="362"/>
      <c r="BS139" s="362"/>
      <c r="BT139" s="362"/>
    </row>
    <row r="140" spans="1:72" s="363" customFormat="1" ht="15.75" customHeight="1" x14ac:dyDescent="0.2">
      <c r="A140" s="164"/>
      <c r="B140" s="165"/>
      <c r="C140" s="166"/>
      <c r="D140" s="166"/>
      <c r="E140" s="167" t="s">
        <v>152</v>
      </c>
      <c r="F140" s="168">
        <f>6242.96+5773.4+1431.89+1201.64+991.36+1111.52+78.39+980.67+837.97+429.44</f>
        <v>19079.239999999998</v>
      </c>
      <c r="G140" s="169" t="s">
        <v>153</v>
      </c>
      <c r="H140" s="362"/>
      <c r="I140" s="362"/>
      <c r="J140" s="362"/>
      <c r="K140" s="362"/>
      <c r="L140" s="362"/>
      <c r="M140" s="362"/>
      <c r="N140" s="362"/>
      <c r="O140" s="362"/>
      <c r="P140" s="362"/>
      <c r="Q140" s="362"/>
      <c r="R140" s="362"/>
      <c r="S140" s="362"/>
      <c r="T140" s="362"/>
      <c r="U140" s="362"/>
      <c r="V140" s="362"/>
      <c r="W140" s="362"/>
      <c r="X140" s="362"/>
      <c r="Y140" s="362"/>
      <c r="Z140" s="362"/>
      <c r="AA140" s="362"/>
      <c r="AB140" s="362"/>
      <c r="AC140" s="362"/>
      <c r="AD140" s="362"/>
      <c r="AE140" s="362"/>
      <c r="AF140" s="362"/>
      <c r="AG140" s="362"/>
      <c r="AH140" s="362"/>
      <c r="AI140" s="362"/>
      <c r="AJ140" s="362"/>
      <c r="AK140" s="362"/>
      <c r="AL140" s="362"/>
      <c r="AM140" s="362"/>
      <c r="AN140" s="362"/>
      <c r="AO140" s="362"/>
      <c r="AP140" s="362"/>
      <c r="AQ140" s="362"/>
      <c r="AR140" s="362"/>
      <c r="AS140" s="362"/>
      <c r="AT140" s="362"/>
      <c r="AU140" s="362"/>
      <c r="AV140" s="362"/>
      <c r="AW140" s="362"/>
      <c r="AX140" s="362"/>
      <c r="AY140" s="362"/>
      <c r="AZ140" s="362"/>
      <c r="BA140" s="362"/>
      <c r="BB140" s="362"/>
      <c r="BC140" s="362"/>
      <c r="BD140" s="362"/>
      <c r="BE140" s="362"/>
      <c r="BF140" s="362"/>
      <c r="BG140" s="362"/>
      <c r="BH140" s="362"/>
      <c r="BI140" s="362"/>
      <c r="BJ140" s="362"/>
      <c r="BK140" s="362"/>
      <c r="BL140" s="362"/>
      <c r="BM140" s="362"/>
      <c r="BN140" s="362"/>
      <c r="BO140" s="362"/>
      <c r="BP140" s="362"/>
      <c r="BQ140" s="362"/>
      <c r="BR140" s="362"/>
      <c r="BS140" s="362"/>
      <c r="BT140" s="362"/>
    </row>
    <row r="141" spans="1:72" s="363" customFormat="1" ht="24" customHeight="1" x14ac:dyDescent="0.2">
      <c r="A141" s="170" t="s">
        <v>192</v>
      </c>
      <c r="B141" s="182" t="s">
        <v>193</v>
      </c>
      <c r="C141" s="166" t="s">
        <v>194</v>
      </c>
      <c r="D141" s="166" t="s">
        <v>195</v>
      </c>
      <c r="E141" s="172" t="s">
        <v>153</v>
      </c>
      <c r="F141" s="173" t="s">
        <v>153</v>
      </c>
      <c r="G141" s="174">
        <f>SUM(G143)</f>
        <v>19079.240000000002</v>
      </c>
      <c r="H141" s="362"/>
      <c r="I141" s="362"/>
      <c r="J141" s="362"/>
      <c r="K141" s="362"/>
      <c r="L141" s="362"/>
      <c r="M141" s="362"/>
      <c r="N141" s="362"/>
      <c r="O141" s="362"/>
      <c r="P141" s="362"/>
      <c r="Q141" s="362"/>
      <c r="R141" s="362"/>
      <c r="S141" s="362"/>
      <c r="T141" s="362"/>
      <c r="U141" s="362"/>
      <c r="V141" s="362"/>
      <c r="W141" s="362"/>
      <c r="X141" s="362"/>
      <c r="Y141" s="362"/>
      <c r="Z141" s="362"/>
      <c r="AA141" s="362"/>
      <c r="AB141" s="362"/>
      <c r="AC141" s="362"/>
      <c r="AD141" s="362"/>
      <c r="AE141" s="362"/>
      <c r="AF141" s="362"/>
      <c r="AG141" s="362"/>
      <c r="AH141" s="362"/>
      <c r="AI141" s="362"/>
      <c r="AJ141" s="362"/>
      <c r="AK141" s="362"/>
      <c r="AL141" s="362"/>
      <c r="AM141" s="362"/>
      <c r="AN141" s="362"/>
      <c r="AO141" s="362"/>
      <c r="AP141" s="362"/>
      <c r="AQ141" s="362"/>
      <c r="AR141" s="362"/>
      <c r="AS141" s="362"/>
      <c r="AT141" s="362"/>
      <c r="AU141" s="362"/>
      <c r="AV141" s="362"/>
      <c r="AW141" s="362"/>
      <c r="AX141" s="362"/>
      <c r="AY141" s="362"/>
      <c r="AZ141" s="362"/>
      <c r="BA141" s="362"/>
      <c r="BB141" s="362"/>
      <c r="BC141" s="362"/>
      <c r="BD141" s="362"/>
      <c r="BE141" s="362"/>
      <c r="BF141" s="362"/>
      <c r="BG141" s="362"/>
      <c r="BH141" s="362"/>
      <c r="BI141" s="362"/>
      <c r="BJ141" s="362"/>
      <c r="BK141" s="362"/>
      <c r="BL141" s="362"/>
      <c r="BM141" s="362"/>
      <c r="BN141" s="362"/>
      <c r="BO141" s="362"/>
      <c r="BP141" s="362"/>
      <c r="BQ141" s="362"/>
      <c r="BR141" s="362"/>
      <c r="BS141" s="362"/>
      <c r="BT141" s="362"/>
    </row>
    <row r="142" spans="1:72" s="363" customFormat="1" ht="6.75" customHeight="1" x14ac:dyDescent="0.2">
      <c r="A142" s="164"/>
      <c r="B142" s="175"/>
      <c r="C142" s="166"/>
      <c r="D142" s="166"/>
      <c r="E142" s="166"/>
      <c r="F142" s="176"/>
      <c r="G142" s="364"/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362"/>
      <c r="S142" s="362"/>
      <c r="T142" s="362"/>
      <c r="U142" s="362"/>
      <c r="V142" s="362"/>
      <c r="W142" s="362"/>
      <c r="X142" s="362"/>
      <c r="Y142" s="362"/>
      <c r="Z142" s="362"/>
      <c r="AA142" s="362"/>
      <c r="AB142" s="362"/>
      <c r="AC142" s="362"/>
      <c r="AD142" s="362"/>
      <c r="AE142" s="362"/>
      <c r="AF142" s="362"/>
      <c r="AG142" s="362"/>
      <c r="AH142" s="362"/>
      <c r="AI142" s="362"/>
      <c r="AJ142" s="362"/>
      <c r="AK142" s="362"/>
      <c r="AL142" s="362"/>
      <c r="AM142" s="362"/>
      <c r="AN142" s="362"/>
      <c r="AO142" s="362"/>
      <c r="AP142" s="362"/>
      <c r="AQ142" s="362"/>
      <c r="AR142" s="362"/>
      <c r="AS142" s="362"/>
      <c r="AT142" s="362"/>
      <c r="AU142" s="362"/>
      <c r="AV142" s="362"/>
      <c r="AW142" s="362"/>
      <c r="AX142" s="362"/>
      <c r="AY142" s="362"/>
      <c r="AZ142" s="362"/>
      <c r="BA142" s="362"/>
      <c r="BB142" s="362"/>
      <c r="BC142" s="362"/>
      <c r="BD142" s="362"/>
      <c r="BE142" s="362"/>
      <c r="BF142" s="362"/>
      <c r="BG142" s="362"/>
      <c r="BH142" s="362"/>
      <c r="BI142" s="362"/>
      <c r="BJ142" s="362"/>
      <c r="BK142" s="362"/>
      <c r="BL142" s="362"/>
      <c r="BM142" s="362"/>
      <c r="BN142" s="362"/>
      <c r="BO142" s="362"/>
      <c r="BP142" s="362"/>
      <c r="BQ142" s="362"/>
      <c r="BR142" s="362"/>
      <c r="BS142" s="362"/>
      <c r="BT142" s="362"/>
    </row>
    <row r="143" spans="1:72" s="363" customFormat="1" ht="15.75" customHeight="1" x14ac:dyDescent="0.2">
      <c r="A143" s="164"/>
      <c r="B143" s="365" t="s">
        <v>196</v>
      </c>
      <c r="C143" s="166"/>
      <c r="D143" s="166"/>
      <c r="E143" s="166"/>
      <c r="F143" s="176"/>
      <c r="G143" s="364">
        <f>SUM(G144:G145)</f>
        <v>19079.240000000002</v>
      </c>
      <c r="H143" s="362"/>
      <c r="I143" s="362"/>
      <c r="J143" s="362"/>
      <c r="K143" s="362"/>
      <c r="L143" s="362"/>
      <c r="M143" s="362"/>
      <c r="N143" s="362"/>
      <c r="O143" s="362"/>
      <c r="P143" s="362"/>
      <c r="Q143" s="362"/>
      <c r="R143" s="362"/>
      <c r="S143" s="362"/>
      <c r="T143" s="362"/>
      <c r="U143" s="362"/>
      <c r="V143" s="362"/>
      <c r="W143" s="362"/>
      <c r="X143" s="362"/>
      <c r="Y143" s="362"/>
      <c r="Z143" s="362"/>
      <c r="AA143" s="362"/>
      <c r="AB143" s="362"/>
      <c r="AC143" s="362"/>
      <c r="AD143" s="362"/>
      <c r="AE143" s="362"/>
      <c r="AF143" s="362"/>
      <c r="AG143" s="362"/>
      <c r="AH143" s="362"/>
      <c r="AI143" s="362"/>
      <c r="AJ143" s="362"/>
      <c r="AK143" s="362"/>
      <c r="AL143" s="362"/>
      <c r="AM143" s="362"/>
      <c r="AN143" s="362"/>
      <c r="AO143" s="362"/>
      <c r="AP143" s="362"/>
      <c r="AQ143" s="362"/>
      <c r="AR143" s="362"/>
      <c r="AS143" s="362"/>
      <c r="AT143" s="362"/>
      <c r="AU143" s="362"/>
      <c r="AV143" s="362"/>
      <c r="AW143" s="362"/>
      <c r="AX143" s="362"/>
      <c r="AY143" s="362"/>
      <c r="AZ143" s="362"/>
      <c r="BA143" s="362"/>
      <c r="BB143" s="362"/>
      <c r="BC143" s="362"/>
      <c r="BD143" s="362"/>
      <c r="BE143" s="362"/>
      <c r="BF143" s="362"/>
      <c r="BG143" s="362"/>
      <c r="BH143" s="362"/>
      <c r="BI143" s="362"/>
      <c r="BJ143" s="362"/>
      <c r="BK143" s="362"/>
      <c r="BL143" s="362"/>
      <c r="BM143" s="362"/>
      <c r="BN143" s="362"/>
      <c r="BO143" s="362"/>
      <c r="BP143" s="362"/>
      <c r="BQ143" s="362"/>
      <c r="BR143" s="362"/>
      <c r="BS143" s="362"/>
      <c r="BT143" s="362"/>
    </row>
    <row r="144" spans="1:72" s="363" customFormat="1" ht="15.75" customHeight="1" x14ac:dyDescent="0.2">
      <c r="A144" s="164"/>
      <c r="B144" s="165"/>
      <c r="C144" s="183"/>
      <c r="D144" s="166"/>
      <c r="E144" s="166" t="s">
        <v>165</v>
      </c>
      <c r="F144" s="176" t="s">
        <v>153</v>
      </c>
      <c r="G144" s="177">
        <f>1004.38+11240.6+828.62+994.57+819.68+700.41+358.95</f>
        <v>15947.210000000001</v>
      </c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  <c r="S144" s="362"/>
      <c r="T144" s="362"/>
      <c r="U144" s="362"/>
      <c r="V144" s="362"/>
      <c r="W144" s="362"/>
      <c r="X144" s="362"/>
      <c r="Y144" s="362"/>
      <c r="Z144" s="362"/>
      <c r="AA144" s="362"/>
      <c r="AB144" s="362"/>
      <c r="AC144" s="362"/>
      <c r="AD144" s="362"/>
      <c r="AE144" s="362"/>
      <c r="AF144" s="362"/>
      <c r="AG144" s="362"/>
      <c r="AH144" s="362"/>
      <c r="AI144" s="362"/>
      <c r="AJ144" s="362"/>
      <c r="AK144" s="362"/>
      <c r="AL144" s="362"/>
      <c r="AM144" s="362"/>
      <c r="AN144" s="362"/>
      <c r="AO144" s="362"/>
      <c r="AP144" s="362"/>
      <c r="AQ144" s="362"/>
      <c r="AR144" s="362"/>
      <c r="AS144" s="362"/>
      <c r="AT144" s="362"/>
      <c r="AU144" s="362"/>
      <c r="AV144" s="362"/>
      <c r="AW144" s="362"/>
      <c r="AX144" s="362"/>
      <c r="AY144" s="362"/>
      <c r="AZ144" s="362"/>
      <c r="BA144" s="362"/>
      <c r="BB144" s="362"/>
      <c r="BC144" s="362"/>
      <c r="BD144" s="362"/>
      <c r="BE144" s="362"/>
      <c r="BF144" s="362"/>
      <c r="BG144" s="362"/>
      <c r="BH144" s="362"/>
      <c r="BI144" s="362"/>
      <c r="BJ144" s="362"/>
      <c r="BK144" s="362"/>
      <c r="BL144" s="362"/>
      <c r="BM144" s="362"/>
      <c r="BN144" s="362"/>
      <c r="BO144" s="362"/>
      <c r="BP144" s="362"/>
      <c r="BQ144" s="362"/>
      <c r="BR144" s="362"/>
      <c r="BS144" s="362"/>
      <c r="BT144" s="362"/>
    </row>
    <row r="145" spans="1:72" s="363" customFormat="1" ht="15.75" customHeight="1" x14ac:dyDescent="0.2">
      <c r="A145" s="164"/>
      <c r="B145" s="165"/>
      <c r="C145" s="183"/>
      <c r="D145" s="166"/>
      <c r="E145" s="166" t="s">
        <v>166</v>
      </c>
      <c r="F145" s="176" t="s">
        <v>153</v>
      </c>
      <c r="G145" s="177">
        <f>197.26+2207.65+162.74+195.34+160.99+137.56+70.49</f>
        <v>3132.0299999999993</v>
      </c>
      <c r="H145" s="362"/>
      <c r="I145" s="362"/>
      <c r="J145" s="362"/>
      <c r="K145" s="362"/>
      <c r="L145" s="362"/>
      <c r="M145" s="362"/>
      <c r="N145" s="362"/>
      <c r="O145" s="362"/>
      <c r="P145" s="362"/>
      <c r="Q145" s="362"/>
      <c r="R145" s="362"/>
      <c r="S145" s="362"/>
      <c r="T145" s="362"/>
      <c r="U145" s="362"/>
      <c r="V145" s="362"/>
      <c r="W145" s="362"/>
      <c r="X145" s="362"/>
      <c r="Y145" s="362"/>
      <c r="Z145" s="362"/>
      <c r="AA145" s="362"/>
      <c r="AB145" s="362"/>
      <c r="AC145" s="362"/>
      <c r="AD145" s="362"/>
      <c r="AE145" s="362"/>
      <c r="AF145" s="362"/>
      <c r="AG145" s="362"/>
      <c r="AH145" s="362"/>
      <c r="AI145" s="362"/>
      <c r="AJ145" s="362"/>
      <c r="AK145" s="362"/>
      <c r="AL145" s="362"/>
      <c r="AM145" s="362"/>
      <c r="AN145" s="362"/>
      <c r="AO145" s="362"/>
      <c r="AP145" s="362"/>
      <c r="AQ145" s="362"/>
      <c r="AR145" s="362"/>
      <c r="AS145" s="362"/>
      <c r="AT145" s="362"/>
      <c r="AU145" s="362"/>
      <c r="AV145" s="362"/>
      <c r="AW145" s="362"/>
      <c r="AX145" s="362"/>
      <c r="AY145" s="362"/>
      <c r="AZ145" s="362"/>
      <c r="BA145" s="362"/>
      <c r="BB145" s="362"/>
      <c r="BC145" s="362"/>
      <c r="BD145" s="362"/>
      <c r="BE145" s="362"/>
      <c r="BF145" s="362"/>
      <c r="BG145" s="362"/>
      <c r="BH145" s="362"/>
      <c r="BI145" s="362"/>
      <c r="BJ145" s="362"/>
      <c r="BK145" s="362"/>
      <c r="BL145" s="362"/>
      <c r="BM145" s="362"/>
      <c r="BN145" s="362"/>
      <c r="BO145" s="362"/>
      <c r="BP145" s="362"/>
      <c r="BQ145" s="362"/>
      <c r="BR145" s="362"/>
      <c r="BS145" s="362"/>
      <c r="BT145" s="362"/>
    </row>
    <row r="146" spans="1:72" s="363" customFormat="1" ht="6.75" customHeight="1" x14ac:dyDescent="0.2">
      <c r="A146" s="178"/>
      <c r="B146" s="179"/>
      <c r="C146" s="180"/>
      <c r="D146" s="167"/>
      <c r="E146" s="167"/>
      <c r="F146" s="169"/>
      <c r="G146" s="181"/>
      <c r="H146" s="362"/>
      <c r="I146" s="362"/>
      <c r="J146" s="362"/>
      <c r="K146" s="362"/>
      <c r="L146" s="362"/>
      <c r="M146" s="362"/>
      <c r="N146" s="362"/>
      <c r="O146" s="362"/>
      <c r="P146" s="362"/>
      <c r="Q146" s="362"/>
      <c r="R146" s="362"/>
      <c r="S146" s="362"/>
      <c r="T146" s="362"/>
      <c r="U146" s="362"/>
      <c r="V146" s="362"/>
      <c r="W146" s="362"/>
      <c r="X146" s="362"/>
      <c r="Y146" s="362"/>
      <c r="Z146" s="362"/>
      <c r="AA146" s="362"/>
      <c r="AB146" s="362"/>
      <c r="AC146" s="362"/>
      <c r="AD146" s="362"/>
      <c r="AE146" s="362"/>
      <c r="AF146" s="362"/>
      <c r="AG146" s="362"/>
      <c r="AH146" s="362"/>
      <c r="AI146" s="362"/>
      <c r="AJ146" s="362"/>
      <c r="AK146" s="362"/>
      <c r="AL146" s="362"/>
      <c r="AM146" s="362"/>
      <c r="AN146" s="362"/>
      <c r="AO146" s="362"/>
      <c r="AP146" s="362"/>
      <c r="AQ146" s="362"/>
      <c r="AR146" s="362"/>
      <c r="AS146" s="362"/>
      <c r="AT146" s="362"/>
      <c r="AU146" s="362"/>
      <c r="AV146" s="362"/>
      <c r="AW146" s="362"/>
      <c r="AX146" s="362"/>
      <c r="AY146" s="362"/>
      <c r="AZ146" s="362"/>
      <c r="BA146" s="362"/>
      <c r="BB146" s="362"/>
      <c r="BC146" s="362"/>
      <c r="BD146" s="362"/>
      <c r="BE146" s="362"/>
      <c r="BF146" s="362"/>
      <c r="BG146" s="362"/>
      <c r="BH146" s="362"/>
      <c r="BI146" s="362"/>
      <c r="BJ146" s="362"/>
      <c r="BK146" s="362"/>
      <c r="BL146" s="362"/>
      <c r="BM146" s="362"/>
      <c r="BN146" s="362"/>
      <c r="BO146" s="362"/>
      <c r="BP146" s="362"/>
      <c r="BQ146" s="362"/>
      <c r="BR146" s="362"/>
      <c r="BS146" s="362"/>
      <c r="BT146" s="362"/>
    </row>
    <row r="147" spans="1:72" s="363" customFormat="1" ht="15.75" customHeight="1" x14ac:dyDescent="0.2">
      <c r="A147" s="164"/>
      <c r="B147" s="165"/>
      <c r="C147" s="166"/>
      <c r="D147" s="166"/>
      <c r="E147" s="167" t="s">
        <v>152</v>
      </c>
      <c r="F147" s="168">
        <f>193360+150000+300000+1504+122160+1824+289960+50000+4384+2816+100000+171240+484680+100000+26320+704+183000+30000+752+656+36192</f>
        <v>2249552</v>
      </c>
      <c r="G147" s="169" t="s">
        <v>153</v>
      </c>
      <c r="H147" s="362"/>
      <c r="I147" s="362"/>
      <c r="J147" s="362"/>
      <c r="K147" s="362"/>
      <c r="L147" s="362"/>
      <c r="M147" s="362"/>
      <c r="N147" s="362"/>
      <c r="O147" s="362"/>
      <c r="P147" s="362"/>
      <c r="Q147" s="362"/>
      <c r="R147" s="362"/>
      <c r="S147" s="362"/>
      <c r="T147" s="362"/>
      <c r="U147" s="362"/>
      <c r="V147" s="362"/>
      <c r="W147" s="362"/>
      <c r="X147" s="362"/>
      <c r="Y147" s="362"/>
      <c r="Z147" s="362"/>
      <c r="AA147" s="362"/>
      <c r="AB147" s="362"/>
      <c r="AC147" s="362"/>
      <c r="AD147" s="362"/>
      <c r="AE147" s="362"/>
      <c r="AF147" s="362"/>
      <c r="AG147" s="362"/>
      <c r="AH147" s="362"/>
      <c r="AI147" s="362"/>
      <c r="AJ147" s="362"/>
      <c r="AK147" s="362"/>
      <c r="AL147" s="362"/>
      <c r="AM147" s="362"/>
      <c r="AN147" s="362"/>
      <c r="AO147" s="362"/>
      <c r="AP147" s="362"/>
      <c r="AQ147" s="362"/>
      <c r="AR147" s="362"/>
      <c r="AS147" s="362"/>
      <c r="AT147" s="362"/>
      <c r="AU147" s="362"/>
      <c r="AV147" s="362"/>
      <c r="AW147" s="362"/>
      <c r="AX147" s="362"/>
      <c r="AY147" s="362"/>
      <c r="AZ147" s="362"/>
      <c r="BA147" s="362"/>
      <c r="BB147" s="362"/>
      <c r="BC147" s="362"/>
      <c r="BD147" s="362"/>
      <c r="BE147" s="362"/>
      <c r="BF147" s="362"/>
      <c r="BG147" s="362"/>
      <c r="BH147" s="362"/>
      <c r="BI147" s="362"/>
      <c r="BJ147" s="362"/>
      <c r="BK147" s="362"/>
      <c r="BL147" s="362"/>
      <c r="BM147" s="362"/>
      <c r="BN147" s="362"/>
      <c r="BO147" s="362"/>
      <c r="BP147" s="362"/>
      <c r="BQ147" s="362"/>
      <c r="BR147" s="362"/>
      <c r="BS147" s="362"/>
      <c r="BT147" s="362"/>
    </row>
    <row r="148" spans="1:72" s="363" customFormat="1" ht="25.5" customHeight="1" x14ac:dyDescent="0.2">
      <c r="A148" s="170" t="s">
        <v>197</v>
      </c>
      <c r="B148" s="171" t="s">
        <v>198</v>
      </c>
      <c r="C148" s="166" t="s">
        <v>199</v>
      </c>
      <c r="D148" s="166" t="s">
        <v>200</v>
      </c>
      <c r="E148" s="172" t="s">
        <v>153</v>
      </c>
      <c r="F148" s="173" t="s">
        <v>153</v>
      </c>
      <c r="G148" s="174">
        <f>SUM(G150)</f>
        <v>2249552</v>
      </c>
      <c r="H148" s="362"/>
      <c r="I148" s="362"/>
      <c r="J148" s="362"/>
      <c r="K148" s="362"/>
      <c r="L148" s="362"/>
      <c r="M148" s="362"/>
      <c r="N148" s="362"/>
      <c r="O148" s="362"/>
      <c r="P148" s="362"/>
      <c r="Q148" s="362"/>
      <c r="R148" s="362"/>
      <c r="S148" s="362"/>
      <c r="T148" s="362"/>
      <c r="U148" s="362"/>
      <c r="V148" s="362"/>
      <c r="W148" s="362"/>
      <c r="X148" s="362"/>
      <c r="Y148" s="362"/>
      <c r="Z148" s="362"/>
      <c r="AA148" s="362"/>
      <c r="AB148" s="362"/>
      <c r="AC148" s="362"/>
      <c r="AD148" s="362"/>
      <c r="AE148" s="362"/>
      <c r="AF148" s="362"/>
      <c r="AG148" s="362"/>
      <c r="AH148" s="362"/>
      <c r="AI148" s="362"/>
      <c r="AJ148" s="362"/>
      <c r="AK148" s="362"/>
      <c r="AL148" s="362"/>
      <c r="AM148" s="362"/>
      <c r="AN148" s="362"/>
      <c r="AO148" s="362"/>
      <c r="AP148" s="362"/>
      <c r="AQ148" s="362"/>
      <c r="AR148" s="362"/>
      <c r="AS148" s="362"/>
      <c r="AT148" s="362"/>
      <c r="AU148" s="362"/>
      <c r="AV148" s="362"/>
      <c r="AW148" s="362"/>
      <c r="AX148" s="362"/>
      <c r="AY148" s="362"/>
      <c r="AZ148" s="362"/>
      <c r="BA148" s="362"/>
      <c r="BB148" s="362"/>
      <c r="BC148" s="362"/>
      <c r="BD148" s="362"/>
      <c r="BE148" s="362"/>
      <c r="BF148" s="362"/>
      <c r="BG148" s="362"/>
      <c r="BH148" s="362"/>
      <c r="BI148" s="362"/>
      <c r="BJ148" s="362"/>
      <c r="BK148" s="362"/>
      <c r="BL148" s="362"/>
      <c r="BM148" s="362"/>
      <c r="BN148" s="362"/>
      <c r="BO148" s="362"/>
      <c r="BP148" s="362"/>
      <c r="BQ148" s="362"/>
      <c r="BR148" s="362"/>
      <c r="BS148" s="362"/>
      <c r="BT148" s="362"/>
    </row>
    <row r="149" spans="1:72" s="363" customFormat="1" ht="10.5" customHeight="1" x14ac:dyDescent="0.2">
      <c r="A149" s="164"/>
      <c r="B149" s="175"/>
      <c r="C149" s="166"/>
      <c r="D149" s="166"/>
      <c r="E149" s="166"/>
      <c r="F149" s="176"/>
      <c r="G149" s="364"/>
      <c r="H149" s="362"/>
      <c r="I149" s="362"/>
      <c r="J149" s="362"/>
      <c r="K149" s="362"/>
      <c r="L149" s="362"/>
      <c r="M149" s="362"/>
      <c r="N149" s="362"/>
      <c r="O149" s="362"/>
      <c r="P149" s="362"/>
      <c r="Q149" s="362"/>
      <c r="R149" s="362"/>
      <c r="S149" s="362"/>
      <c r="T149" s="362"/>
      <c r="U149" s="362"/>
      <c r="V149" s="362"/>
      <c r="W149" s="362"/>
      <c r="X149" s="362"/>
      <c r="Y149" s="362"/>
      <c r="Z149" s="362"/>
      <c r="AA149" s="362"/>
      <c r="AB149" s="362"/>
      <c r="AC149" s="362"/>
      <c r="AD149" s="362"/>
      <c r="AE149" s="362"/>
      <c r="AF149" s="362"/>
      <c r="AG149" s="362"/>
      <c r="AH149" s="362"/>
      <c r="AI149" s="362"/>
      <c r="AJ149" s="362"/>
      <c r="AK149" s="362"/>
      <c r="AL149" s="362"/>
      <c r="AM149" s="362"/>
      <c r="AN149" s="362"/>
      <c r="AO149" s="362"/>
      <c r="AP149" s="362"/>
      <c r="AQ149" s="362"/>
      <c r="AR149" s="362"/>
      <c r="AS149" s="362"/>
      <c r="AT149" s="362"/>
      <c r="AU149" s="362"/>
      <c r="AV149" s="362"/>
      <c r="AW149" s="362"/>
      <c r="AX149" s="362"/>
      <c r="AY149" s="362"/>
      <c r="AZ149" s="362"/>
      <c r="BA149" s="362"/>
      <c r="BB149" s="362"/>
      <c r="BC149" s="362"/>
      <c r="BD149" s="362"/>
      <c r="BE149" s="362"/>
      <c r="BF149" s="362"/>
      <c r="BG149" s="362"/>
      <c r="BH149" s="362"/>
      <c r="BI149" s="362"/>
      <c r="BJ149" s="362"/>
      <c r="BK149" s="362"/>
      <c r="BL149" s="362"/>
      <c r="BM149" s="362"/>
      <c r="BN149" s="362"/>
      <c r="BO149" s="362"/>
      <c r="BP149" s="362"/>
      <c r="BQ149" s="362"/>
      <c r="BR149" s="362"/>
      <c r="BS149" s="362"/>
      <c r="BT149" s="362"/>
    </row>
    <row r="150" spans="1:72" s="363" customFormat="1" ht="15.75" customHeight="1" x14ac:dyDescent="0.2">
      <c r="A150" s="164"/>
      <c r="B150" s="365" t="s">
        <v>158</v>
      </c>
      <c r="C150" s="166"/>
      <c r="D150" s="166"/>
      <c r="E150" s="166"/>
      <c r="F150" s="176"/>
      <c r="G150" s="364">
        <f>SUM(G151:G153)</f>
        <v>2249552</v>
      </c>
      <c r="H150" s="362"/>
      <c r="I150" s="362"/>
      <c r="J150" s="362"/>
      <c r="K150" s="362"/>
      <c r="L150" s="362"/>
      <c r="M150" s="362"/>
      <c r="N150" s="362"/>
      <c r="O150" s="362"/>
      <c r="P150" s="362"/>
      <c r="Q150" s="362"/>
      <c r="R150" s="362"/>
      <c r="S150" s="362"/>
      <c r="T150" s="362"/>
      <c r="U150" s="362"/>
      <c r="V150" s="362"/>
      <c r="W150" s="362"/>
      <c r="X150" s="362"/>
      <c r="Y150" s="362"/>
      <c r="Z150" s="362"/>
      <c r="AA150" s="362"/>
      <c r="AB150" s="362"/>
      <c r="AC150" s="362"/>
      <c r="AD150" s="362"/>
      <c r="AE150" s="362"/>
      <c r="AF150" s="362"/>
      <c r="AG150" s="362"/>
      <c r="AH150" s="362"/>
      <c r="AI150" s="362"/>
      <c r="AJ150" s="362"/>
      <c r="AK150" s="362"/>
      <c r="AL150" s="362"/>
      <c r="AM150" s="362"/>
      <c r="AN150" s="362"/>
      <c r="AO150" s="362"/>
      <c r="AP150" s="362"/>
      <c r="AQ150" s="362"/>
      <c r="AR150" s="362"/>
      <c r="AS150" s="362"/>
      <c r="AT150" s="362"/>
      <c r="AU150" s="362"/>
      <c r="AV150" s="362"/>
      <c r="AW150" s="362"/>
      <c r="AX150" s="362"/>
      <c r="AY150" s="362"/>
      <c r="AZ150" s="362"/>
      <c r="BA150" s="362"/>
      <c r="BB150" s="362"/>
      <c r="BC150" s="362"/>
      <c r="BD150" s="362"/>
      <c r="BE150" s="362"/>
      <c r="BF150" s="362"/>
      <c r="BG150" s="362"/>
      <c r="BH150" s="362"/>
      <c r="BI150" s="362"/>
      <c r="BJ150" s="362"/>
      <c r="BK150" s="362"/>
      <c r="BL150" s="362"/>
      <c r="BM150" s="362"/>
      <c r="BN150" s="362"/>
      <c r="BO150" s="362"/>
      <c r="BP150" s="362"/>
      <c r="BQ150" s="362"/>
      <c r="BR150" s="362"/>
      <c r="BS150" s="362"/>
      <c r="BT150" s="362"/>
    </row>
    <row r="151" spans="1:72" s="363" customFormat="1" ht="15.75" customHeight="1" x14ac:dyDescent="0.2">
      <c r="A151" s="164"/>
      <c r="B151" s="165"/>
      <c r="C151" s="183"/>
      <c r="D151" s="166"/>
      <c r="E151" s="166" t="s">
        <v>201</v>
      </c>
      <c r="F151" s="176" t="s">
        <v>153</v>
      </c>
      <c r="G151" s="177">
        <f>1055480+50000+100000+655920+126320+30000+183000+35920</f>
        <v>2236640</v>
      </c>
      <c r="H151" s="362"/>
      <c r="I151" s="362"/>
      <c r="J151" s="362"/>
      <c r="K151" s="362"/>
      <c r="L151" s="362"/>
      <c r="M151" s="362"/>
      <c r="N151" s="362"/>
      <c r="O151" s="362"/>
      <c r="P151" s="362"/>
      <c r="Q151" s="362"/>
      <c r="R151" s="362"/>
      <c r="S151" s="362"/>
      <c r="T151" s="362"/>
      <c r="U151" s="362"/>
      <c r="V151" s="362"/>
      <c r="W151" s="362"/>
      <c r="X151" s="362"/>
      <c r="Y151" s="362"/>
      <c r="Z151" s="362"/>
      <c r="AA151" s="362"/>
      <c r="AB151" s="362"/>
      <c r="AC151" s="362"/>
      <c r="AD151" s="362"/>
      <c r="AE151" s="362"/>
      <c r="AF151" s="362"/>
      <c r="AG151" s="362"/>
      <c r="AH151" s="362"/>
      <c r="AI151" s="362"/>
      <c r="AJ151" s="362"/>
      <c r="AK151" s="362"/>
      <c r="AL151" s="362"/>
      <c r="AM151" s="362"/>
      <c r="AN151" s="362"/>
      <c r="AO151" s="362"/>
      <c r="AP151" s="362"/>
      <c r="AQ151" s="362"/>
      <c r="AR151" s="362"/>
      <c r="AS151" s="362"/>
      <c r="AT151" s="362"/>
      <c r="AU151" s="362"/>
      <c r="AV151" s="362"/>
      <c r="AW151" s="362"/>
      <c r="AX151" s="362"/>
      <c r="AY151" s="362"/>
      <c r="AZ151" s="362"/>
      <c r="BA151" s="362"/>
      <c r="BB151" s="362"/>
      <c r="BC151" s="362"/>
      <c r="BD151" s="362"/>
      <c r="BE151" s="362"/>
      <c r="BF151" s="362"/>
      <c r="BG151" s="362"/>
      <c r="BH151" s="362"/>
      <c r="BI151" s="362"/>
      <c r="BJ151" s="362"/>
      <c r="BK151" s="362"/>
      <c r="BL151" s="362"/>
      <c r="BM151" s="362"/>
      <c r="BN151" s="362"/>
      <c r="BO151" s="362"/>
      <c r="BP151" s="362"/>
      <c r="BQ151" s="362"/>
      <c r="BR151" s="362"/>
      <c r="BS151" s="362"/>
      <c r="BT151" s="362"/>
    </row>
    <row r="152" spans="1:72" s="363" customFormat="1" ht="15.75" customHeight="1" x14ac:dyDescent="0.2">
      <c r="A152" s="164"/>
      <c r="B152" s="165"/>
      <c r="C152" s="183"/>
      <c r="D152" s="166"/>
      <c r="E152" s="166" t="s">
        <v>165</v>
      </c>
      <c r="F152" s="176" t="s">
        <v>153</v>
      </c>
      <c r="G152" s="185">
        <f>2774+3656+2348+587+628+547+227</f>
        <v>10767</v>
      </c>
      <c r="H152" s="362"/>
      <c r="I152" s="362"/>
      <c r="J152" s="362"/>
      <c r="K152" s="362"/>
      <c r="L152" s="362"/>
      <c r="M152" s="362"/>
      <c r="N152" s="362"/>
      <c r="O152" s="362"/>
      <c r="P152" s="362"/>
      <c r="Q152" s="362"/>
      <c r="R152" s="362"/>
      <c r="S152" s="362"/>
      <c r="T152" s="362"/>
      <c r="U152" s="362"/>
      <c r="V152" s="362"/>
      <c r="W152" s="362"/>
      <c r="X152" s="362"/>
      <c r="Y152" s="362"/>
      <c r="Z152" s="362"/>
      <c r="AA152" s="362"/>
      <c r="AB152" s="362"/>
      <c r="AC152" s="362"/>
      <c r="AD152" s="362"/>
      <c r="AE152" s="362"/>
      <c r="AF152" s="362"/>
      <c r="AG152" s="362"/>
      <c r="AH152" s="362"/>
      <c r="AI152" s="362"/>
      <c r="AJ152" s="362"/>
      <c r="AK152" s="362"/>
      <c r="AL152" s="362"/>
      <c r="AM152" s="362"/>
      <c r="AN152" s="362"/>
      <c r="AO152" s="362"/>
      <c r="AP152" s="362"/>
      <c r="AQ152" s="362"/>
      <c r="AR152" s="362"/>
      <c r="AS152" s="362"/>
      <c r="AT152" s="362"/>
      <c r="AU152" s="362"/>
      <c r="AV152" s="362"/>
      <c r="AW152" s="362"/>
      <c r="AX152" s="362"/>
      <c r="AY152" s="362"/>
      <c r="AZ152" s="362"/>
      <c r="BA152" s="362"/>
      <c r="BB152" s="362"/>
      <c r="BC152" s="362"/>
      <c r="BD152" s="362"/>
      <c r="BE152" s="362"/>
      <c r="BF152" s="362"/>
      <c r="BG152" s="362"/>
      <c r="BH152" s="362"/>
      <c r="BI152" s="362"/>
      <c r="BJ152" s="362"/>
      <c r="BK152" s="362"/>
      <c r="BL152" s="362"/>
      <c r="BM152" s="362"/>
      <c r="BN152" s="362"/>
      <c r="BO152" s="362"/>
      <c r="BP152" s="362"/>
      <c r="BQ152" s="362"/>
      <c r="BR152" s="362"/>
      <c r="BS152" s="362"/>
      <c r="BT152" s="362"/>
    </row>
    <row r="153" spans="1:72" s="363" customFormat="1" ht="15.75" customHeight="1" x14ac:dyDescent="0.2">
      <c r="A153" s="164"/>
      <c r="B153" s="165"/>
      <c r="C153" s="183"/>
      <c r="D153" s="166"/>
      <c r="E153" s="166" t="s">
        <v>166</v>
      </c>
      <c r="F153" s="176" t="s">
        <v>153</v>
      </c>
      <c r="G153" s="177">
        <f>485+69+728+468+117+124+109+45</f>
        <v>2145</v>
      </c>
      <c r="H153" s="362"/>
      <c r="I153" s="362"/>
      <c r="J153" s="362"/>
      <c r="K153" s="362"/>
      <c r="L153" s="362"/>
      <c r="M153" s="362"/>
      <c r="N153" s="362"/>
      <c r="O153" s="362"/>
      <c r="P153" s="362"/>
      <c r="Q153" s="362"/>
      <c r="R153" s="362"/>
      <c r="S153" s="362"/>
      <c r="T153" s="362"/>
      <c r="U153" s="362"/>
      <c r="V153" s="362"/>
      <c r="W153" s="362"/>
      <c r="X153" s="362"/>
      <c r="Y153" s="362"/>
      <c r="Z153" s="362"/>
      <c r="AA153" s="362"/>
      <c r="AB153" s="362"/>
      <c r="AC153" s="362"/>
      <c r="AD153" s="362"/>
      <c r="AE153" s="362"/>
      <c r="AF153" s="362"/>
      <c r="AG153" s="362"/>
      <c r="AH153" s="362"/>
      <c r="AI153" s="362"/>
      <c r="AJ153" s="362"/>
      <c r="AK153" s="362"/>
      <c r="AL153" s="362"/>
      <c r="AM153" s="362"/>
      <c r="AN153" s="362"/>
      <c r="AO153" s="362"/>
      <c r="AP153" s="362"/>
      <c r="AQ153" s="362"/>
      <c r="AR153" s="362"/>
      <c r="AS153" s="362"/>
      <c r="AT153" s="362"/>
      <c r="AU153" s="362"/>
      <c r="AV153" s="362"/>
      <c r="AW153" s="362"/>
      <c r="AX153" s="362"/>
      <c r="AY153" s="362"/>
      <c r="AZ153" s="362"/>
      <c r="BA153" s="362"/>
      <c r="BB153" s="362"/>
      <c r="BC153" s="362"/>
      <c r="BD153" s="362"/>
      <c r="BE153" s="362"/>
      <c r="BF153" s="362"/>
      <c r="BG153" s="362"/>
      <c r="BH153" s="362"/>
      <c r="BI153" s="362"/>
      <c r="BJ153" s="362"/>
      <c r="BK153" s="362"/>
      <c r="BL153" s="362"/>
      <c r="BM153" s="362"/>
      <c r="BN153" s="362"/>
      <c r="BO153" s="362"/>
      <c r="BP153" s="362"/>
      <c r="BQ153" s="362"/>
      <c r="BR153" s="362"/>
      <c r="BS153" s="362"/>
      <c r="BT153" s="362"/>
    </row>
    <row r="154" spans="1:72" s="363" customFormat="1" ht="11.25" customHeight="1" x14ac:dyDescent="0.2">
      <c r="A154" s="178"/>
      <c r="B154" s="179"/>
      <c r="C154" s="180"/>
      <c r="D154" s="167"/>
      <c r="E154" s="167"/>
      <c r="F154" s="169"/>
      <c r="G154" s="181"/>
      <c r="H154" s="362"/>
      <c r="I154" s="362"/>
      <c r="J154" s="362"/>
      <c r="K154" s="362"/>
      <c r="L154" s="362"/>
      <c r="M154" s="362"/>
      <c r="N154" s="362"/>
      <c r="O154" s="362"/>
      <c r="P154" s="362"/>
      <c r="Q154" s="362"/>
      <c r="R154" s="362"/>
      <c r="S154" s="362"/>
      <c r="T154" s="362"/>
      <c r="U154" s="362"/>
      <c r="V154" s="362"/>
      <c r="W154" s="362"/>
      <c r="X154" s="362"/>
      <c r="Y154" s="362"/>
      <c r="Z154" s="362"/>
      <c r="AA154" s="362"/>
      <c r="AB154" s="362"/>
      <c r="AC154" s="362"/>
      <c r="AD154" s="362"/>
      <c r="AE154" s="362"/>
      <c r="AF154" s="362"/>
      <c r="AG154" s="362"/>
      <c r="AH154" s="362"/>
      <c r="AI154" s="362"/>
      <c r="AJ154" s="362"/>
      <c r="AK154" s="362"/>
      <c r="AL154" s="362"/>
      <c r="AM154" s="362"/>
      <c r="AN154" s="362"/>
      <c r="AO154" s="362"/>
      <c r="AP154" s="362"/>
      <c r="AQ154" s="362"/>
      <c r="AR154" s="362"/>
      <c r="AS154" s="362"/>
      <c r="AT154" s="362"/>
      <c r="AU154" s="362"/>
      <c r="AV154" s="362"/>
      <c r="AW154" s="362"/>
      <c r="AX154" s="362"/>
      <c r="AY154" s="362"/>
      <c r="AZ154" s="362"/>
      <c r="BA154" s="362"/>
      <c r="BB154" s="362"/>
      <c r="BC154" s="362"/>
      <c r="BD154" s="362"/>
      <c r="BE154" s="362"/>
      <c r="BF154" s="362"/>
      <c r="BG154" s="362"/>
      <c r="BH154" s="362"/>
      <c r="BI154" s="362"/>
      <c r="BJ154" s="362"/>
      <c r="BK154" s="362"/>
      <c r="BL154" s="362"/>
      <c r="BM154" s="362"/>
      <c r="BN154" s="362"/>
      <c r="BO154" s="362"/>
      <c r="BP154" s="362"/>
      <c r="BQ154" s="362"/>
      <c r="BR154" s="362"/>
      <c r="BS154" s="362"/>
      <c r="BT154" s="362"/>
    </row>
    <row r="155" spans="1:72" s="363" customFormat="1" ht="15.75" customHeight="1" x14ac:dyDescent="0.2">
      <c r="A155" s="164"/>
      <c r="B155" s="165"/>
      <c r="C155" s="166"/>
      <c r="D155" s="166"/>
      <c r="E155" s="167" t="s">
        <v>152</v>
      </c>
      <c r="F155" s="168">
        <f>195780+264660+288000+244500+215100+228420+243810+234330</f>
        <v>1914600</v>
      </c>
      <c r="G155" s="169" t="s">
        <v>153</v>
      </c>
      <c r="H155" s="362"/>
      <c r="I155" s="362"/>
      <c r="J155" s="362"/>
      <c r="K155" s="362"/>
      <c r="L155" s="362"/>
      <c r="M155" s="362"/>
      <c r="N155" s="362"/>
      <c r="O155" s="362"/>
      <c r="P155" s="362"/>
      <c r="Q155" s="362"/>
      <c r="R155" s="362"/>
      <c r="S155" s="362"/>
      <c r="T155" s="362"/>
      <c r="U155" s="362"/>
      <c r="V155" s="362"/>
      <c r="W155" s="362"/>
      <c r="X155" s="362"/>
      <c r="Y155" s="362"/>
      <c r="Z155" s="362"/>
      <c r="AA155" s="362"/>
      <c r="AB155" s="362"/>
      <c r="AC155" s="362"/>
      <c r="AD155" s="362"/>
      <c r="AE155" s="362"/>
      <c r="AF155" s="362"/>
      <c r="AG155" s="362"/>
      <c r="AH155" s="362"/>
      <c r="AI155" s="362"/>
      <c r="AJ155" s="362"/>
      <c r="AK155" s="362"/>
      <c r="AL155" s="362"/>
      <c r="AM155" s="362"/>
      <c r="AN155" s="362"/>
      <c r="AO155" s="362"/>
      <c r="AP155" s="362"/>
      <c r="AQ155" s="362"/>
      <c r="AR155" s="362"/>
      <c r="AS155" s="362"/>
      <c r="AT155" s="362"/>
      <c r="AU155" s="362"/>
      <c r="AV155" s="362"/>
      <c r="AW155" s="362"/>
      <c r="AX155" s="362"/>
      <c r="AY155" s="362"/>
      <c r="AZ155" s="362"/>
      <c r="BA155" s="362"/>
      <c r="BB155" s="362"/>
      <c r="BC155" s="362"/>
      <c r="BD155" s="362"/>
      <c r="BE155" s="362"/>
      <c r="BF155" s="362"/>
      <c r="BG155" s="362"/>
      <c r="BH155" s="362"/>
      <c r="BI155" s="362"/>
      <c r="BJ155" s="362"/>
      <c r="BK155" s="362"/>
      <c r="BL155" s="362"/>
      <c r="BM155" s="362"/>
      <c r="BN155" s="362"/>
      <c r="BO155" s="362"/>
      <c r="BP155" s="362"/>
      <c r="BQ155" s="362"/>
      <c r="BR155" s="362"/>
      <c r="BS155" s="362"/>
      <c r="BT155" s="362"/>
    </row>
    <row r="156" spans="1:72" s="363" customFormat="1" ht="23.25" customHeight="1" x14ac:dyDescent="0.2">
      <c r="A156" s="170" t="s">
        <v>202</v>
      </c>
      <c r="B156" s="171" t="s">
        <v>203</v>
      </c>
      <c r="C156" s="166" t="s">
        <v>199</v>
      </c>
      <c r="D156" s="166" t="s">
        <v>200</v>
      </c>
      <c r="E156" s="172" t="s">
        <v>153</v>
      </c>
      <c r="F156" s="173" t="s">
        <v>153</v>
      </c>
      <c r="G156" s="174">
        <f>SUM(G158,G161,G166)</f>
        <v>1914599.9999999995</v>
      </c>
      <c r="H156" s="362"/>
      <c r="I156" s="362"/>
      <c r="J156" s="362"/>
      <c r="K156" s="362"/>
      <c r="L156" s="362"/>
      <c r="M156" s="362"/>
      <c r="N156" s="362"/>
      <c r="O156" s="362"/>
      <c r="P156" s="362"/>
      <c r="Q156" s="362"/>
      <c r="R156" s="362"/>
      <c r="S156" s="362"/>
      <c r="T156" s="362"/>
      <c r="U156" s="362"/>
      <c r="V156" s="362"/>
      <c r="W156" s="362"/>
      <c r="X156" s="362"/>
      <c r="Y156" s="362"/>
      <c r="Z156" s="362"/>
      <c r="AA156" s="362"/>
      <c r="AB156" s="362"/>
      <c r="AC156" s="362"/>
      <c r="AD156" s="362"/>
      <c r="AE156" s="362"/>
      <c r="AF156" s="362"/>
      <c r="AG156" s="362"/>
      <c r="AH156" s="362"/>
      <c r="AI156" s="362"/>
      <c r="AJ156" s="362"/>
      <c r="AK156" s="362"/>
      <c r="AL156" s="362"/>
      <c r="AM156" s="362"/>
      <c r="AN156" s="362"/>
      <c r="AO156" s="362"/>
      <c r="AP156" s="362"/>
      <c r="AQ156" s="362"/>
      <c r="AR156" s="362"/>
      <c r="AS156" s="362"/>
      <c r="AT156" s="362"/>
      <c r="AU156" s="362"/>
      <c r="AV156" s="362"/>
      <c r="AW156" s="362"/>
      <c r="AX156" s="362"/>
      <c r="AY156" s="362"/>
      <c r="AZ156" s="362"/>
      <c r="BA156" s="362"/>
      <c r="BB156" s="362"/>
      <c r="BC156" s="362"/>
      <c r="BD156" s="362"/>
      <c r="BE156" s="362"/>
      <c r="BF156" s="362"/>
      <c r="BG156" s="362"/>
      <c r="BH156" s="362"/>
      <c r="BI156" s="362"/>
      <c r="BJ156" s="362"/>
      <c r="BK156" s="362"/>
      <c r="BL156" s="362"/>
      <c r="BM156" s="362"/>
      <c r="BN156" s="362"/>
      <c r="BO156" s="362"/>
      <c r="BP156" s="362"/>
      <c r="BQ156" s="362"/>
      <c r="BR156" s="362"/>
      <c r="BS156" s="362"/>
      <c r="BT156" s="362"/>
    </row>
    <row r="157" spans="1:72" s="363" customFormat="1" ht="9.75" customHeight="1" x14ac:dyDescent="0.2">
      <c r="A157" s="164"/>
      <c r="B157" s="175"/>
      <c r="C157" s="166"/>
      <c r="D157" s="166"/>
      <c r="E157" s="166"/>
      <c r="F157" s="176"/>
      <c r="G157" s="364"/>
      <c r="H157" s="362"/>
      <c r="I157" s="362"/>
      <c r="J157" s="362"/>
      <c r="K157" s="362"/>
      <c r="L157" s="362"/>
      <c r="M157" s="362"/>
      <c r="N157" s="362"/>
      <c r="O157" s="362"/>
      <c r="P157" s="362"/>
      <c r="Q157" s="362"/>
      <c r="R157" s="362"/>
      <c r="S157" s="362"/>
      <c r="T157" s="362"/>
      <c r="U157" s="362"/>
      <c r="V157" s="362"/>
      <c r="W157" s="362"/>
      <c r="X157" s="362"/>
      <c r="Y157" s="362"/>
      <c r="Z157" s="362"/>
      <c r="AA157" s="362"/>
      <c r="AB157" s="362"/>
      <c r="AC157" s="362"/>
      <c r="AD157" s="362"/>
      <c r="AE157" s="362"/>
      <c r="AF157" s="362"/>
      <c r="AG157" s="362"/>
      <c r="AH157" s="362"/>
      <c r="AI157" s="362"/>
      <c r="AJ157" s="362"/>
      <c r="AK157" s="362"/>
      <c r="AL157" s="362"/>
      <c r="AM157" s="362"/>
      <c r="AN157" s="362"/>
      <c r="AO157" s="362"/>
      <c r="AP157" s="362"/>
      <c r="AQ157" s="362"/>
      <c r="AR157" s="362"/>
      <c r="AS157" s="362"/>
      <c r="AT157" s="362"/>
      <c r="AU157" s="362"/>
      <c r="AV157" s="362"/>
      <c r="AW157" s="362"/>
      <c r="AX157" s="362"/>
      <c r="AY157" s="362"/>
      <c r="AZ157" s="362"/>
      <c r="BA157" s="362"/>
      <c r="BB157" s="362"/>
      <c r="BC157" s="362"/>
      <c r="BD157" s="362"/>
      <c r="BE157" s="362"/>
      <c r="BF157" s="362"/>
      <c r="BG157" s="362"/>
      <c r="BH157" s="362"/>
      <c r="BI157" s="362"/>
      <c r="BJ157" s="362"/>
      <c r="BK157" s="362"/>
      <c r="BL157" s="362"/>
      <c r="BM157" s="362"/>
      <c r="BN157" s="362"/>
      <c r="BO157" s="362"/>
      <c r="BP157" s="362"/>
      <c r="BQ157" s="362"/>
      <c r="BR157" s="362"/>
      <c r="BS157" s="362"/>
      <c r="BT157" s="362"/>
    </row>
    <row r="158" spans="1:72" s="363" customFormat="1" ht="25.5" customHeight="1" x14ac:dyDescent="0.2">
      <c r="A158" s="164"/>
      <c r="B158" s="366" t="s">
        <v>204</v>
      </c>
      <c r="C158" s="166"/>
      <c r="D158" s="166"/>
      <c r="E158" s="166"/>
      <c r="F158" s="176"/>
      <c r="G158" s="364">
        <f>SUM(G159:G159)</f>
        <v>1641987.1399999997</v>
      </c>
      <c r="H158" s="362"/>
      <c r="I158" s="362"/>
      <c r="J158" s="362"/>
      <c r="K158" s="362"/>
      <c r="L158" s="362"/>
      <c r="M158" s="362"/>
      <c r="N158" s="362"/>
      <c r="O158" s="362"/>
      <c r="P158" s="362"/>
      <c r="Q158" s="362"/>
      <c r="R158" s="362"/>
      <c r="S158" s="362"/>
      <c r="T158" s="362"/>
      <c r="U158" s="362"/>
      <c r="V158" s="362"/>
      <c r="W158" s="362"/>
      <c r="X158" s="362"/>
      <c r="Y158" s="362"/>
      <c r="Z158" s="362"/>
      <c r="AA158" s="362"/>
      <c r="AB158" s="362"/>
      <c r="AC158" s="362"/>
      <c r="AD158" s="362"/>
      <c r="AE158" s="362"/>
      <c r="AF158" s="362"/>
      <c r="AG158" s="362"/>
      <c r="AH158" s="362"/>
      <c r="AI158" s="362"/>
      <c r="AJ158" s="362"/>
      <c r="AK158" s="362"/>
      <c r="AL158" s="362"/>
      <c r="AM158" s="362"/>
      <c r="AN158" s="362"/>
      <c r="AO158" s="362"/>
      <c r="AP158" s="362"/>
      <c r="AQ158" s="362"/>
      <c r="AR158" s="362"/>
      <c r="AS158" s="362"/>
      <c r="AT158" s="362"/>
      <c r="AU158" s="362"/>
      <c r="AV158" s="362"/>
      <c r="AW158" s="362"/>
      <c r="AX158" s="362"/>
      <c r="AY158" s="362"/>
      <c r="AZ158" s="362"/>
      <c r="BA158" s="362"/>
      <c r="BB158" s="362"/>
      <c r="BC158" s="362"/>
      <c r="BD158" s="362"/>
      <c r="BE158" s="362"/>
      <c r="BF158" s="362"/>
      <c r="BG158" s="362"/>
      <c r="BH158" s="362"/>
      <c r="BI158" s="362"/>
      <c r="BJ158" s="362"/>
      <c r="BK158" s="362"/>
      <c r="BL158" s="362"/>
      <c r="BM158" s="362"/>
      <c r="BN158" s="362"/>
      <c r="BO158" s="362"/>
      <c r="BP158" s="362"/>
      <c r="BQ158" s="362"/>
      <c r="BR158" s="362"/>
      <c r="BS158" s="362"/>
      <c r="BT158" s="362"/>
    </row>
    <row r="159" spans="1:72" s="363" customFormat="1" ht="15.75" customHeight="1" x14ac:dyDescent="0.2">
      <c r="A159" s="164"/>
      <c r="B159" s="165"/>
      <c r="C159" s="183"/>
      <c r="D159" s="166"/>
      <c r="E159" s="166" t="s">
        <v>160</v>
      </c>
      <c r="F159" s="176" t="s">
        <v>153</v>
      </c>
      <c r="G159" s="177">
        <f>288000+431742.16-40114.41+244500-23763.41-31053.45-20867.56-30006.56+443520+243810-41732.85+234330-56376.78</f>
        <v>1641987.1399999997</v>
      </c>
      <c r="H159" s="362"/>
      <c r="I159" s="362"/>
      <c r="J159" s="362"/>
      <c r="K159" s="362"/>
      <c r="L159" s="362"/>
      <c r="M159" s="362"/>
      <c r="N159" s="362"/>
      <c r="O159" s="362"/>
      <c r="P159" s="362"/>
      <c r="Q159" s="362"/>
      <c r="R159" s="362"/>
      <c r="S159" s="362"/>
      <c r="T159" s="362"/>
      <c r="U159" s="362"/>
      <c r="V159" s="362"/>
      <c r="W159" s="362"/>
      <c r="X159" s="362"/>
      <c r="Y159" s="362"/>
      <c r="Z159" s="362"/>
      <c r="AA159" s="362"/>
      <c r="AB159" s="362"/>
      <c r="AC159" s="362"/>
      <c r="AD159" s="362"/>
      <c r="AE159" s="362"/>
      <c r="AF159" s="362"/>
      <c r="AG159" s="362"/>
      <c r="AH159" s="362"/>
      <c r="AI159" s="362"/>
      <c r="AJ159" s="362"/>
      <c r="AK159" s="362"/>
      <c r="AL159" s="362"/>
      <c r="AM159" s="362"/>
      <c r="AN159" s="362"/>
      <c r="AO159" s="362"/>
      <c r="AP159" s="362"/>
      <c r="AQ159" s="362"/>
      <c r="AR159" s="362"/>
      <c r="AS159" s="362"/>
      <c r="AT159" s="362"/>
      <c r="AU159" s="362"/>
      <c r="AV159" s="362"/>
      <c r="AW159" s="362"/>
      <c r="AX159" s="362"/>
      <c r="AY159" s="362"/>
      <c r="AZ159" s="362"/>
      <c r="BA159" s="362"/>
      <c r="BB159" s="362"/>
      <c r="BC159" s="362"/>
      <c r="BD159" s="362"/>
      <c r="BE159" s="362"/>
      <c r="BF159" s="362"/>
      <c r="BG159" s="362"/>
      <c r="BH159" s="362"/>
      <c r="BI159" s="362"/>
      <c r="BJ159" s="362"/>
      <c r="BK159" s="362"/>
      <c r="BL159" s="362"/>
      <c r="BM159" s="362"/>
      <c r="BN159" s="362"/>
      <c r="BO159" s="362"/>
      <c r="BP159" s="362"/>
      <c r="BQ159" s="362"/>
      <c r="BR159" s="362"/>
      <c r="BS159" s="362"/>
      <c r="BT159" s="362"/>
    </row>
    <row r="160" spans="1:72" s="363" customFormat="1" ht="7.5" customHeight="1" x14ac:dyDescent="0.2">
      <c r="A160" s="178"/>
      <c r="B160" s="179"/>
      <c r="C160" s="180"/>
      <c r="D160" s="167"/>
      <c r="E160" s="167"/>
      <c r="F160" s="169"/>
      <c r="G160" s="181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62"/>
      <c r="S160" s="362"/>
      <c r="T160" s="362"/>
      <c r="U160" s="362"/>
      <c r="V160" s="362"/>
      <c r="W160" s="362"/>
      <c r="X160" s="362"/>
      <c r="Y160" s="362"/>
      <c r="Z160" s="362"/>
      <c r="AA160" s="362"/>
      <c r="AB160" s="362"/>
      <c r="AC160" s="362"/>
      <c r="AD160" s="362"/>
      <c r="AE160" s="362"/>
      <c r="AF160" s="362"/>
      <c r="AG160" s="362"/>
      <c r="AH160" s="362"/>
      <c r="AI160" s="362"/>
      <c r="AJ160" s="362"/>
      <c r="AK160" s="362"/>
      <c r="AL160" s="362"/>
      <c r="AM160" s="362"/>
      <c r="AN160" s="362"/>
      <c r="AO160" s="362"/>
      <c r="AP160" s="362"/>
      <c r="AQ160" s="362"/>
      <c r="AR160" s="362"/>
      <c r="AS160" s="362"/>
      <c r="AT160" s="362"/>
      <c r="AU160" s="362"/>
      <c r="AV160" s="362"/>
      <c r="AW160" s="362"/>
      <c r="AX160" s="362"/>
      <c r="AY160" s="362"/>
      <c r="AZ160" s="362"/>
      <c r="BA160" s="362"/>
      <c r="BB160" s="362"/>
      <c r="BC160" s="362"/>
      <c r="BD160" s="362"/>
      <c r="BE160" s="362"/>
      <c r="BF160" s="362"/>
      <c r="BG160" s="362"/>
      <c r="BH160" s="362"/>
      <c r="BI160" s="362"/>
      <c r="BJ160" s="362"/>
      <c r="BK160" s="362"/>
      <c r="BL160" s="362"/>
      <c r="BM160" s="362"/>
      <c r="BN160" s="362"/>
      <c r="BO160" s="362"/>
      <c r="BP160" s="362"/>
      <c r="BQ160" s="362"/>
      <c r="BR160" s="362"/>
      <c r="BS160" s="362"/>
      <c r="BT160" s="362"/>
    </row>
    <row r="161" spans="1:72" s="363" customFormat="1" ht="19.5" customHeight="1" x14ac:dyDescent="0.2">
      <c r="A161" s="164"/>
      <c r="B161" s="365" t="s">
        <v>205</v>
      </c>
      <c r="C161" s="166"/>
      <c r="D161" s="166"/>
      <c r="E161" s="166"/>
      <c r="F161" s="176"/>
      <c r="G161" s="364">
        <f>SUM(G162:G164)</f>
        <v>272299.17</v>
      </c>
      <c r="H161" s="362"/>
      <c r="I161" s="362"/>
      <c r="J161" s="362"/>
      <c r="K161" s="362"/>
      <c r="L161" s="362"/>
      <c r="M161" s="362"/>
      <c r="N161" s="362"/>
      <c r="O161" s="362"/>
      <c r="P161" s="362"/>
      <c r="Q161" s="362"/>
      <c r="R161" s="362"/>
      <c r="S161" s="362"/>
      <c r="T161" s="362"/>
      <c r="U161" s="362"/>
      <c r="V161" s="362"/>
      <c r="W161" s="362"/>
      <c r="X161" s="362"/>
      <c r="Y161" s="362"/>
      <c r="Z161" s="362"/>
      <c r="AA161" s="362"/>
      <c r="AB161" s="362"/>
      <c r="AC161" s="362"/>
      <c r="AD161" s="362"/>
      <c r="AE161" s="362"/>
      <c r="AF161" s="362"/>
      <c r="AG161" s="362"/>
      <c r="AH161" s="362"/>
      <c r="AI161" s="362"/>
      <c r="AJ161" s="362"/>
      <c r="AK161" s="362"/>
      <c r="AL161" s="362"/>
      <c r="AM161" s="362"/>
      <c r="AN161" s="362"/>
      <c r="AO161" s="362"/>
      <c r="AP161" s="362"/>
      <c r="AQ161" s="362"/>
      <c r="AR161" s="362"/>
      <c r="AS161" s="362"/>
      <c r="AT161" s="362"/>
      <c r="AU161" s="362"/>
      <c r="AV161" s="362"/>
      <c r="AW161" s="362"/>
      <c r="AX161" s="362"/>
      <c r="AY161" s="362"/>
      <c r="AZ161" s="362"/>
      <c r="BA161" s="362"/>
      <c r="BB161" s="362"/>
      <c r="BC161" s="362"/>
      <c r="BD161" s="362"/>
      <c r="BE161" s="362"/>
      <c r="BF161" s="362"/>
      <c r="BG161" s="362"/>
      <c r="BH161" s="362"/>
      <c r="BI161" s="362"/>
      <c r="BJ161" s="362"/>
      <c r="BK161" s="362"/>
      <c r="BL161" s="362"/>
      <c r="BM161" s="362"/>
      <c r="BN161" s="362"/>
      <c r="BO161" s="362"/>
      <c r="BP161" s="362"/>
      <c r="BQ161" s="362"/>
      <c r="BR161" s="362"/>
      <c r="BS161" s="362"/>
      <c r="BT161" s="362"/>
    </row>
    <row r="162" spans="1:72" s="363" customFormat="1" ht="15.75" customHeight="1" x14ac:dyDescent="0.2">
      <c r="A162" s="164"/>
      <c r="B162" s="365"/>
      <c r="C162" s="183"/>
      <c r="D162" s="166"/>
      <c r="E162" s="166" t="s">
        <v>178</v>
      </c>
      <c r="F162" s="176" t="s">
        <v>153</v>
      </c>
      <c r="G162" s="177">
        <v>386.17</v>
      </c>
      <c r="H162" s="362"/>
      <c r="I162" s="362"/>
      <c r="J162" s="362"/>
      <c r="K162" s="362"/>
      <c r="L162" s="362"/>
      <c r="M162" s="362"/>
      <c r="N162" s="362"/>
      <c r="O162" s="362"/>
      <c r="P162" s="362"/>
      <c r="Q162" s="362"/>
      <c r="R162" s="362"/>
      <c r="S162" s="362"/>
      <c r="T162" s="362"/>
      <c r="U162" s="362"/>
      <c r="V162" s="362"/>
      <c r="W162" s="362"/>
      <c r="X162" s="362"/>
      <c r="Y162" s="362"/>
      <c r="Z162" s="362"/>
      <c r="AA162" s="362"/>
      <c r="AB162" s="362"/>
      <c r="AC162" s="362"/>
      <c r="AD162" s="362"/>
      <c r="AE162" s="362"/>
      <c r="AF162" s="362"/>
      <c r="AG162" s="362"/>
      <c r="AH162" s="362"/>
      <c r="AI162" s="362"/>
      <c r="AJ162" s="362"/>
      <c r="AK162" s="362"/>
      <c r="AL162" s="362"/>
      <c r="AM162" s="362"/>
      <c r="AN162" s="362"/>
      <c r="AO162" s="362"/>
      <c r="AP162" s="362"/>
      <c r="AQ162" s="362"/>
      <c r="AR162" s="362"/>
      <c r="AS162" s="362"/>
      <c r="AT162" s="362"/>
      <c r="AU162" s="362"/>
      <c r="AV162" s="362"/>
      <c r="AW162" s="362"/>
      <c r="AX162" s="362"/>
      <c r="AY162" s="362"/>
      <c r="AZ162" s="362"/>
      <c r="BA162" s="362"/>
      <c r="BB162" s="362"/>
      <c r="BC162" s="362"/>
      <c r="BD162" s="362"/>
      <c r="BE162" s="362"/>
      <c r="BF162" s="362"/>
      <c r="BG162" s="362"/>
      <c r="BH162" s="362"/>
      <c r="BI162" s="362"/>
      <c r="BJ162" s="362"/>
      <c r="BK162" s="362"/>
      <c r="BL162" s="362"/>
      <c r="BM162" s="362"/>
      <c r="BN162" s="362"/>
      <c r="BO162" s="362"/>
      <c r="BP162" s="362"/>
      <c r="BQ162" s="362"/>
      <c r="BR162" s="362"/>
      <c r="BS162" s="362"/>
      <c r="BT162" s="362"/>
    </row>
    <row r="163" spans="1:72" s="363" customFormat="1" ht="15.75" customHeight="1" x14ac:dyDescent="0.2">
      <c r="A163" s="164"/>
      <c r="B163" s="165"/>
      <c r="C163" s="183"/>
      <c r="D163" s="166"/>
      <c r="E163" s="166" t="s">
        <v>160</v>
      </c>
      <c r="F163" s="176" t="s">
        <v>153</v>
      </c>
      <c r="G163" s="177">
        <f>2056.23+12473.87+3535.72+7349.78+3282.57+3054.8+3151.89+3147.69</f>
        <v>38052.550000000003</v>
      </c>
      <c r="H163" s="362"/>
      <c r="I163" s="362"/>
      <c r="J163" s="362"/>
      <c r="K163" s="362"/>
      <c r="L163" s="362"/>
      <c r="M163" s="362"/>
      <c r="N163" s="362"/>
      <c r="O163" s="362"/>
      <c r="P163" s="362"/>
      <c r="Q163" s="362"/>
      <c r="R163" s="362"/>
      <c r="S163" s="362"/>
      <c r="T163" s="362"/>
      <c r="U163" s="362"/>
      <c r="V163" s="362"/>
      <c r="W163" s="362"/>
      <c r="X163" s="362"/>
      <c r="Y163" s="362"/>
      <c r="Z163" s="362"/>
      <c r="AA163" s="362"/>
      <c r="AB163" s="362"/>
      <c r="AC163" s="362"/>
      <c r="AD163" s="362"/>
      <c r="AE163" s="362"/>
      <c r="AF163" s="362"/>
      <c r="AG163" s="362"/>
      <c r="AH163" s="362"/>
      <c r="AI163" s="362"/>
      <c r="AJ163" s="362"/>
      <c r="AK163" s="362"/>
      <c r="AL163" s="362"/>
      <c r="AM163" s="362"/>
      <c r="AN163" s="362"/>
      <c r="AO163" s="362"/>
      <c r="AP163" s="362"/>
      <c r="AQ163" s="362"/>
      <c r="AR163" s="362"/>
      <c r="AS163" s="362"/>
      <c r="AT163" s="362"/>
      <c r="AU163" s="362"/>
      <c r="AV163" s="362"/>
      <c r="AW163" s="362"/>
      <c r="AX163" s="362"/>
      <c r="AY163" s="362"/>
      <c r="AZ163" s="362"/>
      <c r="BA163" s="362"/>
      <c r="BB163" s="362"/>
      <c r="BC163" s="362"/>
      <c r="BD163" s="362"/>
      <c r="BE163" s="362"/>
      <c r="BF163" s="362"/>
      <c r="BG163" s="362"/>
      <c r="BH163" s="362"/>
      <c r="BI163" s="362"/>
      <c r="BJ163" s="362"/>
      <c r="BK163" s="362"/>
      <c r="BL163" s="362"/>
      <c r="BM163" s="362"/>
      <c r="BN163" s="362"/>
      <c r="BO163" s="362"/>
      <c r="BP163" s="362"/>
      <c r="BQ163" s="362"/>
      <c r="BR163" s="362"/>
      <c r="BS163" s="362"/>
      <c r="BT163" s="362"/>
    </row>
    <row r="164" spans="1:72" s="363" customFormat="1" ht="15.75" customHeight="1" x14ac:dyDescent="0.2">
      <c r="A164" s="164"/>
      <c r="B164" s="165"/>
      <c r="C164" s="183"/>
      <c r="D164" s="166"/>
      <c r="E164" s="166" t="s">
        <v>180</v>
      </c>
      <c r="F164" s="176" t="s">
        <v>153</v>
      </c>
      <c r="G164" s="177">
        <f>26641.61+27326.85+19841.52+23703.67+17584.99+26951.76+38580.96+53229.09</f>
        <v>233860.44999999998</v>
      </c>
      <c r="H164" s="362"/>
      <c r="I164" s="362"/>
      <c r="J164" s="362"/>
      <c r="K164" s="362"/>
      <c r="L164" s="362"/>
      <c r="M164" s="362"/>
      <c r="N164" s="362"/>
      <c r="O164" s="362"/>
      <c r="P164" s="362"/>
      <c r="Q164" s="362"/>
      <c r="R164" s="362"/>
      <c r="S164" s="362"/>
      <c r="T164" s="362"/>
      <c r="U164" s="362"/>
      <c r="V164" s="362"/>
      <c r="W164" s="362"/>
      <c r="X164" s="362"/>
      <c r="Y164" s="362"/>
      <c r="Z164" s="362"/>
      <c r="AA164" s="362"/>
      <c r="AB164" s="362"/>
      <c r="AC164" s="362"/>
      <c r="AD164" s="362"/>
      <c r="AE164" s="362"/>
      <c r="AF164" s="362"/>
      <c r="AG164" s="362"/>
      <c r="AH164" s="362"/>
      <c r="AI164" s="362"/>
      <c r="AJ164" s="362"/>
      <c r="AK164" s="362"/>
      <c r="AL164" s="362"/>
      <c r="AM164" s="362"/>
      <c r="AN164" s="362"/>
      <c r="AO164" s="362"/>
      <c r="AP164" s="362"/>
      <c r="AQ164" s="362"/>
      <c r="AR164" s="362"/>
      <c r="AS164" s="362"/>
      <c r="AT164" s="362"/>
      <c r="AU164" s="362"/>
      <c r="AV164" s="362"/>
      <c r="AW164" s="362"/>
      <c r="AX164" s="362"/>
      <c r="AY164" s="362"/>
      <c r="AZ164" s="362"/>
      <c r="BA164" s="362"/>
      <c r="BB164" s="362"/>
      <c r="BC164" s="362"/>
      <c r="BD164" s="362"/>
      <c r="BE164" s="362"/>
      <c r="BF164" s="362"/>
      <c r="BG164" s="362"/>
      <c r="BH164" s="362"/>
      <c r="BI164" s="362"/>
      <c r="BJ164" s="362"/>
      <c r="BK164" s="362"/>
      <c r="BL164" s="362"/>
      <c r="BM164" s="362"/>
      <c r="BN164" s="362"/>
      <c r="BO164" s="362"/>
      <c r="BP164" s="362"/>
      <c r="BQ164" s="362"/>
      <c r="BR164" s="362"/>
      <c r="BS164" s="362"/>
      <c r="BT164" s="362"/>
    </row>
    <row r="165" spans="1:72" s="363" customFormat="1" ht="15.75" customHeight="1" x14ac:dyDescent="0.2">
      <c r="A165" s="164"/>
      <c r="B165" s="165"/>
      <c r="C165" s="183"/>
      <c r="D165" s="166"/>
      <c r="E165" s="166"/>
      <c r="F165" s="176"/>
      <c r="G165" s="177"/>
      <c r="H165" s="362"/>
      <c r="I165" s="362"/>
      <c r="J165" s="362"/>
      <c r="K165" s="362"/>
      <c r="L165" s="362"/>
      <c r="M165" s="362"/>
      <c r="N165" s="362"/>
      <c r="O165" s="362"/>
      <c r="P165" s="362"/>
      <c r="Q165" s="362"/>
      <c r="R165" s="362"/>
      <c r="S165" s="362"/>
      <c r="T165" s="362"/>
      <c r="U165" s="362"/>
      <c r="V165" s="362"/>
      <c r="W165" s="362"/>
      <c r="X165" s="362"/>
      <c r="Y165" s="362"/>
      <c r="Z165" s="362"/>
      <c r="AA165" s="362"/>
      <c r="AB165" s="362"/>
      <c r="AC165" s="362"/>
      <c r="AD165" s="362"/>
      <c r="AE165" s="362"/>
      <c r="AF165" s="362"/>
      <c r="AG165" s="362"/>
      <c r="AH165" s="362"/>
      <c r="AI165" s="362"/>
      <c r="AJ165" s="362"/>
      <c r="AK165" s="362"/>
      <c r="AL165" s="362"/>
      <c r="AM165" s="362"/>
      <c r="AN165" s="362"/>
      <c r="AO165" s="362"/>
      <c r="AP165" s="362"/>
      <c r="AQ165" s="362"/>
      <c r="AR165" s="362"/>
      <c r="AS165" s="362"/>
      <c r="AT165" s="362"/>
      <c r="AU165" s="362"/>
      <c r="AV165" s="362"/>
      <c r="AW165" s="362"/>
      <c r="AX165" s="362"/>
      <c r="AY165" s="362"/>
      <c r="AZ165" s="362"/>
      <c r="BA165" s="362"/>
      <c r="BB165" s="362"/>
      <c r="BC165" s="362"/>
      <c r="BD165" s="362"/>
      <c r="BE165" s="362"/>
      <c r="BF165" s="362"/>
      <c r="BG165" s="362"/>
      <c r="BH165" s="362"/>
      <c r="BI165" s="362"/>
      <c r="BJ165" s="362"/>
      <c r="BK165" s="362"/>
      <c r="BL165" s="362"/>
      <c r="BM165" s="362"/>
      <c r="BN165" s="362"/>
      <c r="BO165" s="362"/>
      <c r="BP165" s="362"/>
      <c r="BQ165" s="362"/>
      <c r="BR165" s="362"/>
      <c r="BS165" s="362"/>
      <c r="BT165" s="362"/>
    </row>
    <row r="166" spans="1:72" s="363" customFormat="1" ht="25.5" customHeight="1" x14ac:dyDescent="0.2">
      <c r="A166" s="164"/>
      <c r="B166" s="366" t="s">
        <v>206</v>
      </c>
      <c r="C166" s="166"/>
      <c r="D166" s="166"/>
      <c r="E166" s="166"/>
      <c r="F166" s="176"/>
      <c r="G166" s="364">
        <f>SUM(G167:G167)</f>
        <v>313.69</v>
      </c>
      <c r="H166" s="362"/>
      <c r="I166" s="362"/>
      <c r="J166" s="362"/>
      <c r="K166" s="362"/>
      <c r="L166" s="362"/>
      <c r="M166" s="362"/>
      <c r="N166" s="362"/>
      <c r="O166" s="362"/>
      <c r="P166" s="362"/>
      <c r="Q166" s="362"/>
      <c r="R166" s="362"/>
      <c r="S166" s="362"/>
      <c r="T166" s="362"/>
      <c r="U166" s="362"/>
      <c r="V166" s="362"/>
      <c r="W166" s="362"/>
      <c r="X166" s="362"/>
      <c r="Y166" s="362"/>
      <c r="Z166" s="362"/>
      <c r="AA166" s="362"/>
      <c r="AB166" s="362"/>
      <c r="AC166" s="362"/>
      <c r="AD166" s="362"/>
      <c r="AE166" s="362"/>
      <c r="AF166" s="362"/>
      <c r="AG166" s="362"/>
      <c r="AH166" s="362"/>
      <c r="AI166" s="362"/>
      <c r="AJ166" s="362"/>
      <c r="AK166" s="362"/>
      <c r="AL166" s="362"/>
      <c r="AM166" s="362"/>
      <c r="AN166" s="362"/>
      <c r="AO166" s="362"/>
      <c r="AP166" s="362"/>
      <c r="AQ166" s="362"/>
      <c r="AR166" s="362"/>
      <c r="AS166" s="362"/>
      <c r="AT166" s="362"/>
      <c r="AU166" s="362"/>
      <c r="AV166" s="362"/>
      <c r="AW166" s="362"/>
      <c r="AX166" s="362"/>
      <c r="AY166" s="362"/>
      <c r="AZ166" s="362"/>
      <c r="BA166" s="362"/>
      <c r="BB166" s="362"/>
      <c r="BC166" s="362"/>
      <c r="BD166" s="362"/>
      <c r="BE166" s="362"/>
      <c r="BF166" s="362"/>
      <c r="BG166" s="362"/>
      <c r="BH166" s="362"/>
      <c r="BI166" s="362"/>
      <c r="BJ166" s="362"/>
      <c r="BK166" s="362"/>
      <c r="BL166" s="362"/>
      <c r="BM166" s="362"/>
      <c r="BN166" s="362"/>
      <c r="BO166" s="362"/>
      <c r="BP166" s="362"/>
      <c r="BQ166" s="362"/>
      <c r="BR166" s="362"/>
      <c r="BS166" s="362"/>
      <c r="BT166" s="362"/>
    </row>
    <row r="167" spans="1:72" s="363" customFormat="1" ht="15.75" customHeight="1" x14ac:dyDescent="0.2">
      <c r="A167" s="164"/>
      <c r="B167" s="165"/>
      <c r="C167" s="183"/>
      <c r="D167" s="166"/>
      <c r="E167" s="166" t="s">
        <v>178</v>
      </c>
      <c r="F167" s="176" t="s">
        <v>153</v>
      </c>
      <c r="G167" s="177">
        <v>313.69</v>
      </c>
      <c r="H167" s="362"/>
      <c r="I167" s="362"/>
      <c r="J167" s="362"/>
      <c r="K167" s="362"/>
      <c r="L167" s="362"/>
      <c r="M167" s="362"/>
      <c r="N167" s="362"/>
      <c r="O167" s="362"/>
      <c r="P167" s="362"/>
      <c r="Q167" s="362"/>
      <c r="R167" s="362"/>
      <c r="S167" s="362"/>
      <c r="T167" s="362"/>
      <c r="U167" s="362"/>
      <c r="V167" s="362"/>
      <c r="W167" s="362"/>
      <c r="X167" s="362"/>
      <c r="Y167" s="362"/>
      <c r="Z167" s="362"/>
      <c r="AA167" s="362"/>
      <c r="AB167" s="362"/>
      <c r="AC167" s="362"/>
      <c r="AD167" s="362"/>
      <c r="AE167" s="362"/>
      <c r="AF167" s="362"/>
      <c r="AG167" s="362"/>
      <c r="AH167" s="362"/>
      <c r="AI167" s="362"/>
      <c r="AJ167" s="362"/>
      <c r="AK167" s="362"/>
      <c r="AL167" s="362"/>
      <c r="AM167" s="362"/>
      <c r="AN167" s="362"/>
      <c r="AO167" s="362"/>
      <c r="AP167" s="362"/>
      <c r="AQ167" s="362"/>
      <c r="AR167" s="362"/>
      <c r="AS167" s="362"/>
      <c r="AT167" s="362"/>
      <c r="AU167" s="362"/>
      <c r="AV167" s="362"/>
      <c r="AW167" s="362"/>
      <c r="AX167" s="362"/>
      <c r="AY167" s="362"/>
      <c r="AZ167" s="362"/>
      <c r="BA167" s="362"/>
      <c r="BB167" s="362"/>
      <c r="BC167" s="362"/>
      <c r="BD167" s="362"/>
      <c r="BE167" s="362"/>
      <c r="BF167" s="362"/>
      <c r="BG167" s="362"/>
      <c r="BH167" s="362"/>
      <c r="BI167" s="362"/>
      <c r="BJ167" s="362"/>
      <c r="BK167" s="362"/>
      <c r="BL167" s="362"/>
      <c r="BM167" s="362"/>
      <c r="BN167" s="362"/>
      <c r="BO167" s="362"/>
      <c r="BP167" s="362"/>
      <c r="BQ167" s="362"/>
      <c r="BR167" s="362"/>
      <c r="BS167" s="362"/>
      <c r="BT167" s="362"/>
    </row>
    <row r="168" spans="1:72" s="363" customFormat="1" ht="7.5" customHeight="1" x14ac:dyDescent="0.2">
      <c r="A168" s="178"/>
      <c r="B168" s="179"/>
      <c r="C168" s="180"/>
      <c r="D168" s="167"/>
      <c r="E168" s="167"/>
      <c r="F168" s="169"/>
      <c r="G168" s="181"/>
      <c r="H168" s="362"/>
      <c r="I168" s="362"/>
      <c r="J168" s="362"/>
      <c r="K168" s="362"/>
      <c r="L168" s="362"/>
      <c r="M168" s="362"/>
      <c r="N168" s="362"/>
      <c r="O168" s="362"/>
      <c r="P168" s="362"/>
      <c r="Q168" s="362"/>
      <c r="R168" s="362"/>
      <c r="S168" s="362"/>
      <c r="T168" s="362"/>
      <c r="U168" s="362"/>
      <c r="V168" s="362"/>
      <c r="W168" s="362"/>
      <c r="X168" s="362"/>
      <c r="Y168" s="362"/>
      <c r="Z168" s="362"/>
      <c r="AA168" s="362"/>
      <c r="AB168" s="362"/>
      <c r="AC168" s="362"/>
      <c r="AD168" s="362"/>
      <c r="AE168" s="362"/>
      <c r="AF168" s="362"/>
      <c r="AG168" s="362"/>
      <c r="AH168" s="362"/>
      <c r="AI168" s="362"/>
      <c r="AJ168" s="362"/>
      <c r="AK168" s="362"/>
      <c r="AL168" s="362"/>
      <c r="AM168" s="362"/>
      <c r="AN168" s="362"/>
      <c r="AO168" s="362"/>
      <c r="AP168" s="362"/>
      <c r="AQ168" s="362"/>
      <c r="AR168" s="362"/>
      <c r="AS168" s="362"/>
      <c r="AT168" s="362"/>
      <c r="AU168" s="362"/>
      <c r="AV168" s="362"/>
      <c r="AW168" s="362"/>
      <c r="AX168" s="362"/>
      <c r="AY168" s="362"/>
      <c r="AZ168" s="362"/>
      <c r="BA168" s="362"/>
      <c r="BB168" s="362"/>
      <c r="BC168" s="362"/>
      <c r="BD168" s="362"/>
      <c r="BE168" s="362"/>
      <c r="BF168" s="362"/>
      <c r="BG168" s="362"/>
      <c r="BH168" s="362"/>
      <c r="BI168" s="362"/>
      <c r="BJ168" s="362"/>
      <c r="BK168" s="362"/>
      <c r="BL168" s="362"/>
      <c r="BM168" s="362"/>
      <c r="BN168" s="362"/>
      <c r="BO168" s="362"/>
      <c r="BP168" s="362"/>
      <c r="BQ168" s="362"/>
      <c r="BR168" s="362"/>
      <c r="BS168" s="362"/>
      <c r="BT168" s="362"/>
    </row>
    <row r="169" spans="1:72" s="363" customFormat="1" ht="15.75" customHeight="1" x14ac:dyDescent="0.2">
      <c r="A169" s="164"/>
      <c r="B169" s="165"/>
      <c r="C169" s="166"/>
      <c r="D169" s="166"/>
      <c r="E169" s="167" t="s">
        <v>152</v>
      </c>
      <c r="F169" s="168">
        <v>295.87</v>
      </c>
      <c r="G169" s="169" t="s">
        <v>153</v>
      </c>
      <c r="H169" s="362"/>
      <c r="I169" s="362"/>
      <c r="J169" s="362"/>
      <c r="K169" s="362"/>
      <c r="L169" s="362"/>
      <c r="M169" s="362"/>
      <c r="N169" s="362"/>
      <c r="O169" s="362"/>
      <c r="P169" s="362"/>
      <c r="Q169" s="362"/>
      <c r="R169" s="362"/>
      <c r="S169" s="362"/>
      <c r="T169" s="362"/>
      <c r="U169" s="362"/>
      <c r="V169" s="362"/>
      <c r="W169" s="362"/>
      <c r="X169" s="362"/>
      <c r="Y169" s="362"/>
      <c r="Z169" s="362"/>
      <c r="AA169" s="362"/>
      <c r="AB169" s="362"/>
      <c r="AC169" s="362"/>
      <c r="AD169" s="362"/>
      <c r="AE169" s="362"/>
      <c r="AF169" s="362"/>
      <c r="AG169" s="362"/>
      <c r="AH169" s="362"/>
      <c r="AI169" s="362"/>
      <c r="AJ169" s="362"/>
      <c r="AK169" s="362"/>
      <c r="AL169" s="362"/>
      <c r="AM169" s="362"/>
      <c r="AN169" s="362"/>
      <c r="AO169" s="362"/>
      <c r="AP169" s="362"/>
      <c r="AQ169" s="362"/>
      <c r="AR169" s="362"/>
      <c r="AS169" s="362"/>
      <c r="AT169" s="362"/>
      <c r="AU169" s="362"/>
      <c r="AV169" s="362"/>
      <c r="AW169" s="362"/>
      <c r="AX169" s="362"/>
      <c r="AY169" s="362"/>
      <c r="AZ169" s="362"/>
      <c r="BA169" s="362"/>
      <c r="BB169" s="362"/>
      <c r="BC169" s="362"/>
      <c r="BD169" s="362"/>
      <c r="BE169" s="362"/>
      <c r="BF169" s="362"/>
      <c r="BG169" s="362"/>
      <c r="BH169" s="362"/>
      <c r="BI169" s="362"/>
      <c r="BJ169" s="362"/>
      <c r="BK169" s="362"/>
      <c r="BL169" s="362"/>
      <c r="BM169" s="362"/>
      <c r="BN169" s="362"/>
      <c r="BO169" s="362"/>
      <c r="BP169" s="362"/>
      <c r="BQ169" s="362"/>
      <c r="BR169" s="362"/>
      <c r="BS169" s="362"/>
      <c r="BT169" s="362"/>
    </row>
    <row r="170" spans="1:72" s="363" customFormat="1" ht="24" customHeight="1" x14ac:dyDescent="0.2">
      <c r="A170" s="170" t="s">
        <v>207</v>
      </c>
      <c r="B170" s="171" t="s">
        <v>208</v>
      </c>
      <c r="C170" s="166" t="s">
        <v>209</v>
      </c>
      <c r="D170" s="166" t="s">
        <v>210</v>
      </c>
      <c r="E170" s="172" t="s">
        <v>153</v>
      </c>
      <c r="F170" s="173" t="s">
        <v>153</v>
      </c>
      <c r="G170" s="174">
        <f>SUM(G172)</f>
        <v>295.87</v>
      </c>
      <c r="H170" s="362"/>
      <c r="I170" s="362"/>
      <c r="J170" s="362"/>
      <c r="K170" s="362"/>
      <c r="L170" s="362"/>
      <c r="M170" s="362"/>
      <c r="N170" s="362"/>
      <c r="O170" s="362"/>
      <c r="P170" s="362"/>
      <c r="Q170" s="362"/>
      <c r="R170" s="362"/>
      <c r="S170" s="362"/>
      <c r="T170" s="362"/>
      <c r="U170" s="362"/>
      <c r="V170" s="362"/>
      <c r="W170" s="362"/>
      <c r="X170" s="362"/>
      <c r="Y170" s="362"/>
      <c r="Z170" s="362"/>
      <c r="AA170" s="362"/>
      <c r="AB170" s="362"/>
      <c r="AC170" s="362"/>
      <c r="AD170" s="362"/>
      <c r="AE170" s="362"/>
      <c r="AF170" s="362"/>
      <c r="AG170" s="362"/>
      <c r="AH170" s="362"/>
      <c r="AI170" s="362"/>
      <c r="AJ170" s="362"/>
      <c r="AK170" s="362"/>
      <c r="AL170" s="362"/>
      <c r="AM170" s="362"/>
      <c r="AN170" s="362"/>
      <c r="AO170" s="362"/>
      <c r="AP170" s="362"/>
      <c r="AQ170" s="362"/>
      <c r="AR170" s="362"/>
      <c r="AS170" s="362"/>
      <c r="AT170" s="362"/>
      <c r="AU170" s="362"/>
      <c r="AV170" s="362"/>
      <c r="AW170" s="362"/>
      <c r="AX170" s="362"/>
      <c r="AY170" s="362"/>
      <c r="AZ170" s="362"/>
      <c r="BA170" s="362"/>
      <c r="BB170" s="362"/>
      <c r="BC170" s="362"/>
      <c r="BD170" s="362"/>
      <c r="BE170" s="362"/>
      <c r="BF170" s="362"/>
      <c r="BG170" s="362"/>
      <c r="BH170" s="362"/>
      <c r="BI170" s="362"/>
      <c r="BJ170" s="362"/>
      <c r="BK170" s="362"/>
      <c r="BL170" s="362"/>
      <c r="BM170" s="362"/>
      <c r="BN170" s="362"/>
      <c r="BO170" s="362"/>
      <c r="BP170" s="362"/>
      <c r="BQ170" s="362"/>
      <c r="BR170" s="362"/>
      <c r="BS170" s="362"/>
      <c r="BT170" s="362"/>
    </row>
    <row r="171" spans="1:72" s="363" customFormat="1" ht="9" customHeight="1" x14ac:dyDescent="0.2">
      <c r="A171" s="164"/>
      <c r="B171" s="175"/>
      <c r="C171" s="166"/>
      <c r="D171" s="166"/>
      <c r="E171" s="166"/>
      <c r="F171" s="176"/>
      <c r="G171" s="364"/>
      <c r="H171" s="362"/>
      <c r="I171" s="362"/>
      <c r="J171" s="362"/>
      <c r="K171" s="362"/>
      <c r="L171" s="362"/>
      <c r="M171" s="362"/>
      <c r="N171" s="362"/>
      <c r="O171" s="362"/>
      <c r="P171" s="362"/>
      <c r="Q171" s="362"/>
      <c r="R171" s="362"/>
      <c r="S171" s="362"/>
      <c r="T171" s="362"/>
      <c r="U171" s="362"/>
      <c r="V171" s="362"/>
      <c r="W171" s="362"/>
      <c r="X171" s="362"/>
      <c r="Y171" s="362"/>
      <c r="Z171" s="362"/>
      <c r="AA171" s="362"/>
      <c r="AB171" s="362"/>
      <c r="AC171" s="362"/>
      <c r="AD171" s="362"/>
      <c r="AE171" s="362"/>
      <c r="AF171" s="362"/>
      <c r="AG171" s="362"/>
      <c r="AH171" s="362"/>
      <c r="AI171" s="362"/>
      <c r="AJ171" s="362"/>
      <c r="AK171" s="362"/>
      <c r="AL171" s="362"/>
      <c r="AM171" s="362"/>
      <c r="AN171" s="362"/>
      <c r="AO171" s="362"/>
      <c r="AP171" s="362"/>
      <c r="AQ171" s="362"/>
      <c r="AR171" s="362"/>
      <c r="AS171" s="362"/>
      <c r="AT171" s="362"/>
      <c r="AU171" s="362"/>
      <c r="AV171" s="362"/>
      <c r="AW171" s="362"/>
      <c r="AX171" s="362"/>
      <c r="AY171" s="362"/>
      <c r="AZ171" s="362"/>
      <c r="BA171" s="362"/>
      <c r="BB171" s="362"/>
      <c r="BC171" s="362"/>
      <c r="BD171" s="362"/>
      <c r="BE171" s="362"/>
      <c r="BF171" s="362"/>
      <c r="BG171" s="362"/>
      <c r="BH171" s="362"/>
      <c r="BI171" s="362"/>
      <c r="BJ171" s="362"/>
      <c r="BK171" s="362"/>
      <c r="BL171" s="362"/>
      <c r="BM171" s="362"/>
      <c r="BN171" s="362"/>
      <c r="BO171" s="362"/>
      <c r="BP171" s="362"/>
      <c r="BQ171" s="362"/>
      <c r="BR171" s="362"/>
      <c r="BS171" s="362"/>
      <c r="BT171" s="362"/>
    </row>
    <row r="172" spans="1:72" s="363" customFormat="1" ht="15.75" customHeight="1" x14ac:dyDescent="0.2">
      <c r="A172" s="164"/>
      <c r="B172" s="366" t="s">
        <v>211</v>
      </c>
      <c r="C172" s="166"/>
      <c r="D172" s="166"/>
      <c r="E172" s="166"/>
      <c r="F172" s="176"/>
      <c r="G172" s="364">
        <f>SUM(G173:G173)</f>
        <v>295.87</v>
      </c>
      <c r="H172" s="362"/>
      <c r="I172" s="362"/>
      <c r="J172" s="362"/>
      <c r="K172" s="362"/>
      <c r="L172" s="362"/>
      <c r="M172" s="362"/>
      <c r="N172" s="362"/>
      <c r="O172" s="362"/>
      <c r="P172" s="362"/>
      <c r="Q172" s="362"/>
      <c r="R172" s="362"/>
      <c r="S172" s="362"/>
      <c r="T172" s="362"/>
      <c r="U172" s="362"/>
      <c r="V172" s="362"/>
      <c r="W172" s="362"/>
      <c r="X172" s="362"/>
      <c r="Y172" s="362"/>
      <c r="Z172" s="362"/>
      <c r="AA172" s="362"/>
      <c r="AB172" s="362"/>
      <c r="AC172" s="362"/>
      <c r="AD172" s="362"/>
      <c r="AE172" s="362"/>
      <c r="AF172" s="362"/>
      <c r="AG172" s="362"/>
      <c r="AH172" s="362"/>
      <c r="AI172" s="362"/>
      <c r="AJ172" s="362"/>
      <c r="AK172" s="362"/>
      <c r="AL172" s="362"/>
      <c r="AM172" s="362"/>
      <c r="AN172" s="362"/>
      <c r="AO172" s="362"/>
      <c r="AP172" s="362"/>
      <c r="AQ172" s="362"/>
      <c r="AR172" s="362"/>
      <c r="AS172" s="362"/>
      <c r="AT172" s="362"/>
      <c r="AU172" s="362"/>
      <c r="AV172" s="362"/>
      <c r="AW172" s="362"/>
      <c r="AX172" s="362"/>
      <c r="AY172" s="362"/>
      <c r="AZ172" s="362"/>
      <c r="BA172" s="362"/>
      <c r="BB172" s="362"/>
      <c r="BC172" s="362"/>
      <c r="BD172" s="362"/>
      <c r="BE172" s="362"/>
      <c r="BF172" s="362"/>
      <c r="BG172" s="362"/>
      <c r="BH172" s="362"/>
      <c r="BI172" s="362"/>
      <c r="BJ172" s="362"/>
      <c r="BK172" s="362"/>
      <c r="BL172" s="362"/>
      <c r="BM172" s="362"/>
      <c r="BN172" s="362"/>
      <c r="BO172" s="362"/>
      <c r="BP172" s="362"/>
      <c r="BQ172" s="362"/>
      <c r="BR172" s="362"/>
      <c r="BS172" s="362"/>
      <c r="BT172" s="362"/>
    </row>
    <row r="173" spans="1:72" s="363" customFormat="1" ht="15.75" customHeight="1" x14ac:dyDescent="0.2">
      <c r="A173" s="164"/>
      <c r="B173" s="165"/>
      <c r="C173" s="166"/>
      <c r="D173" s="166"/>
      <c r="E173" s="166" t="s">
        <v>178</v>
      </c>
      <c r="F173" s="176" t="s">
        <v>153</v>
      </c>
      <c r="G173" s="177">
        <v>295.87</v>
      </c>
      <c r="H173" s="362"/>
      <c r="I173" s="362"/>
      <c r="J173" s="362"/>
      <c r="K173" s="362"/>
      <c r="L173" s="362"/>
      <c r="M173" s="362"/>
      <c r="N173" s="362"/>
      <c r="O173" s="362"/>
      <c r="P173" s="362"/>
      <c r="Q173" s="362"/>
      <c r="R173" s="362"/>
      <c r="S173" s="362"/>
      <c r="T173" s="362"/>
      <c r="U173" s="362"/>
      <c r="V173" s="362"/>
      <c r="W173" s="362"/>
      <c r="X173" s="362"/>
      <c r="Y173" s="362"/>
      <c r="Z173" s="362"/>
      <c r="AA173" s="362"/>
      <c r="AB173" s="362"/>
      <c r="AC173" s="362"/>
      <c r="AD173" s="362"/>
      <c r="AE173" s="362"/>
      <c r="AF173" s="362"/>
      <c r="AG173" s="362"/>
      <c r="AH173" s="362"/>
      <c r="AI173" s="362"/>
      <c r="AJ173" s="362"/>
      <c r="AK173" s="362"/>
      <c r="AL173" s="362"/>
      <c r="AM173" s="362"/>
      <c r="AN173" s="362"/>
      <c r="AO173" s="362"/>
      <c r="AP173" s="362"/>
      <c r="AQ173" s="362"/>
      <c r="AR173" s="362"/>
      <c r="AS173" s="362"/>
      <c r="AT173" s="362"/>
      <c r="AU173" s="362"/>
      <c r="AV173" s="362"/>
      <c r="AW173" s="362"/>
      <c r="AX173" s="362"/>
      <c r="AY173" s="362"/>
      <c r="AZ173" s="362"/>
      <c r="BA173" s="362"/>
      <c r="BB173" s="362"/>
      <c r="BC173" s="362"/>
      <c r="BD173" s="362"/>
      <c r="BE173" s="362"/>
      <c r="BF173" s="362"/>
      <c r="BG173" s="362"/>
      <c r="BH173" s="362"/>
      <c r="BI173" s="362"/>
      <c r="BJ173" s="362"/>
      <c r="BK173" s="362"/>
      <c r="BL173" s="362"/>
      <c r="BM173" s="362"/>
      <c r="BN173" s="362"/>
      <c r="BO173" s="362"/>
      <c r="BP173" s="362"/>
      <c r="BQ173" s="362"/>
      <c r="BR173" s="362"/>
      <c r="BS173" s="362"/>
      <c r="BT173" s="362"/>
    </row>
    <row r="174" spans="1:72" s="363" customFormat="1" ht="15.75" customHeight="1" x14ac:dyDescent="0.2">
      <c r="A174" s="178"/>
      <c r="B174" s="179"/>
      <c r="C174" s="180"/>
      <c r="D174" s="167"/>
      <c r="E174" s="167"/>
      <c r="F174" s="169"/>
      <c r="G174" s="181"/>
      <c r="H174" s="362"/>
      <c r="I174" s="362"/>
      <c r="J174" s="362"/>
      <c r="K174" s="362"/>
      <c r="L174" s="362"/>
      <c r="M174" s="362"/>
      <c r="N174" s="362"/>
      <c r="O174" s="362"/>
      <c r="P174" s="362"/>
      <c r="Q174" s="362"/>
      <c r="R174" s="362"/>
      <c r="S174" s="362"/>
      <c r="T174" s="362"/>
      <c r="U174" s="362"/>
      <c r="V174" s="362"/>
      <c r="W174" s="362"/>
      <c r="X174" s="362"/>
      <c r="Y174" s="362"/>
      <c r="Z174" s="362"/>
      <c r="AA174" s="362"/>
      <c r="AB174" s="362"/>
      <c r="AC174" s="362"/>
      <c r="AD174" s="362"/>
      <c r="AE174" s="362"/>
      <c r="AF174" s="362"/>
      <c r="AG174" s="362"/>
      <c r="AH174" s="362"/>
      <c r="AI174" s="362"/>
      <c r="AJ174" s="362"/>
      <c r="AK174" s="362"/>
      <c r="AL174" s="362"/>
      <c r="AM174" s="362"/>
      <c r="AN174" s="362"/>
      <c r="AO174" s="362"/>
      <c r="AP174" s="362"/>
      <c r="AQ174" s="362"/>
      <c r="AR174" s="362"/>
      <c r="AS174" s="362"/>
      <c r="AT174" s="362"/>
      <c r="AU174" s="362"/>
      <c r="AV174" s="362"/>
      <c r="AW174" s="362"/>
      <c r="AX174" s="362"/>
      <c r="AY174" s="362"/>
      <c r="AZ174" s="362"/>
      <c r="BA174" s="362"/>
      <c r="BB174" s="362"/>
      <c r="BC174" s="362"/>
      <c r="BD174" s="362"/>
      <c r="BE174" s="362"/>
      <c r="BF174" s="362"/>
      <c r="BG174" s="362"/>
      <c r="BH174" s="362"/>
      <c r="BI174" s="362"/>
      <c r="BJ174" s="362"/>
      <c r="BK174" s="362"/>
      <c r="BL174" s="362"/>
      <c r="BM174" s="362"/>
      <c r="BN174" s="362"/>
      <c r="BO174" s="362"/>
      <c r="BP174" s="362"/>
      <c r="BQ174" s="362"/>
      <c r="BR174" s="362"/>
      <c r="BS174" s="362"/>
      <c r="BT174" s="362"/>
    </row>
    <row r="175" spans="1:72" s="363" customFormat="1" ht="15.75" customHeight="1" x14ac:dyDescent="0.2">
      <c r="A175" s="164"/>
      <c r="B175" s="165"/>
      <c r="C175" s="166"/>
      <c r="D175" s="166"/>
      <c r="E175" s="167" t="s">
        <v>152</v>
      </c>
      <c r="F175" s="168">
        <f>1050+1200</f>
        <v>2250</v>
      </c>
      <c r="G175" s="169" t="s">
        <v>153</v>
      </c>
      <c r="H175" s="362"/>
      <c r="I175" s="362"/>
      <c r="J175" s="362"/>
      <c r="K175" s="362"/>
      <c r="L175" s="362"/>
      <c r="M175" s="362"/>
      <c r="N175" s="362"/>
      <c r="O175" s="362"/>
      <c r="P175" s="362"/>
      <c r="Q175" s="362"/>
      <c r="R175" s="362"/>
      <c r="S175" s="362"/>
      <c r="T175" s="362"/>
      <c r="U175" s="362"/>
      <c r="V175" s="362"/>
      <c r="W175" s="362"/>
      <c r="X175" s="362"/>
      <c r="Y175" s="362"/>
      <c r="Z175" s="362"/>
      <c r="AA175" s="362"/>
      <c r="AB175" s="362"/>
      <c r="AC175" s="362"/>
      <c r="AD175" s="362"/>
      <c r="AE175" s="362"/>
      <c r="AF175" s="362"/>
      <c r="AG175" s="362"/>
      <c r="AH175" s="362"/>
      <c r="AI175" s="362"/>
      <c r="AJ175" s="362"/>
      <c r="AK175" s="362"/>
      <c r="AL175" s="362"/>
      <c r="AM175" s="362"/>
      <c r="AN175" s="362"/>
      <c r="AO175" s="362"/>
      <c r="AP175" s="362"/>
      <c r="AQ175" s="362"/>
      <c r="AR175" s="362"/>
      <c r="AS175" s="362"/>
      <c r="AT175" s="362"/>
      <c r="AU175" s="362"/>
      <c r="AV175" s="362"/>
      <c r="AW175" s="362"/>
      <c r="AX175" s="362"/>
      <c r="AY175" s="362"/>
      <c r="AZ175" s="362"/>
      <c r="BA175" s="362"/>
      <c r="BB175" s="362"/>
      <c r="BC175" s="362"/>
      <c r="BD175" s="362"/>
      <c r="BE175" s="362"/>
      <c r="BF175" s="362"/>
      <c r="BG175" s="362"/>
      <c r="BH175" s="362"/>
      <c r="BI175" s="362"/>
      <c r="BJ175" s="362"/>
      <c r="BK175" s="362"/>
      <c r="BL175" s="362"/>
      <c r="BM175" s="362"/>
      <c r="BN175" s="362"/>
      <c r="BO175" s="362"/>
      <c r="BP175" s="362"/>
      <c r="BQ175" s="362"/>
      <c r="BR175" s="362"/>
      <c r="BS175" s="362"/>
      <c r="BT175" s="362"/>
    </row>
    <row r="176" spans="1:72" s="363" customFormat="1" ht="39" customHeight="1" x14ac:dyDescent="0.2">
      <c r="A176" s="170" t="s">
        <v>212</v>
      </c>
      <c r="B176" s="171" t="s">
        <v>213</v>
      </c>
      <c r="C176" s="166" t="s">
        <v>169</v>
      </c>
      <c r="D176" s="166" t="s">
        <v>214</v>
      </c>
      <c r="E176" s="172" t="s">
        <v>153</v>
      </c>
      <c r="F176" s="173" t="s">
        <v>153</v>
      </c>
      <c r="G176" s="174">
        <f>SUM(G178)</f>
        <v>2250</v>
      </c>
      <c r="H176" s="362"/>
      <c r="I176" s="362"/>
      <c r="J176" s="362"/>
      <c r="K176" s="362"/>
      <c r="L176" s="362"/>
      <c r="M176" s="362"/>
      <c r="N176" s="362"/>
      <c r="O176" s="362"/>
      <c r="P176" s="362"/>
      <c r="Q176" s="362"/>
      <c r="R176" s="362"/>
      <c r="S176" s="362"/>
      <c r="T176" s="362"/>
      <c r="U176" s="362"/>
      <c r="V176" s="362"/>
      <c r="W176" s="362"/>
      <c r="X176" s="362"/>
      <c r="Y176" s="362"/>
      <c r="Z176" s="362"/>
      <c r="AA176" s="362"/>
      <c r="AB176" s="362"/>
      <c r="AC176" s="362"/>
      <c r="AD176" s="362"/>
      <c r="AE176" s="362"/>
      <c r="AF176" s="362"/>
      <c r="AG176" s="362"/>
      <c r="AH176" s="362"/>
      <c r="AI176" s="362"/>
      <c r="AJ176" s="362"/>
      <c r="AK176" s="362"/>
      <c r="AL176" s="362"/>
      <c r="AM176" s="362"/>
      <c r="AN176" s="362"/>
      <c r="AO176" s="362"/>
      <c r="AP176" s="362"/>
      <c r="AQ176" s="362"/>
      <c r="AR176" s="362"/>
      <c r="AS176" s="362"/>
      <c r="AT176" s="362"/>
      <c r="AU176" s="362"/>
      <c r="AV176" s="362"/>
      <c r="AW176" s="362"/>
      <c r="AX176" s="362"/>
      <c r="AY176" s="362"/>
      <c r="AZ176" s="362"/>
      <c r="BA176" s="362"/>
      <c r="BB176" s="362"/>
      <c r="BC176" s="362"/>
      <c r="BD176" s="362"/>
      <c r="BE176" s="362"/>
      <c r="BF176" s="362"/>
      <c r="BG176" s="362"/>
      <c r="BH176" s="362"/>
      <c r="BI176" s="362"/>
      <c r="BJ176" s="362"/>
      <c r="BK176" s="362"/>
      <c r="BL176" s="362"/>
      <c r="BM176" s="362"/>
      <c r="BN176" s="362"/>
      <c r="BO176" s="362"/>
      <c r="BP176" s="362"/>
      <c r="BQ176" s="362"/>
      <c r="BR176" s="362"/>
      <c r="BS176" s="362"/>
      <c r="BT176" s="362"/>
    </row>
    <row r="177" spans="1:72" s="363" customFormat="1" ht="9.75" customHeight="1" x14ac:dyDescent="0.2">
      <c r="A177" s="164"/>
      <c r="B177" s="165"/>
      <c r="C177" s="183"/>
      <c r="D177" s="166"/>
      <c r="E177" s="166"/>
      <c r="F177" s="176"/>
      <c r="G177" s="177"/>
      <c r="H177" s="362"/>
      <c r="I177" s="362"/>
      <c r="J177" s="362"/>
      <c r="K177" s="362"/>
      <c r="L177" s="362"/>
      <c r="M177" s="362"/>
      <c r="N177" s="362"/>
      <c r="O177" s="362"/>
      <c r="P177" s="362"/>
      <c r="Q177" s="362"/>
      <c r="R177" s="362"/>
      <c r="S177" s="362"/>
      <c r="T177" s="362"/>
      <c r="U177" s="362"/>
      <c r="V177" s="362"/>
      <c r="W177" s="362"/>
      <c r="X177" s="362"/>
      <c r="Y177" s="362"/>
      <c r="Z177" s="362"/>
      <c r="AA177" s="362"/>
      <c r="AB177" s="362"/>
      <c r="AC177" s="362"/>
      <c r="AD177" s="362"/>
      <c r="AE177" s="362"/>
      <c r="AF177" s="362"/>
      <c r="AG177" s="362"/>
      <c r="AH177" s="362"/>
      <c r="AI177" s="362"/>
      <c r="AJ177" s="362"/>
      <c r="AK177" s="362"/>
      <c r="AL177" s="362"/>
      <c r="AM177" s="362"/>
      <c r="AN177" s="362"/>
      <c r="AO177" s="362"/>
      <c r="AP177" s="362"/>
      <c r="AQ177" s="362"/>
      <c r="AR177" s="362"/>
      <c r="AS177" s="362"/>
      <c r="AT177" s="362"/>
      <c r="AU177" s="362"/>
      <c r="AV177" s="362"/>
      <c r="AW177" s="362"/>
      <c r="AX177" s="362"/>
      <c r="AY177" s="362"/>
      <c r="AZ177" s="362"/>
      <c r="BA177" s="362"/>
      <c r="BB177" s="362"/>
      <c r="BC177" s="362"/>
      <c r="BD177" s="362"/>
      <c r="BE177" s="362"/>
      <c r="BF177" s="362"/>
      <c r="BG177" s="362"/>
      <c r="BH177" s="362"/>
      <c r="BI177" s="362"/>
      <c r="BJ177" s="362"/>
      <c r="BK177" s="362"/>
      <c r="BL177" s="362"/>
      <c r="BM177" s="362"/>
      <c r="BN177" s="362"/>
      <c r="BO177" s="362"/>
      <c r="BP177" s="362"/>
      <c r="BQ177" s="362"/>
      <c r="BR177" s="362"/>
      <c r="BS177" s="362"/>
      <c r="BT177" s="362"/>
    </row>
    <row r="178" spans="1:72" s="363" customFormat="1" ht="26.25" customHeight="1" x14ac:dyDescent="0.2">
      <c r="A178" s="164"/>
      <c r="B178" s="366" t="s">
        <v>215</v>
      </c>
      <c r="C178" s="166"/>
      <c r="D178" s="166"/>
      <c r="E178" s="166"/>
      <c r="F178" s="176"/>
      <c r="G178" s="364">
        <f>SUM(G179:G182)</f>
        <v>2250</v>
      </c>
      <c r="H178" s="362"/>
      <c r="I178" s="362"/>
      <c r="J178" s="362"/>
      <c r="K178" s="362"/>
      <c r="L178" s="362"/>
      <c r="M178" s="362"/>
      <c r="N178" s="362"/>
      <c r="O178" s="362"/>
      <c r="P178" s="362"/>
      <c r="Q178" s="362"/>
      <c r="R178" s="362"/>
      <c r="S178" s="362"/>
      <c r="T178" s="362"/>
      <c r="U178" s="362"/>
      <c r="V178" s="362"/>
      <c r="W178" s="362"/>
      <c r="X178" s="362"/>
      <c r="Y178" s="362"/>
      <c r="Z178" s="362"/>
      <c r="AA178" s="362"/>
      <c r="AB178" s="362"/>
      <c r="AC178" s="362"/>
      <c r="AD178" s="362"/>
      <c r="AE178" s="362"/>
      <c r="AF178" s="362"/>
      <c r="AG178" s="362"/>
      <c r="AH178" s="362"/>
      <c r="AI178" s="362"/>
      <c r="AJ178" s="362"/>
      <c r="AK178" s="362"/>
      <c r="AL178" s="362"/>
      <c r="AM178" s="362"/>
      <c r="AN178" s="362"/>
      <c r="AO178" s="362"/>
      <c r="AP178" s="362"/>
      <c r="AQ178" s="362"/>
      <c r="AR178" s="362"/>
      <c r="AS178" s="362"/>
      <c r="AT178" s="362"/>
      <c r="AU178" s="362"/>
      <c r="AV178" s="362"/>
      <c r="AW178" s="362"/>
      <c r="AX178" s="362"/>
      <c r="AY178" s="362"/>
      <c r="AZ178" s="362"/>
      <c r="BA178" s="362"/>
      <c r="BB178" s="362"/>
      <c r="BC178" s="362"/>
      <c r="BD178" s="362"/>
      <c r="BE178" s="362"/>
      <c r="BF178" s="362"/>
      <c r="BG178" s="362"/>
      <c r="BH178" s="362"/>
      <c r="BI178" s="362"/>
      <c r="BJ178" s="362"/>
      <c r="BK178" s="362"/>
      <c r="BL178" s="362"/>
      <c r="BM178" s="362"/>
      <c r="BN178" s="362"/>
      <c r="BO178" s="362"/>
      <c r="BP178" s="362"/>
      <c r="BQ178" s="362"/>
      <c r="BR178" s="362"/>
      <c r="BS178" s="362"/>
      <c r="BT178" s="362"/>
    </row>
    <row r="179" spans="1:72" s="363" customFormat="1" ht="15.75" customHeight="1" x14ac:dyDescent="0.2">
      <c r="A179" s="164"/>
      <c r="B179" s="165"/>
      <c r="C179" s="166"/>
      <c r="D179" s="166"/>
      <c r="E179" s="166" t="s">
        <v>178</v>
      </c>
      <c r="F179" s="176" t="s">
        <v>153</v>
      </c>
      <c r="G179" s="177">
        <v>1050</v>
      </c>
      <c r="H179" s="362"/>
      <c r="I179" s="362"/>
      <c r="J179" s="362"/>
      <c r="K179" s="362"/>
      <c r="L179" s="362"/>
      <c r="M179" s="362"/>
      <c r="N179" s="362"/>
      <c r="O179" s="362"/>
      <c r="P179" s="362"/>
      <c r="Q179" s="362"/>
      <c r="R179" s="362"/>
      <c r="S179" s="362"/>
      <c r="T179" s="362"/>
      <c r="U179" s="362"/>
      <c r="V179" s="362"/>
      <c r="W179" s="362"/>
      <c r="X179" s="362"/>
      <c r="Y179" s="362"/>
      <c r="Z179" s="362"/>
      <c r="AA179" s="362"/>
      <c r="AB179" s="362"/>
      <c r="AC179" s="362"/>
      <c r="AD179" s="362"/>
      <c r="AE179" s="362"/>
      <c r="AF179" s="362"/>
      <c r="AG179" s="362"/>
      <c r="AH179" s="362"/>
      <c r="AI179" s="362"/>
      <c r="AJ179" s="362"/>
      <c r="AK179" s="362"/>
      <c r="AL179" s="362"/>
      <c r="AM179" s="362"/>
      <c r="AN179" s="362"/>
      <c r="AO179" s="362"/>
      <c r="AP179" s="362"/>
      <c r="AQ179" s="362"/>
      <c r="AR179" s="362"/>
      <c r="AS179" s="362"/>
      <c r="AT179" s="362"/>
      <c r="AU179" s="362"/>
      <c r="AV179" s="362"/>
      <c r="AW179" s="362"/>
      <c r="AX179" s="362"/>
      <c r="AY179" s="362"/>
      <c r="AZ179" s="362"/>
      <c r="BA179" s="362"/>
      <c r="BB179" s="362"/>
      <c r="BC179" s="362"/>
      <c r="BD179" s="362"/>
      <c r="BE179" s="362"/>
      <c r="BF179" s="362"/>
      <c r="BG179" s="362"/>
      <c r="BH179" s="362"/>
      <c r="BI179" s="362"/>
      <c r="BJ179" s="362"/>
      <c r="BK179" s="362"/>
      <c r="BL179" s="362"/>
      <c r="BM179" s="362"/>
      <c r="BN179" s="362"/>
      <c r="BO179" s="362"/>
      <c r="BP179" s="362"/>
      <c r="BQ179" s="362"/>
      <c r="BR179" s="362"/>
      <c r="BS179" s="362"/>
      <c r="BT179" s="362"/>
    </row>
    <row r="180" spans="1:72" s="363" customFormat="1" ht="15.75" customHeight="1" x14ac:dyDescent="0.2">
      <c r="A180" s="164"/>
      <c r="B180" s="165"/>
      <c r="C180" s="183"/>
      <c r="D180" s="166"/>
      <c r="E180" s="166" t="s">
        <v>160</v>
      </c>
      <c r="F180" s="176" t="s">
        <v>153</v>
      </c>
      <c r="G180" s="177">
        <v>730</v>
      </c>
      <c r="H180" s="362"/>
      <c r="I180" s="362"/>
      <c r="J180" s="362"/>
      <c r="K180" s="362"/>
      <c r="L180" s="362"/>
      <c r="M180" s="362"/>
      <c r="N180" s="362"/>
      <c r="O180" s="362"/>
      <c r="P180" s="362"/>
      <c r="Q180" s="362"/>
      <c r="R180" s="362"/>
      <c r="S180" s="362"/>
      <c r="T180" s="362"/>
      <c r="U180" s="362"/>
      <c r="V180" s="362"/>
      <c r="W180" s="362"/>
      <c r="X180" s="362"/>
      <c r="Y180" s="362"/>
      <c r="Z180" s="362"/>
      <c r="AA180" s="362"/>
      <c r="AB180" s="362"/>
      <c r="AC180" s="362"/>
      <c r="AD180" s="362"/>
      <c r="AE180" s="362"/>
      <c r="AF180" s="362"/>
      <c r="AG180" s="362"/>
      <c r="AH180" s="362"/>
      <c r="AI180" s="362"/>
      <c r="AJ180" s="362"/>
      <c r="AK180" s="362"/>
      <c r="AL180" s="362"/>
      <c r="AM180" s="362"/>
      <c r="AN180" s="362"/>
      <c r="AO180" s="362"/>
      <c r="AP180" s="362"/>
      <c r="AQ180" s="362"/>
      <c r="AR180" s="362"/>
      <c r="AS180" s="362"/>
      <c r="AT180" s="362"/>
      <c r="AU180" s="362"/>
      <c r="AV180" s="362"/>
      <c r="AW180" s="362"/>
      <c r="AX180" s="362"/>
      <c r="AY180" s="362"/>
      <c r="AZ180" s="362"/>
      <c r="BA180" s="362"/>
      <c r="BB180" s="362"/>
      <c r="BC180" s="362"/>
      <c r="BD180" s="362"/>
      <c r="BE180" s="362"/>
      <c r="BF180" s="362"/>
      <c r="BG180" s="362"/>
      <c r="BH180" s="362"/>
      <c r="BI180" s="362"/>
      <c r="BJ180" s="362"/>
      <c r="BK180" s="362"/>
      <c r="BL180" s="362"/>
      <c r="BM180" s="362"/>
      <c r="BN180" s="362"/>
      <c r="BO180" s="362"/>
      <c r="BP180" s="362"/>
      <c r="BQ180" s="362"/>
      <c r="BR180" s="362"/>
      <c r="BS180" s="362"/>
      <c r="BT180" s="362"/>
    </row>
    <row r="181" spans="1:72" s="363" customFormat="1" ht="15.75" customHeight="1" x14ac:dyDescent="0.2">
      <c r="A181" s="164"/>
      <c r="B181" s="165"/>
      <c r="C181" s="183"/>
      <c r="D181" s="166"/>
      <c r="E181" s="166" t="s">
        <v>165</v>
      </c>
      <c r="F181" s="176" t="s">
        <v>153</v>
      </c>
      <c r="G181" s="177">
        <v>340</v>
      </c>
      <c r="H181" s="362"/>
      <c r="I181" s="362"/>
      <c r="J181" s="362"/>
      <c r="K181" s="362"/>
      <c r="L181" s="362"/>
      <c r="M181" s="362"/>
      <c r="N181" s="362"/>
      <c r="O181" s="362"/>
      <c r="P181" s="362"/>
      <c r="Q181" s="362"/>
      <c r="R181" s="362"/>
      <c r="S181" s="362"/>
      <c r="T181" s="362"/>
      <c r="U181" s="362"/>
      <c r="V181" s="362"/>
      <c r="W181" s="362"/>
      <c r="X181" s="362"/>
      <c r="Y181" s="362"/>
      <c r="Z181" s="362"/>
      <c r="AA181" s="362"/>
      <c r="AB181" s="362"/>
      <c r="AC181" s="362"/>
      <c r="AD181" s="362"/>
      <c r="AE181" s="362"/>
      <c r="AF181" s="362"/>
      <c r="AG181" s="362"/>
      <c r="AH181" s="362"/>
      <c r="AI181" s="362"/>
      <c r="AJ181" s="362"/>
      <c r="AK181" s="362"/>
      <c r="AL181" s="362"/>
      <c r="AM181" s="362"/>
      <c r="AN181" s="362"/>
      <c r="AO181" s="362"/>
      <c r="AP181" s="362"/>
      <c r="AQ181" s="362"/>
      <c r="AR181" s="362"/>
      <c r="AS181" s="362"/>
      <c r="AT181" s="362"/>
      <c r="AU181" s="362"/>
      <c r="AV181" s="362"/>
      <c r="AW181" s="362"/>
      <c r="AX181" s="362"/>
      <c r="AY181" s="362"/>
      <c r="AZ181" s="362"/>
      <c r="BA181" s="362"/>
      <c r="BB181" s="362"/>
      <c r="BC181" s="362"/>
      <c r="BD181" s="362"/>
      <c r="BE181" s="362"/>
      <c r="BF181" s="362"/>
      <c r="BG181" s="362"/>
      <c r="BH181" s="362"/>
      <c r="BI181" s="362"/>
      <c r="BJ181" s="362"/>
      <c r="BK181" s="362"/>
      <c r="BL181" s="362"/>
      <c r="BM181" s="362"/>
      <c r="BN181" s="362"/>
      <c r="BO181" s="362"/>
      <c r="BP181" s="362"/>
      <c r="BQ181" s="362"/>
      <c r="BR181" s="362"/>
      <c r="BS181" s="362"/>
      <c r="BT181" s="362"/>
    </row>
    <row r="182" spans="1:72" s="363" customFormat="1" ht="15.75" customHeight="1" x14ac:dyDescent="0.2">
      <c r="A182" s="164"/>
      <c r="B182" s="165"/>
      <c r="C182" s="183"/>
      <c r="D182" s="166"/>
      <c r="E182" s="166" t="s">
        <v>166</v>
      </c>
      <c r="F182" s="176" t="s">
        <v>153</v>
      </c>
      <c r="G182" s="177">
        <v>130</v>
      </c>
      <c r="H182" s="362"/>
      <c r="I182" s="362"/>
      <c r="J182" s="362"/>
      <c r="K182" s="362"/>
      <c r="L182" s="362"/>
      <c r="M182" s="362"/>
      <c r="N182" s="362"/>
      <c r="O182" s="362"/>
      <c r="P182" s="362"/>
      <c r="Q182" s="362"/>
      <c r="R182" s="362"/>
      <c r="S182" s="362"/>
      <c r="T182" s="362"/>
      <c r="U182" s="362"/>
      <c r="V182" s="362"/>
      <c r="W182" s="362"/>
      <c r="X182" s="362"/>
      <c r="Y182" s="362"/>
      <c r="Z182" s="362"/>
      <c r="AA182" s="362"/>
      <c r="AB182" s="362"/>
      <c r="AC182" s="362"/>
      <c r="AD182" s="362"/>
      <c r="AE182" s="362"/>
      <c r="AF182" s="362"/>
      <c r="AG182" s="362"/>
      <c r="AH182" s="362"/>
      <c r="AI182" s="362"/>
      <c r="AJ182" s="362"/>
      <c r="AK182" s="362"/>
      <c r="AL182" s="362"/>
      <c r="AM182" s="362"/>
      <c r="AN182" s="362"/>
      <c r="AO182" s="362"/>
      <c r="AP182" s="362"/>
      <c r="AQ182" s="362"/>
      <c r="AR182" s="362"/>
      <c r="AS182" s="362"/>
      <c r="AT182" s="362"/>
      <c r="AU182" s="362"/>
      <c r="AV182" s="362"/>
      <c r="AW182" s="362"/>
      <c r="AX182" s="362"/>
      <c r="AY182" s="362"/>
      <c r="AZ182" s="362"/>
      <c r="BA182" s="362"/>
      <c r="BB182" s="362"/>
      <c r="BC182" s="362"/>
      <c r="BD182" s="362"/>
      <c r="BE182" s="362"/>
      <c r="BF182" s="362"/>
      <c r="BG182" s="362"/>
      <c r="BH182" s="362"/>
      <c r="BI182" s="362"/>
      <c r="BJ182" s="362"/>
      <c r="BK182" s="362"/>
      <c r="BL182" s="362"/>
      <c r="BM182" s="362"/>
      <c r="BN182" s="362"/>
      <c r="BO182" s="362"/>
      <c r="BP182" s="362"/>
      <c r="BQ182" s="362"/>
      <c r="BR182" s="362"/>
      <c r="BS182" s="362"/>
      <c r="BT182" s="362"/>
    </row>
    <row r="183" spans="1:72" s="363" customFormat="1" ht="15.75" customHeight="1" x14ac:dyDescent="0.2">
      <c r="A183" s="178"/>
      <c r="B183" s="179"/>
      <c r="C183" s="180"/>
      <c r="D183" s="167"/>
      <c r="E183" s="167"/>
      <c r="F183" s="169"/>
      <c r="G183" s="181"/>
      <c r="H183" s="362"/>
      <c r="I183" s="362"/>
      <c r="J183" s="362"/>
      <c r="K183" s="362"/>
      <c r="L183" s="362"/>
      <c r="M183" s="362"/>
      <c r="N183" s="362"/>
      <c r="O183" s="362"/>
      <c r="P183" s="362"/>
      <c r="Q183" s="362"/>
      <c r="R183" s="362"/>
      <c r="S183" s="362"/>
      <c r="T183" s="362"/>
      <c r="U183" s="362"/>
      <c r="V183" s="362"/>
      <c r="W183" s="362"/>
      <c r="X183" s="362"/>
      <c r="Y183" s="362"/>
      <c r="Z183" s="362"/>
      <c r="AA183" s="362"/>
      <c r="AB183" s="362"/>
      <c r="AC183" s="362"/>
      <c r="AD183" s="362"/>
      <c r="AE183" s="362"/>
      <c r="AF183" s="362"/>
      <c r="AG183" s="362"/>
      <c r="AH183" s="362"/>
      <c r="AI183" s="362"/>
      <c r="AJ183" s="362"/>
      <c r="AK183" s="362"/>
      <c r="AL183" s="362"/>
      <c r="AM183" s="362"/>
      <c r="AN183" s="362"/>
      <c r="AO183" s="362"/>
      <c r="AP183" s="362"/>
      <c r="AQ183" s="362"/>
      <c r="AR183" s="362"/>
      <c r="AS183" s="362"/>
      <c r="AT183" s="362"/>
      <c r="AU183" s="362"/>
      <c r="AV183" s="362"/>
      <c r="AW183" s="362"/>
      <c r="AX183" s="362"/>
      <c r="AY183" s="362"/>
      <c r="AZ183" s="362"/>
      <c r="BA183" s="362"/>
      <c r="BB183" s="362"/>
      <c r="BC183" s="362"/>
      <c r="BD183" s="362"/>
      <c r="BE183" s="362"/>
      <c r="BF183" s="362"/>
      <c r="BG183" s="362"/>
      <c r="BH183" s="362"/>
      <c r="BI183" s="362"/>
      <c r="BJ183" s="362"/>
      <c r="BK183" s="362"/>
      <c r="BL183" s="362"/>
      <c r="BM183" s="362"/>
      <c r="BN183" s="362"/>
      <c r="BO183" s="362"/>
      <c r="BP183" s="362"/>
      <c r="BQ183" s="362"/>
      <c r="BR183" s="362"/>
      <c r="BS183" s="362"/>
      <c r="BT183" s="362"/>
    </row>
    <row r="184" spans="1:72" s="363" customFormat="1" ht="15.75" customHeight="1" x14ac:dyDescent="0.2">
      <c r="A184" s="164"/>
      <c r="B184" s="165"/>
      <c r="C184" s="166"/>
      <c r="D184" s="166"/>
      <c r="E184" s="167" t="s">
        <v>152</v>
      </c>
      <c r="F184" s="168">
        <f>717+713+330+1050+539</f>
        <v>3349</v>
      </c>
      <c r="G184" s="169" t="s">
        <v>153</v>
      </c>
      <c r="H184" s="362"/>
      <c r="I184" s="362"/>
      <c r="J184" s="362"/>
      <c r="K184" s="362"/>
      <c r="L184" s="362"/>
      <c r="M184" s="362"/>
      <c r="N184" s="362"/>
      <c r="O184" s="362"/>
      <c r="P184" s="362"/>
      <c r="Q184" s="362"/>
      <c r="R184" s="362"/>
      <c r="S184" s="362"/>
      <c r="T184" s="362"/>
      <c r="U184" s="362"/>
      <c r="V184" s="362"/>
      <c r="W184" s="362"/>
      <c r="X184" s="362"/>
      <c r="Y184" s="362"/>
      <c r="Z184" s="362"/>
      <c r="AA184" s="362"/>
      <c r="AB184" s="362"/>
      <c r="AC184" s="362"/>
      <c r="AD184" s="362"/>
      <c r="AE184" s="362"/>
      <c r="AF184" s="362"/>
      <c r="AG184" s="362"/>
      <c r="AH184" s="362"/>
      <c r="AI184" s="362"/>
      <c r="AJ184" s="362"/>
      <c r="AK184" s="362"/>
      <c r="AL184" s="362"/>
      <c r="AM184" s="362"/>
      <c r="AN184" s="362"/>
      <c r="AO184" s="362"/>
      <c r="AP184" s="362"/>
      <c r="AQ184" s="362"/>
      <c r="AR184" s="362"/>
      <c r="AS184" s="362"/>
      <c r="AT184" s="362"/>
      <c r="AU184" s="362"/>
      <c r="AV184" s="362"/>
      <c r="AW184" s="362"/>
      <c r="AX184" s="362"/>
      <c r="AY184" s="362"/>
      <c r="AZ184" s="362"/>
      <c r="BA184" s="362"/>
      <c r="BB184" s="362"/>
      <c r="BC184" s="362"/>
      <c r="BD184" s="362"/>
      <c r="BE184" s="362"/>
      <c r="BF184" s="362"/>
      <c r="BG184" s="362"/>
      <c r="BH184" s="362"/>
      <c r="BI184" s="362"/>
      <c r="BJ184" s="362"/>
      <c r="BK184" s="362"/>
      <c r="BL184" s="362"/>
      <c r="BM184" s="362"/>
      <c r="BN184" s="362"/>
      <c r="BO184" s="362"/>
      <c r="BP184" s="362"/>
      <c r="BQ184" s="362"/>
      <c r="BR184" s="362"/>
      <c r="BS184" s="362"/>
      <c r="BT184" s="362"/>
    </row>
    <row r="185" spans="1:72" s="363" customFormat="1" ht="15.75" customHeight="1" x14ac:dyDescent="0.2">
      <c r="A185" s="170" t="s">
        <v>216</v>
      </c>
      <c r="B185" s="182" t="s">
        <v>217</v>
      </c>
      <c r="C185" s="166" t="s">
        <v>156</v>
      </c>
      <c r="D185" s="166" t="s">
        <v>218</v>
      </c>
      <c r="E185" s="172" t="s">
        <v>153</v>
      </c>
      <c r="F185" s="173" t="s">
        <v>153</v>
      </c>
      <c r="G185" s="174">
        <f>SUM(G187)</f>
        <v>3349</v>
      </c>
      <c r="H185" s="362"/>
      <c r="I185" s="362"/>
      <c r="J185" s="362"/>
      <c r="K185" s="362"/>
      <c r="L185" s="362"/>
      <c r="M185" s="362"/>
      <c r="N185" s="362"/>
      <c r="O185" s="362"/>
      <c r="P185" s="362"/>
      <c r="Q185" s="362"/>
      <c r="R185" s="362"/>
      <c r="S185" s="362"/>
      <c r="T185" s="362"/>
      <c r="U185" s="362"/>
      <c r="V185" s="362"/>
      <c r="W185" s="362"/>
      <c r="X185" s="362"/>
      <c r="Y185" s="362"/>
      <c r="Z185" s="362"/>
      <c r="AA185" s="362"/>
      <c r="AB185" s="362"/>
      <c r="AC185" s="362"/>
      <c r="AD185" s="362"/>
      <c r="AE185" s="362"/>
      <c r="AF185" s="362"/>
      <c r="AG185" s="362"/>
      <c r="AH185" s="362"/>
      <c r="AI185" s="362"/>
      <c r="AJ185" s="362"/>
      <c r="AK185" s="362"/>
      <c r="AL185" s="362"/>
      <c r="AM185" s="362"/>
      <c r="AN185" s="362"/>
      <c r="AO185" s="362"/>
      <c r="AP185" s="362"/>
      <c r="AQ185" s="362"/>
      <c r="AR185" s="362"/>
      <c r="AS185" s="362"/>
      <c r="AT185" s="362"/>
      <c r="AU185" s="362"/>
      <c r="AV185" s="362"/>
      <c r="AW185" s="362"/>
      <c r="AX185" s="362"/>
      <c r="AY185" s="362"/>
      <c r="AZ185" s="362"/>
      <c r="BA185" s="362"/>
      <c r="BB185" s="362"/>
      <c r="BC185" s="362"/>
      <c r="BD185" s="362"/>
      <c r="BE185" s="362"/>
      <c r="BF185" s="362"/>
      <c r="BG185" s="362"/>
      <c r="BH185" s="362"/>
      <c r="BI185" s="362"/>
      <c r="BJ185" s="362"/>
      <c r="BK185" s="362"/>
      <c r="BL185" s="362"/>
      <c r="BM185" s="362"/>
      <c r="BN185" s="362"/>
      <c r="BO185" s="362"/>
      <c r="BP185" s="362"/>
      <c r="BQ185" s="362"/>
      <c r="BR185" s="362"/>
      <c r="BS185" s="362"/>
      <c r="BT185" s="362"/>
    </row>
    <row r="186" spans="1:72" s="363" customFormat="1" ht="12" customHeight="1" x14ac:dyDescent="0.2">
      <c r="A186" s="164"/>
      <c r="B186" s="175"/>
      <c r="C186" s="166"/>
      <c r="D186" s="166"/>
      <c r="E186" s="166"/>
      <c r="F186" s="176"/>
      <c r="G186" s="364"/>
      <c r="H186" s="362"/>
      <c r="I186" s="362"/>
      <c r="J186" s="362"/>
      <c r="K186" s="362"/>
      <c r="L186" s="362"/>
      <c r="M186" s="362"/>
      <c r="N186" s="362"/>
      <c r="O186" s="362"/>
      <c r="P186" s="362"/>
      <c r="Q186" s="362"/>
      <c r="R186" s="362"/>
      <c r="S186" s="362"/>
      <c r="T186" s="362"/>
      <c r="U186" s="362"/>
      <c r="V186" s="362"/>
      <c r="W186" s="362"/>
      <c r="X186" s="362"/>
      <c r="Y186" s="362"/>
      <c r="Z186" s="362"/>
      <c r="AA186" s="362"/>
      <c r="AB186" s="362"/>
      <c r="AC186" s="362"/>
      <c r="AD186" s="362"/>
      <c r="AE186" s="362"/>
      <c r="AF186" s="362"/>
      <c r="AG186" s="362"/>
      <c r="AH186" s="362"/>
      <c r="AI186" s="362"/>
      <c r="AJ186" s="362"/>
      <c r="AK186" s="362"/>
      <c r="AL186" s="362"/>
      <c r="AM186" s="362"/>
      <c r="AN186" s="362"/>
      <c r="AO186" s="362"/>
      <c r="AP186" s="362"/>
      <c r="AQ186" s="362"/>
      <c r="AR186" s="362"/>
      <c r="AS186" s="362"/>
      <c r="AT186" s="362"/>
      <c r="AU186" s="362"/>
      <c r="AV186" s="362"/>
      <c r="AW186" s="362"/>
      <c r="AX186" s="362"/>
      <c r="AY186" s="362"/>
      <c r="AZ186" s="362"/>
      <c r="BA186" s="362"/>
      <c r="BB186" s="362"/>
      <c r="BC186" s="362"/>
      <c r="BD186" s="362"/>
      <c r="BE186" s="362"/>
      <c r="BF186" s="362"/>
      <c r="BG186" s="362"/>
      <c r="BH186" s="362"/>
      <c r="BI186" s="362"/>
      <c r="BJ186" s="362"/>
      <c r="BK186" s="362"/>
      <c r="BL186" s="362"/>
      <c r="BM186" s="362"/>
      <c r="BN186" s="362"/>
      <c r="BO186" s="362"/>
      <c r="BP186" s="362"/>
      <c r="BQ186" s="362"/>
      <c r="BR186" s="362"/>
      <c r="BS186" s="362"/>
      <c r="BT186" s="362"/>
    </row>
    <row r="187" spans="1:72" s="363" customFormat="1" ht="15.75" customHeight="1" x14ac:dyDescent="0.2">
      <c r="A187" s="164"/>
      <c r="B187" s="365" t="s">
        <v>158</v>
      </c>
      <c r="C187" s="166"/>
      <c r="D187" s="166"/>
      <c r="E187" s="166"/>
      <c r="F187" s="176"/>
      <c r="G187" s="364">
        <f>SUM(G188:G188)</f>
        <v>3349</v>
      </c>
      <c r="H187" s="362"/>
      <c r="I187" s="362"/>
      <c r="J187" s="362"/>
      <c r="K187" s="362"/>
      <c r="L187" s="362"/>
      <c r="M187" s="362"/>
      <c r="N187" s="362"/>
      <c r="O187" s="362"/>
      <c r="P187" s="362"/>
      <c r="Q187" s="362"/>
      <c r="R187" s="362"/>
      <c r="S187" s="362"/>
      <c r="T187" s="362"/>
      <c r="U187" s="362"/>
      <c r="V187" s="362"/>
      <c r="W187" s="362"/>
      <c r="X187" s="362"/>
      <c r="Y187" s="362"/>
      <c r="Z187" s="362"/>
      <c r="AA187" s="362"/>
      <c r="AB187" s="362"/>
      <c r="AC187" s="362"/>
      <c r="AD187" s="362"/>
      <c r="AE187" s="362"/>
      <c r="AF187" s="362"/>
      <c r="AG187" s="362"/>
      <c r="AH187" s="362"/>
      <c r="AI187" s="362"/>
      <c r="AJ187" s="362"/>
      <c r="AK187" s="362"/>
      <c r="AL187" s="362"/>
      <c r="AM187" s="362"/>
      <c r="AN187" s="362"/>
      <c r="AO187" s="362"/>
      <c r="AP187" s="362"/>
      <c r="AQ187" s="362"/>
      <c r="AR187" s="362"/>
      <c r="AS187" s="362"/>
      <c r="AT187" s="362"/>
      <c r="AU187" s="362"/>
      <c r="AV187" s="362"/>
      <c r="AW187" s="362"/>
      <c r="AX187" s="362"/>
      <c r="AY187" s="362"/>
      <c r="AZ187" s="362"/>
      <c r="BA187" s="362"/>
      <c r="BB187" s="362"/>
      <c r="BC187" s="362"/>
      <c r="BD187" s="362"/>
      <c r="BE187" s="362"/>
      <c r="BF187" s="362"/>
      <c r="BG187" s="362"/>
      <c r="BH187" s="362"/>
      <c r="BI187" s="362"/>
      <c r="BJ187" s="362"/>
      <c r="BK187" s="362"/>
      <c r="BL187" s="362"/>
      <c r="BM187" s="362"/>
      <c r="BN187" s="362"/>
      <c r="BO187" s="362"/>
      <c r="BP187" s="362"/>
      <c r="BQ187" s="362"/>
      <c r="BR187" s="362"/>
      <c r="BS187" s="362"/>
      <c r="BT187" s="362"/>
    </row>
    <row r="188" spans="1:72" s="363" customFormat="1" ht="15.75" customHeight="1" x14ac:dyDescent="0.2">
      <c r="A188" s="164"/>
      <c r="B188" s="165"/>
      <c r="C188" s="183"/>
      <c r="D188" s="166"/>
      <c r="E188" s="166" t="s">
        <v>159</v>
      </c>
      <c r="F188" s="176" t="s">
        <v>153</v>
      </c>
      <c r="G188" s="177">
        <f>717+713+330+1050+539</f>
        <v>3349</v>
      </c>
      <c r="H188" s="362"/>
      <c r="I188" s="362"/>
      <c r="J188" s="362"/>
      <c r="K188" s="362"/>
      <c r="L188" s="362"/>
      <c r="M188" s="362"/>
      <c r="N188" s="362"/>
      <c r="O188" s="362"/>
      <c r="P188" s="362"/>
      <c r="Q188" s="362"/>
      <c r="R188" s="362"/>
      <c r="S188" s="362"/>
      <c r="T188" s="362"/>
      <c r="U188" s="362"/>
      <c r="V188" s="362"/>
      <c r="W188" s="362"/>
      <c r="X188" s="362"/>
      <c r="Y188" s="362"/>
      <c r="Z188" s="362"/>
      <c r="AA188" s="362"/>
      <c r="AB188" s="362"/>
      <c r="AC188" s="362"/>
      <c r="AD188" s="362"/>
      <c r="AE188" s="362"/>
      <c r="AF188" s="362"/>
      <c r="AG188" s="362"/>
      <c r="AH188" s="362"/>
      <c r="AI188" s="362"/>
      <c r="AJ188" s="362"/>
      <c r="AK188" s="362"/>
      <c r="AL188" s="362"/>
      <c r="AM188" s="362"/>
      <c r="AN188" s="362"/>
      <c r="AO188" s="362"/>
      <c r="AP188" s="362"/>
      <c r="AQ188" s="362"/>
      <c r="AR188" s="362"/>
      <c r="AS188" s="362"/>
      <c r="AT188" s="362"/>
      <c r="AU188" s="362"/>
      <c r="AV188" s="362"/>
      <c r="AW188" s="362"/>
      <c r="AX188" s="362"/>
      <c r="AY188" s="362"/>
      <c r="AZ188" s="362"/>
      <c r="BA188" s="362"/>
      <c r="BB188" s="362"/>
      <c r="BC188" s="362"/>
      <c r="BD188" s="362"/>
      <c r="BE188" s="362"/>
      <c r="BF188" s="362"/>
      <c r="BG188" s="362"/>
      <c r="BH188" s="362"/>
      <c r="BI188" s="362"/>
      <c r="BJ188" s="362"/>
      <c r="BK188" s="362"/>
      <c r="BL188" s="362"/>
      <c r="BM188" s="362"/>
      <c r="BN188" s="362"/>
      <c r="BO188" s="362"/>
      <c r="BP188" s="362"/>
      <c r="BQ188" s="362"/>
      <c r="BR188" s="362"/>
      <c r="BS188" s="362"/>
      <c r="BT188" s="362"/>
    </row>
    <row r="189" spans="1:72" s="363" customFormat="1" ht="15.75" customHeight="1" x14ac:dyDescent="0.2">
      <c r="A189" s="178"/>
      <c r="B189" s="179"/>
      <c r="C189" s="180"/>
      <c r="D189" s="167"/>
      <c r="E189" s="167"/>
      <c r="F189" s="169"/>
      <c r="G189" s="181"/>
      <c r="H189" s="362"/>
      <c r="I189" s="362"/>
      <c r="J189" s="362"/>
      <c r="K189" s="362"/>
      <c r="L189" s="362"/>
      <c r="M189" s="362"/>
      <c r="N189" s="362"/>
      <c r="O189" s="362"/>
      <c r="P189" s="362"/>
      <c r="Q189" s="362"/>
      <c r="R189" s="362"/>
      <c r="S189" s="362"/>
      <c r="T189" s="362"/>
      <c r="U189" s="362"/>
      <c r="V189" s="362"/>
      <c r="W189" s="362"/>
      <c r="X189" s="362"/>
      <c r="Y189" s="362"/>
      <c r="Z189" s="362"/>
      <c r="AA189" s="362"/>
      <c r="AB189" s="362"/>
      <c r="AC189" s="362"/>
      <c r="AD189" s="362"/>
      <c r="AE189" s="362"/>
      <c r="AF189" s="362"/>
      <c r="AG189" s="362"/>
      <c r="AH189" s="362"/>
      <c r="AI189" s="362"/>
      <c r="AJ189" s="362"/>
      <c r="AK189" s="362"/>
      <c r="AL189" s="362"/>
      <c r="AM189" s="362"/>
      <c r="AN189" s="362"/>
      <c r="AO189" s="362"/>
      <c r="AP189" s="362"/>
      <c r="AQ189" s="362"/>
      <c r="AR189" s="362"/>
      <c r="AS189" s="362"/>
      <c r="AT189" s="362"/>
      <c r="AU189" s="362"/>
      <c r="AV189" s="362"/>
      <c r="AW189" s="362"/>
      <c r="AX189" s="362"/>
      <c r="AY189" s="362"/>
      <c r="AZ189" s="362"/>
      <c r="BA189" s="362"/>
      <c r="BB189" s="362"/>
      <c r="BC189" s="362"/>
      <c r="BD189" s="362"/>
      <c r="BE189" s="362"/>
      <c r="BF189" s="362"/>
      <c r="BG189" s="362"/>
      <c r="BH189" s="362"/>
      <c r="BI189" s="362"/>
      <c r="BJ189" s="362"/>
      <c r="BK189" s="362"/>
      <c r="BL189" s="362"/>
      <c r="BM189" s="362"/>
      <c r="BN189" s="362"/>
      <c r="BO189" s="362"/>
      <c r="BP189" s="362"/>
      <c r="BQ189" s="362"/>
      <c r="BR189" s="362"/>
      <c r="BS189" s="362"/>
      <c r="BT189" s="362"/>
    </row>
    <row r="190" spans="1:72" s="363" customFormat="1" ht="9" customHeight="1" x14ac:dyDescent="0.2">
      <c r="A190" s="164"/>
      <c r="B190" s="165"/>
      <c r="C190" s="183"/>
      <c r="D190" s="166"/>
      <c r="E190" s="166"/>
      <c r="F190" s="176"/>
      <c r="G190" s="177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362"/>
      <c r="U190" s="362"/>
      <c r="V190" s="362"/>
      <c r="W190" s="362"/>
      <c r="X190" s="362"/>
      <c r="Y190" s="362"/>
      <c r="Z190" s="362"/>
      <c r="AA190" s="362"/>
      <c r="AB190" s="362"/>
      <c r="AC190" s="362"/>
      <c r="AD190" s="362"/>
      <c r="AE190" s="362"/>
      <c r="AF190" s="362"/>
      <c r="AG190" s="362"/>
      <c r="AH190" s="362"/>
      <c r="AI190" s="362"/>
      <c r="AJ190" s="362"/>
      <c r="AK190" s="362"/>
      <c r="AL190" s="362"/>
      <c r="AM190" s="362"/>
      <c r="AN190" s="362"/>
      <c r="AO190" s="362"/>
      <c r="AP190" s="362"/>
      <c r="AQ190" s="362"/>
      <c r="AR190" s="362"/>
      <c r="AS190" s="362"/>
      <c r="AT190" s="362"/>
      <c r="AU190" s="362"/>
      <c r="AV190" s="362"/>
      <c r="AW190" s="362"/>
      <c r="AX190" s="362"/>
      <c r="AY190" s="362"/>
      <c r="AZ190" s="362"/>
      <c r="BA190" s="362"/>
      <c r="BB190" s="362"/>
      <c r="BC190" s="362"/>
      <c r="BD190" s="362"/>
      <c r="BE190" s="362"/>
      <c r="BF190" s="362"/>
      <c r="BG190" s="362"/>
      <c r="BH190" s="362"/>
      <c r="BI190" s="362"/>
      <c r="BJ190" s="362"/>
      <c r="BK190" s="362"/>
      <c r="BL190" s="362"/>
      <c r="BM190" s="362"/>
      <c r="BN190" s="362"/>
      <c r="BO190" s="362"/>
      <c r="BP190" s="362"/>
      <c r="BQ190" s="362"/>
      <c r="BR190" s="362"/>
      <c r="BS190" s="362"/>
      <c r="BT190" s="362"/>
    </row>
    <row r="191" spans="1:72" s="363" customFormat="1" ht="15.75" customHeight="1" x14ac:dyDescent="0.2">
      <c r="A191" s="164"/>
      <c r="B191" s="165"/>
      <c r="C191" s="166"/>
      <c r="D191" s="166"/>
      <c r="E191" s="167" t="s">
        <v>152</v>
      </c>
      <c r="F191" s="168">
        <v>110000</v>
      </c>
      <c r="G191" s="169" t="s">
        <v>153</v>
      </c>
      <c r="H191" s="362"/>
      <c r="I191" s="362"/>
      <c r="J191" s="362"/>
      <c r="K191" s="362"/>
      <c r="L191" s="362"/>
      <c r="M191" s="362"/>
      <c r="N191" s="362"/>
      <c r="O191" s="362"/>
      <c r="P191" s="362"/>
      <c r="Q191" s="362"/>
      <c r="R191" s="362"/>
      <c r="S191" s="362"/>
      <c r="T191" s="362"/>
      <c r="U191" s="362"/>
      <c r="V191" s="362"/>
      <c r="W191" s="362"/>
      <c r="X191" s="362"/>
      <c r="Y191" s="362"/>
      <c r="Z191" s="362"/>
      <c r="AA191" s="362"/>
      <c r="AB191" s="362"/>
      <c r="AC191" s="362"/>
      <c r="AD191" s="362"/>
      <c r="AE191" s="362"/>
      <c r="AF191" s="362"/>
      <c r="AG191" s="362"/>
      <c r="AH191" s="362"/>
      <c r="AI191" s="362"/>
      <c r="AJ191" s="362"/>
      <c r="AK191" s="362"/>
      <c r="AL191" s="362"/>
      <c r="AM191" s="362"/>
      <c r="AN191" s="362"/>
      <c r="AO191" s="362"/>
      <c r="AP191" s="362"/>
      <c r="AQ191" s="362"/>
      <c r="AR191" s="362"/>
      <c r="AS191" s="362"/>
      <c r="AT191" s="362"/>
      <c r="AU191" s="362"/>
      <c r="AV191" s="362"/>
      <c r="AW191" s="362"/>
      <c r="AX191" s="362"/>
      <c r="AY191" s="362"/>
      <c r="AZ191" s="362"/>
      <c r="BA191" s="362"/>
      <c r="BB191" s="362"/>
      <c r="BC191" s="362"/>
      <c r="BD191" s="362"/>
      <c r="BE191" s="362"/>
      <c r="BF191" s="362"/>
      <c r="BG191" s="362"/>
      <c r="BH191" s="362"/>
      <c r="BI191" s="362"/>
      <c r="BJ191" s="362"/>
      <c r="BK191" s="362"/>
      <c r="BL191" s="362"/>
      <c r="BM191" s="362"/>
      <c r="BN191" s="362"/>
      <c r="BO191" s="362"/>
      <c r="BP191" s="362"/>
      <c r="BQ191" s="362"/>
      <c r="BR191" s="362"/>
      <c r="BS191" s="362"/>
      <c r="BT191" s="362"/>
    </row>
    <row r="192" spans="1:72" s="363" customFormat="1" ht="15.75" customHeight="1" x14ac:dyDescent="0.2">
      <c r="A192" s="170" t="s">
        <v>219</v>
      </c>
      <c r="B192" s="182" t="s">
        <v>220</v>
      </c>
      <c r="C192" s="166" t="s">
        <v>190</v>
      </c>
      <c r="D192" s="166" t="s">
        <v>221</v>
      </c>
      <c r="E192" s="172" t="s">
        <v>153</v>
      </c>
      <c r="F192" s="173" t="s">
        <v>153</v>
      </c>
      <c r="G192" s="174">
        <f>SUM(G194)</f>
        <v>110000</v>
      </c>
      <c r="H192" s="362"/>
      <c r="I192" s="362"/>
      <c r="J192" s="362"/>
      <c r="K192" s="362"/>
      <c r="L192" s="362"/>
      <c r="M192" s="362"/>
      <c r="N192" s="362"/>
      <c r="O192" s="362"/>
      <c r="P192" s="362"/>
      <c r="Q192" s="362"/>
      <c r="R192" s="362"/>
      <c r="S192" s="362"/>
      <c r="T192" s="362"/>
      <c r="U192" s="362"/>
      <c r="V192" s="362"/>
      <c r="W192" s="362"/>
      <c r="X192" s="362"/>
      <c r="Y192" s="362"/>
      <c r="Z192" s="362"/>
      <c r="AA192" s="362"/>
      <c r="AB192" s="362"/>
      <c r="AC192" s="362"/>
      <c r="AD192" s="362"/>
      <c r="AE192" s="362"/>
      <c r="AF192" s="362"/>
      <c r="AG192" s="362"/>
      <c r="AH192" s="362"/>
      <c r="AI192" s="362"/>
      <c r="AJ192" s="362"/>
      <c r="AK192" s="362"/>
      <c r="AL192" s="362"/>
      <c r="AM192" s="362"/>
      <c r="AN192" s="362"/>
      <c r="AO192" s="362"/>
      <c r="AP192" s="362"/>
      <c r="AQ192" s="362"/>
      <c r="AR192" s="362"/>
      <c r="AS192" s="362"/>
      <c r="AT192" s="362"/>
      <c r="AU192" s="362"/>
      <c r="AV192" s="362"/>
      <c r="AW192" s="362"/>
      <c r="AX192" s="362"/>
      <c r="AY192" s="362"/>
      <c r="AZ192" s="362"/>
      <c r="BA192" s="362"/>
      <c r="BB192" s="362"/>
      <c r="BC192" s="362"/>
      <c r="BD192" s="362"/>
      <c r="BE192" s="362"/>
      <c r="BF192" s="362"/>
      <c r="BG192" s="362"/>
      <c r="BH192" s="362"/>
      <c r="BI192" s="362"/>
      <c r="BJ192" s="362"/>
      <c r="BK192" s="362"/>
      <c r="BL192" s="362"/>
      <c r="BM192" s="362"/>
      <c r="BN192" s="362"/>
      <c r="BO192" s="362"/>
      <c r="BP192" s="362"/>
      <c r="BQ192" s="362"/>
      <c r="BR192" s="362"/>
      <c r="BS192" s="362"/>
      <c r="BT192" s="362"/>
    </row>
    <row r="193" spans="1:72" s="363" customFormat="1" ht="15.75" customHeight="1" x14ac:dyDescent="0.2">
      <c r="A193" s="164"/>
      <c r="B193" s="175"/>
      <c r="C193" s="166"/>
      <c r="D193" s="166"/>
      <c r="E193" s="166"/>
      <c r="F193" s="176"/>
      <c r="G193" s="364"/>
      <c r="H193" s="362"/>
      <c r="I193" s="362"/>
      <c r="J193" s="362"/>
      <c r="K193" s="362"/>
      <c r="L193" s="362"/>
      <c r="M193" s="362"/>
      <c r="N193" s="362"/>
      <c r="O193" s="362"/>
      <c r="P193" s="362"/>
      <c r="Q193" s="362"/>
      <c r="R193" s="362"/>
      <c r="S193" s="362"/>
      <c r="T193" s="362"/>
      <c r="U193" s="362"/>
      <c r="V193" s="362"/>
      <c r="W193" s="362"/>
      <c r="X193" s="362"/>
      <c r="Y193" s="362"/>
      <c r="Z193" s="362"/>
      <c r="AA193" s="362"/>
      <c r="AB193" s="362"/>
      <c r="AC193" s="362"/>
      <c r="AD193" s="362"/>
      <c r="AE193" s="362"/>
      <c r="AF193" s="362"/>
      <c r="AG193" s="362"/>
      <c r="AH193" s="362"/>
      <c r="AI193" s="362"/>
      <c r="AJ193" s="362"/>
      <c r="AK193" s="362"/>
      <c r="AL193" s="362"/>
      <c r="AM193" s="362"/>
      <c r="AN193" s="362"/>
      <c r="AO193" s="362"/>
      <c r="AP193" s="362"/>
      <c r="AQ193" s="362"/>
      <c r="AR193" s="362"/>
      <c r="AS193" s="362"/>
      <c r="AT193" s="362"/>
      <c r="AU193" s="362"/>
      <c r="AV193" s="362"/>
      <c r="AW193" s="362"/>
      <c r="AX193" s="362"/>
      <c r="AY193" s="362"/>
      <c r="AZ193" s="362"/>
      <c r="BA193" s="362"/>
      <c r="BB193" s="362"/>
      <c r="BC193" s="362"/>
      <c r="BD193" s="362"/>
      <c r="BE193" s="362"/>
      <c r="BF193" s="362"/>
      <c r="BG193" s="362"/>
      <c r="BH193" s="362"/>
      <c r="BI193" s="362"/>
      <c r="BJ193" s="362"/>
      <c r="BK193" s="362"/>
      <c r="BL193" s="362"/>
      <c r="BM193" s="362"/>
      <c r="BN193" s="362"/>
      <c r="BO193" s="362"/>
      <c r="BP193" s="362"/>
      <c r="BQ193" s="362"/>
      <c r="BR193" s="362"/>
      <c r="BS193" s="362"/>
      <c r="BT193" s="362"/>
    </row>
    <row r="194" spans="1:72" s="363" customFormat="1" ht="15.75" customHeight="1" x14ac:dyDescent="0.2">
      <c r="A194" s="164"/>
      <c r="B194" s="365" t="s">
        <v>183</v>
      </c>
      <c r="C194" s="166"/>
      <c r="D194" s="166"/>
      <c r="E194" s="166"/>
      <c r="F194" s="176"/>
      <c r="G194" s="364">
        <f>SUM(G195:G195)</f>
        <v>110000</v>
      </c>
      <c r="H194" s="362"/>
      <c r="I194" s="362"/>
      <c r="J194" s="362"/>
      <c r="K194" s="362"/>
      <c r="L194" s="362"/>
      <c r="M194" s="362"/>
      <c r="N194" s="362"/>
      <c r="O194" s="362"/>
      <c r="P194" s="362"/>
      <c r="Q194" s="362"/>
      <c r="R194" s="362"/>
      <c r="S194" s="362"/>
      <c r="T194" s="362"/>
      <c r="U194" s="362"/>
      <c r="V194" s="362"/>
      <c r="W194" s="362"/>
      <c r="X194" s="362"/>
      <c r="Y194" s="362"/>
      <c r="Z194" s="362"/>
      <c r="AA194" s="362"/>
      <c r="AB194" s="362"/>
      <c r="AC194" s="362"/>
      <c r="AD194" s="362"/>
      <c r="AE194" s="362"/>
      <c r="AF194" s="362"/>
      <c r="AG194" s="362"/>
      <c r="AH194" s="362"/>
      <c r="AI194" s="362"/>
      <c r="AJ194" s="362"/>
      <c r="AK194" s="362"/>
      <c r="AL194" s="362"/>
      <c r="AM194" s="362"/>
      <c r="AN194" s="362"/>
      <c r="AO194" s="362"/>
      <c r="AP194" s="362"/>
      <c r="AQ194" s="362"/>
      <c r="AR194" s="362"/>
      <c r="AS194" s="362"/>
      <c r="AT194" s="362"/>
      <c r="AU194" s="362"/>
      <c r="AV194" s="362"/>
      <c r="AW194" s="362"/>
      <c r="AX194" s="362"/>
      <c r="AY194" s="362"/>
      <c r="AZ194" s="362"/>
      <c r="BA194" s="362"/>
      <c r="BB194" s="362"/>
      <c r="BC194" s="362"/>
      <c r="BD194" s="362"/>
      <c r="BE194" s="362"/>
      <c r="BF194" s="362"/>
      <c r="BG194" s="362"/>
      <c r="BH194" s="362"/>
      <c r="BI194" s="362"/>
      <c r="BJ194" s="362"/>
      <c r="BK194" s="362"/>
      <c r="BL194" s="362"/>
      <c r="BM194" s="362"/>
      <c r="BN194" s="362"/>
      <c r="BO194" s="362"/>
      <c r="BP194" s="362"/>
      <c r="BQ194" s="362"/>
      <c r="BR194" s="362"/>
      <c r="BS194" s="362"/>
      <c r="BT194" s="362"/>
    </row>
    <row r="195" spans="1:72" s="363" customFormat="1" ht="15.75" customHeight="1" x14ac:dyDescent="0.2">
      <c r="A195" s="164"/>
      <c r="B195" s="165"/>
      <c r="C195" s="183"/>
      <c r="D195" s="166"/>
      <c r="E195" s="166" t="s">
        <v>159</v>
      </c>
      <c r="F195" s="176" t="s">
        <v>153</v>
      </c>
      <c r="G195" s="177">
        <v>110000</v>
      </c>
      <c r="H195" s="362"/>
      <c r="I195" s="362"/>
      <c r="J195" s="362"/>
      <c r="K195" s="362"/>
      <c r="L195" s="362"/>
      <c r="M195" s="362"/>
      <c r="N195" s="362"/>
      <c r="O195" s="362"/>
      <c r="P195" s="362"/>
      <c r="Q195" s="362"/>
      <c r="R195" s="362"/>
      <c r="S195" s="362"/>
      <c r="T195" s="362"/>
      <c r="U195" s="362"/>
      <c r="V195" s="362"/>
      <c r="W195" s="362"/>
      <c r="X195" s="362"/>
      <c r="Y195" s="362"/>
      <c r="Z195" s="362"/>
      <c r="AA195" s="362"/>
      <c r="AB195" s="362"/>
      <c r="AC195" s="362"/>
      <c r="AD195" s="362"/>
      <c r="AE195" s="362"/>
      <c r="AF195" s="362"/>
      <c r="AG195" s="362"/>
      <c r="AH195" s="362"/>
      <c r="AI195" s="362"/>
      <c r="AJ195" s="362"/>
      <c r="AK195" s="362"/>
      <c r="AL195" s="362"/>
      <c r="AM195" s="362"/>
      <c r="AN195" s="362"/>
      <c r="AO195" s="362"/>
      <c r="AP195" s="362"/>
      <c r="AQ195" s="362"/>
      <c r="AR195" s="362"/>
      <c r="AS195" s="362"/>
      <c r="AT195" s="362"/>
      <c r="AU195" s="362"/>
      <c r="AV195" s="362"/>
      <c r="AW195" s="362"/>
      <c r="AX195" s="362"/>
      <c r="AY195" s="362"/>
      <c r="AZ195" s="362"/>
      <c r="BA195" s="362"/>
      <c r="BB195" s="362"/>
      <c r="BC195" s="362"/>
      <c r="BD195" s="362"/>
      <c r="BE195" s="362"/>
      <c r="BF195" s="362"/>
      <c r="BG195" s="362"/>
      <c r="BH195" s="362"/>
      <c r="BI195" s="362"/>
      <c r="BJ195" s="362"/>
      <c r="BK195" s="362"/>
      <c r="BL195" s="362"/>
      <c r="BM195" s="362"/>
      <c r="BN195" s="362"/>
      <c r="BO195" s="362"/>
      <c r="BP195" s="362"/>
      <c r="BQ195" s="362"/>
      <c r="BR195" s="362"/>
      <c r="BS195" s="362"/>
      <c r="BT195" s="362"/>
    </row>
    <row r="196" spans="1:72" s="160" customFormat="1" ht="15.75" customHeight="1" x14ac:dyDescent="0.2">
      <c r="A196" s="178"/>
      <c r="B196" s="179"/>
      <c r="C196" s="180"/>
      <c r="D196" s="167"/>
      <c r="E196" s="167"/>
      <c r="F196" s="169"/>
      <c r="G196" s="181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  <c r="AK196" s="159"/>
      <c r="AL196" s="159"/>
      <c r="AM196" s="159"/>
      <c r="AN196" s="159"/>
      <c r="AO196" s="159"/>
      <c r="AP196" s="159"/>
      <c r="AQ196" s="159"/>
      <c r="AR196" s="159"/>
      <c r="AS196" s="159"/>
      <c r="AT196" s="159"/>
      <c r="AU196" s="159"/>
      <c r="AV196" s="159"/>
      <c r="AW196" s="159"/>
      <c r="AX196" s="159"/>
      <c r="AY196" s="159"/>
      <c r="AZ196" s="159"/>
      <c r="BA196" s="159"/>
      <c r="BB196" s="159"/>
      <c r="BC196" s="159"/>
      <c r="BD196" s="159"/>
      <c r="BE196" s="159"/>
      <c r="BF196" s="159"/>
      <c r="BG196" s="159"/>
      <c r="BH196" s="159"/>
      <c r="BI196" s="159"/>
      <c r="BJ196" s="159"/>
      <c r="BK196" s="159"/>
      <c r="BL196" s="159"/>
      <c r="BM196" s="159"/>
      <c r="BN196" s="159"/>
      <c r="BO196" s="159"/>
      <c r="BP196" s="159"/>
      <c r="BQ196" s="159"/>
      <c r="BR196" s="159"/>
      <c r="BS196" s="159"/>
      <c r="BT196" s="159"/>
    </row>
    <row r="197" spans="1:72" s="160" customFormat="1" ht="27" customHeight="1" x14ac:dyDescent="0.2">
      <c r="A197" s="367"/>
      <c r="B197" s="368" t="s">
        <v>16</v>
      </c>
      <c r="C197" s="369"/>
      <c r="D197" s="370"/>
      <c r="E197" s="371"/>
      <c r="F197" s="371">
        <f>SUM(F12,F19,F28,F36,F140,F147,F155,F169,F175,F184,F191)</f>
        <v>6826569.1100000003</v>
      </c>
      <c r="G197" s="371">
        <f>SUM(G13,G20,G29,G37,G141,G148,G156,G170,G176,G185,G192)</f>
        <v>6826569.1100000003</v>
      </c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  <c r="AK197" s="159"/>
      <c r="AL197" s="159"/>
      <c r="AM197" s="159"/>
      <c r="AN197" s="159"/>
      <c r="AO197" s="159"/>
      <c r="AP197" s="159"/>
      <c r="AQ197" s="159"/>
      <c r="AR197" s="159"/>
      <c r="AS197" s="159"/>
      <c r="AT197" s="159"/>
      <c r="AU197" s="159"/>
      <c r="AV197" s="159"/>
      <c r="AW197" s="159"/>
      <c r="AX197" s="159"/>
      <c r="AY197" s="159"/>
      <c r="AZ197" s="159"/>
      <c r="BA197" s="159"/>
      <c r="BB197" s="159"/>
      <c r="BC197" s="159"/>
      <c r="BD197" s="159"/>
      <c r="BE197" s="159"/>
      <c r="BF197" s="159"/>
      <c r="BG197" s="159"/>
      <c r="BH197" s="159"/>
      <c r="BI197" s="159"/>
      <c r="BJ197" s="159"/>
      <c r="BK197" s="159"/>
      <c r="BL197" s="159"/>
      <c r="BM197" s="159"/>
      <c r="BN197" s="159"/>
      <c r="BO197" s="159"/>
      <c r="BP197" s="159"/>
      <c r="BQ197" s="159"/>
      <c r="BR197" s="159"/>
      <c r="BS197" s="159"/>
      <c r="BT197" s="159"/>
    </row>
    <row r="199" spans="1:72" customFormat="1" x14ac:dyDescent="0.25">
      <c r="A199" s="372"/>
      <c r="B199" s="361"/>
      <c r="C199" s="361"/>
      <c r="D199" s="361"/>
      <c r="E199" s="361"/>
      <c r="G199" s="186"/>
      <c r="I199" s="187"/>
    </row>
    <row r="200" spans="1:72" customFormat="1" x14ac:dyDescent="0.25">
      <c r="A200" s="361"/>
      <c r="B200" s="361"/>
      <c r="C200" s="361"/>
      <c r="D200" s="361"/>
      <c r="E200" s="361"/>
      <c r="F200" s="187"/>
      <c r="G200" s="188"/>
      <c r="H200" s="189"/>
    </row>
    <row r="201" spans="1:72" customFormat="1" x14ac:dyDescent="0.25">
      <c r="A201" s="361"/>
      <c r="B201" s="361"/>
      <c r="C201" s="361"/>
      <c r="D201" s="361"/>
      <c r="E201" s="361"/>
      <c r="F201" s="187"/>
      <c r="G201" s="188"/>
    </row>
    <row r="202" spans="1:72" customFormat="1" x14ac:dyDescent="0.25">
      <c r="A202" s="361"/>
      <c r="B202" s="361"/>
      <c r="C202" s="361"/>
      <c r="D202" s="361"/>
      <c r="E202" s="361"/>
      <c r="F202" s="190"/>
      <c r="G202" s="187"/>
    </row>
    <row r="203" spans="1:72" customFormat="1" x14ac:dyDescent="0.25">
      <c r="A203" s="361"/>
      <c r="B203" s="361"/>
      <c r="C203" s="361"/>
      <c r="D203" s="361"/>
      <c r="E203" s="361"/>
      <c r="F203" s="373"/>
      <c r="G203" s="373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4" manualBreakCount="4">
    <brk id="49" max="16383" man="1"/>
    <brk id="94" max="6" man="1"/>
    <brk id="146" max="16383" man="1"/>
    <brk id="18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Zał.Nr1</vt:lpstr>
      <vt:lpstr>Zał.Nr 2</vt:lpstr>
      <vt:lpstr>Zał.Nr3</vt:lpstr>
      <vt:lpstr>Zał.Nr4</vt:lpstr>
      <vt:lpstr>Zał.Nr5</vt:lpstr>
      <vt:lpstr>Zał.Nr1!Obszar_wydruku</vt:lpstr>
      <vt:lpstr>Zał.Nr5!Obszar_wydruku</vt:lpstr>
      <vt:lpstr>Zał.Nr1!Tytuły_wydruku</vt:lpstr>
      <vt:lpstr>Zał.Nr4!Tytuły_wydruku</vt:lpstr>
      <vt:lpstr>Zał.Nr5!Tytuły_wydruku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414/2022 Prezydenta Miasta Włocławek z dn. 29 grudnia 2022 r.</dc:title>
  <dc:creator>Beata Duszeńska</dc:creator>
  <cp:keywords>Załącznik do Zarządzenia Prezydenta Miasta Włocławek</cp:keywords>
  <cp:lastModifiedBy>Karolina Budziszewska</cp:lastModifiedBy>
  <cp:lastPrinted>2023-01-09T07:20:15Z</cp:lastPrinted>
  <dcterms:created xsi:type="dcterms:W3CDTF">2022-07-04T12:50:12Z</dcterms:created>
  <dcterms:modified xsi:type="dcterms:W3CDTF">2023-01-09T11:03:12Z</dcterms:modified>
</cp:coreProperties>
</file>